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Direct Testimony &amp; Exhibits-FILING 200___\I. UE_AVA Dir Evidence-(Oct20)\3. UE_AVA WP's (Oct20)\12.  UE__DiLuciano WP (AVA-Oct20)\"/>
    </mc:Choice>
  </mc:AlternateContent>
  <xr:revisionPtr revIDLastSave="0" documentId="13_ncr:1_{73D65778-465F-4104-A9B6-738CF4E38A75}" xr6:coauthVersionLast="44" xr6:coauthVersionMax="44" xr10:uidLastSave="{00000000-0000-0000-0000-000000000000}"/>
  <bookViews>
    <workbookView xWindow="-28920" yWindow="-120" windowWidth="29040" windowHeight="15840" tabRatio="831" firstSheet="2" activeTab="2" xr2:uid="{00000000-000D-0000-FFFF-FFFF00000000}"/>
  </bookViews>
  <sheets>
    <sheet name="Org Chart" sheetId="5" state="hidden" r:id="rId1"/>
    <sheet name="O&amp;M Summary by Year" sheetId="4" state="hidden" r:id="rId2"/>
    <sheet name="Summary" sheetId="20" r:id="rId3"/>
    <sheet name="MDM - O&amp;M Detail by Year" sheetId="12" r:id="rId4"/>
    <sheet name="MDM - Capital Detail By Year" sheetId="14" r:id="rId5"/>
    <sheet name="HES - O&amp;M Detail by Year" sheetId="11" r:id="rId6"/>
    <sheet name="HES - Capital Detail By Year" sheetId="17" r:id="rId7"/>
    <sheet name="CI - O&amp;M Detail by Year" sheetId="13" r:id="rId8"/>
    <sheet name="CI - Capital Detail By Year" sheetId="18" r:id="rId9"/>
    <sheet name="Meter Dep - O&amp;M Detail by Year" sheetId="10" r:id="rId10"/>
    <sheet name="Meter - Capital Detail By Year" sheetId="15" r:id="rId11"/>
    <sheet name="Data An - O&amp;M Detail by Year" sheetId="2" r:id="rId12"/>
    <sheet name="Data A - Capital Detail by Year" sheetId="16" r:id="rId13"/>
    <sheet name="Annual Summary" sheetId="9" state="hidden" r:id="rId14"/>
    <sheet name="O&amp;M Detail by Year _ Indirect B" sheetId="8" state="hidden" r:id="rId15"/>
    <sheet name="HES and CI O&amp;M Forecast" sheetId="7" state="hidden" r:id="rId16"/>
    <sheet name="Business Case Comparison" sheetId="6" state="hidden" r:id="rId17"/>
    <sheet name="ESRI_MAPINFO_SHEET" sheetId="19" state="veryHidden" r:id="rId18"/>
  </sheets>
  <externalReferences>
    <externalReference r:id="rId19"/>
    <externalReference r:id="rId20"/>
  </externalReferences>
  <definedNames>
    <definedName name="_xlnm._FilterDatabase" localSheetId="7" hidden="1">'CI - O&amp;M Detail by Year'!$A$3:$T$3</definedName>
    <definedName name="_xlnm._FilterDatabase" localSheetId="11" hidden="1">'Data An - O&amp;M Detail by Year'!$A$3:$T$3</definedName>
    <definedName name="_xlnm._FilterDatabase" localSheetId="5" hidden="1">'HES - O&amp;M Detail by Year'!$A$3:$T$3</definedName>
    <definedName name="_xlnm._FilterDatabase" localSheetId="3" hidden="1">'MDM - O&amp;M Detail by Year'!$A$3:$T$3</definedName>
    <definedName name="_xlnm._FilterDatabase" localSheetId="9" hidden="1">'Meter Dep - O&amp;M Detail by Year'!$A$3:$T$3</definedName>
    <definedName name="aa" localSheetId="7">#REF!</definedName>
    <definedName name="aa" localSheetId="11">#REF!</definedName>
    <definedName name="aa" localSheetId="5">#REF!</definedName>
    <definedName name="aa" localSheetId="3">#REF!</definedName>
    <definedName name="aa" localSheetId="9">#REF!</definedName>
    <definedName name="aa">#REF!</definedName>
    <definedName name="ASSUME" localSheetId="7">#REF!</definedName>
    <definedName name="ASSUME" localSheetId="11">#REF!</definedName>
    <definedName name="ASSUME" localSheetId="5">#REF!</definedName>
    <definedName name="ASSUME" localSheetId="3">#REF!</definedName>
    <definedName name="ASSUME" localSheetId="9">#REF!</definedName>
    <definedName name="ASSUME">#REF!</definedName>
    <definedName name="ASSUME2" localSheetId="7">#REF!</definedName>
    <definedName name="ASSUME2" localSheetId="11">#REF!</definedName>
    <definedName name="ASSUME2" localSheetId="5">#REF!</definedName>
    <definedName name="ASSUME2" localSheetId="3">#REF!</definedName>
    <definedName name="ASSUME2" localSheetId="9">#REF!</definedName>
    <definedName name="ASSUME2">#REF!</definedName>
    <definedName name="ASSUME3" localSheetId="7">#REF!</definedName>
    <definedName name="ASSUME3" localSheetId="11">#REF!</definedName>
    <definedName name="ASSUME3" localSheetId="5">#REF!</definedName>
    <definedName name="ASSUME3" localSheetId="3">#REF!</definedName>
    <definedName name="ASSUME3" localSheetId="9">#REF!</definedName>
    <definedName name="ASSUME3">#REF!</definedName>
    <definedName name="bb" localSheetId="7">#REF!</definedName>
    <definedName name="bb" localSheetId="11">#REF!</definedName>
    <definedName name="bb" localSheetId="5">#REF!</definedName>
    <definedName name="bb" localSheetId="3">#REF!</definedName>
    <definedName name="bb" localSheetId="9">#REF!</definedName>
    <definedName name="bb">#REF!</definedName>
    <definedName name="BILLINGS" localSheetId="7">#REF!</definedName>
    <definedName name="BILLINGS" localSheetId="11">#REF!</definedName>
    <definedName name="BILLINGS" localSheetId="5">#REF!</definedName>
    <definedName name="BILLINGS" localSheetId="3">#REF!</definedName>
    <definedName name="BILLINGS" localSheetId="9">#REF!</definedName>
    <definedName name="BILLINGS">#REF!</definedName>
    <definedName name="gotit" localSheetId="7">#REF!</definedName>
    <definedName name="gotit" localSheetId="11">#REF!</definedName>
    <definedName name="gotit" localSheetId="5">#REF!</definedName>
    <definedName name="gotit" localSheetId="3">#REF!</definedName>
    <definedName name="gotit" localSheetId="9">#REF!</definedName>
    <definedName name="gotit">#REF!</definedName>
    <definedName name="Monitor">[1]CVR!$M$30</definedName>
    <definedName name="OANDM" localSheetId="7">#REF!</definedName>
    <definedName name="OANDM" localSheetId="11">#REF!</definedName>
    <definedName name="OANDM" localSheetId="5">#REF!</definedName>
    <definedName name="OANDM" localSheetId="3">#REF!</definedName>
    <definedName name="OANDM" localSheetId="9">#REF!</definedName>
    <definedName name="OANDM">#REF!</definedName>
    <definedName name="option">[2]Decode!$B$1:$E$47</definedName>
    <definedName name="_xlnm.Print_Area" localSheetId="7">'CI - O&amp;M Detail by Year'!$A$1:$Q$83</definedName>
    <definedName name="_xlnm.Print_Area" localSheetId="11">'Data An - O&amp;M Detail by Year'!$A$1:$Q$83</definedName>
    <definedName name="_xlnm.Print_Area" localSheetId="5">'HES - O&amp;M Detail by Year'!$A$1:$Q$83</definedName>
    <definedName name="_xlnm.Print_Area" localSheetId="3">'MDM - O&amp;M Detail by Year'!$A$1:$Q$83</definedName>
    <definedName name="_xlnm.Print_Area" localSheetId="9">'Meter Dep - O&amp;M Detail by Year'!$A$1:$Q$83</definedName>
    <definedName name="_xlnm.Print_Area" localSheetId="0">'Org Chart'!$A$1:$Z$52</definedName>
    <definedName name="_xlnm.Print_Area" localSheetId="2">Summary!$A$1:$AA$74</definedName>
    <definedName name="qry_Step6_CombineInfo" localSheetId="7">#REF!</definedName>
    <definedName name="qry_Step6_CombineInfo" localSheetId="11">#REF!</definedName>
    <definedName name="qry_Step6_CombineInfo" localSheetId="5">#REF!</definedName>
    <definedName name="qry_Step6_CombineInfo" localSheetId="3">#REF!</definedName>
    <definedName name="qry_Step6_CombineInfo" localSheetId="9">#REF!</definedName>
    <definedName name="qry_Step6_CombineInfo">#REF!</definedName>
    <definedName name="REVREQ" localSheetId="7">#REF!</definedName>
    <definedName name="REVREQ" localSheetId="11">#REF!</definedName>
    <definedName name="REVREQ" localSheetId="5">#REF!</definedName>
    <definedName name="REVREQ" localSheetId="3">#REF!</definedName>
    <definedName name="REVREQ" localSheetId="9">#REF!</definedName>
    <definedName name="REVREQ">#REF!</definedName>
    <definedName name="SUPPL" localSheetId="7">#REF!</definedName>
    <definedName name="SUPPL" localSheetId="11">#REF!</definedName>
    <definedName name="SUPPL" localSheetId="5">#REF!</definedName>
    <definedName name="SUPPL" localSheetId="3">#REF!</definedName>
    <definedName name="SUPPL" localSheetId="9">#REF!</definedName>
    <definedName name="SUPPL">#REF!</definedName>
  </definedNames>
  <calcPr calcId="191029"/>
  <pivotCaches>
    <pivotCache cacheId="0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" i="20" l="1"/>
  <c r="C57" i="20"/>
  <c r="E64" i="20" l="1"/>
  <c r="E63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F41" i="20"/>
  <c r="E41" i="20"/>
  <c r="D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S52" i="20"/>
  <c r="T52" i="20"/>
  <c r="U52" i="20"/>
  <c r="V52" i="20"/>
  <c r="W52" i="20"/>
  <c r="X52" i="20"/>
  <c r="Y52" i="20"/>
  <c r="Z52" i="20"/>
  <c r="AA52" i="20"/>
  <c r="E52" i="20"/>
  <c r="F51" i="20"/>
  <c r="D51" i="20" s="1"/>
  <c r="G51" i="20"/>
  <c r="H51" i="20"/>
  <c r="I51" i="20"/>
  <c r="J51" i="20"/>
  <c r="K51" i="20"/>
  <c r="L51" i="20"/>
  <c r="M51" i="20"/>
  <c r="N51" i="20"/>
  <c r="O51" i="20"/>
  <c r="P51" i="20"/>
  <c r="Q51" i="20"/>
  <c r="R51" i="20"/>
  <c r="S51" i="20"/>
  <c r="T51" i="20"/>
  <c r="U51" i="20"/>
  <c r="V51" i="20"/>
  <c r="W51" i="20"/>
  <c r="X51" i="20"/>
  <c r="Y51" i="20"/>
  <c r="Z51" i="20"/>
  <c r="AA51" i="20"/>
  <c r="E51" i="20"/>
  <c r="F50" i="20"/>
  <c r="K50" i="20"/>
  <c r="L50" i="20"/>
  <c r="M50" i="20"/>
  <c r="N50" i="20"/>
  <c r="O50" i="20"/>
  <c r="P50" i="20"/>
  <c r="Q50" i="20"/>
  <c r="R50" i="20"/>
  <c r="S50" i="20"/>
  <c r="T50" i="20"/>
  <c r="U50" i="20"/>
  <c r="V50" i="20"/>
  <c r="W50" i="20"/>
  <c r="X50" i="20"/>
  <c r="Y50" i="20"/>
  <c r="Z50" i="20"/>
  <c r="AA50" i="20"/>
  <c r="E50" i="20"/>
  <c r="F49" i="20"/>
  <c r="D49" i="20" s="1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AA49" i="20"/>
  <c r="E49" i="20"/>
  <c r="L48" i="20"/>
  <c r="M48" i="20"/>
  <c r="N48" i="20"/>
  <c r="O48" i="20"/>
  <c r="P48" i="20"/>
  <c r="Q48" i="20"/>
  <c r="R48" i="20"/>
  <c r="S48" i="20"/>
  <c r="T48" i="20"/>
  <c r="U48" i="20"/>
  <c r="V48" i="20"/>
  <c r="W48" i="20"/>
  <c r="X48" i="20"/>
  <c r="Y48" i="20"/>
  <c r="Z48" i="20"/>
  <c r="AA48" i="20"/>
  <c r="F47" i="20"/>
  <c r="G47" i="20"/>
  <c r="H47" i="20"/>
  <c r="E47" i="20"/>
  <c r="L46" i="20"/>
  <c r="M46" i="20"/>
  <c r="N46" i="20"/>
  <c r="O46" i="20"/>
  <c r="P46" i="20"/>
  <c r="Q46" i="20"/>
  <c r="R46" i="20"/>
  <c r="S46" i="20"/>
  <c r="T46" i="20"/>
  <c r="U46" i="20"/>
  <c r="V46" i="20"/>
  <c r="W46" i="20"/>
  <c r="X46" i="20"/>
  <c r="Y46" i="20"/>
  <c r="Z46" i="20"/>
  <c r="AA46" i="20"/>
  <c r="F45" i="20"/>
  <c r="G45" i="20"/>
  <c r="E45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F43" i="20"/>
  <c r="G43" i="20"/>
  <c r="E43" i="20"/>
  <c r="E36" i="20" l="1"/>
  <c r="C13" i="20" l="1"/>
  <c r="C10" i="20"/>
  <c r="C12" i="20"/>
  <c r="D10" i="20"/>
  <c r="D12" i="20"/>
  <c r="D13" i="20"/>
  <c r="J11" i="20"/>
  <c r="J50" i="20" s="1"/>
  <c r="I11" i="20"/>
  <c r="I50" i="20" s="1"/>
  <c r="H11" i="20"/>
  <c r="H50" i="20" s="1"/>
  <c r="G11" i="20"/>
  <c r="G50" i="20" s="1"/>
  <c r="D50" i="20" s="1"/>
  <c r="C11" i="20" l="1"/>
  <c r="D11" i="20"/>
  <c r="C21" i="20" l="1"/>
  <c r="D21" i="20"/>
  <c r="D19" i="20"/>
  <c r="C19" i="20"/>
  <c r="F9" i="20" l="1"/>
  <c r="F48" i="20" s="1"/>
  <c r="G9" i="20"/>
  <c r="G48" i="20" s="1"/>
  <c r="H9" i="20"/>
  <c r="H48" i="20" s="1"/>
  <c r="I9" i="20"/>
  <c r="I48" i="20" s="1"/>
  <c r="J9" i="20"/>
  <c r="J48" i="20" s="1"/>
  <c r="K9" i="20"/>
  <c r="K48" i="20" s="1"/>
  <c r="E9" i="20"/>
  <c r="E48" i="20" s="1"/>
  <c r="K7" i="20"/>
  <c r="K46" i="20" s="1"/>
  <c r="K5" i="20"/>
  <c r="K44" i="20" s="1"/>
  <c r="H3" i="20"/>
  <c r="H42" i="20" s="1"/>
  <c r="K2" i="20"/>
  <c r="K41" i="20" s="1"/>
  <c r="I8" i="20"/>
  <c r="I47" i="20" s="1"/>
  <c r="J8" i="20"/>
  <c r="J47" i="20" s="1"/>
  <c r="K8" i="20"/>
  <c r="J5" i="20"/>
  <c r="J44" i="20" s="1"/>
  <c r="I5" i="20"/>
  <c r="I44" i="20" s="1"/>
  <c r="H5" i="20"/>
  <c r="H44" i="20" s="1"/>
  <c r="G5" i="20"/>
  <c r="G44" i="20" s="1"/>
  <c r="F5" i="20"/>
  <c r="F44" i="20" s="1"/>
  <c r="E5" i="20"/>
  <c r="E44" i="20" s="1"/>
  <c r="C8" i="17"/>
  <c r="D8" i="17"/>
  <c r="E8" i="17"/>
  <c r="F8" i="17"/>
  <c r="G8" i="17"/>
  <c r="H8" i="17"/>
  <c r="B8" i="17"/>
  <c r="F9" i="17"/>
  <c r="F7" i="20"/>
  <c r="F46" i="20" s="1"/>
  <c r="G7" i="20"/>
  <c r="G46" i="20" s="1"/>
  <c r="H7" i="20"/>
  <c r="H46" i="20" s="1"/>
  <c r="I7" i="20"/>
  <c r="I46" i="20" s="1"/>
  <c r="J7" i="20"/>
  <c r="J46" i="20" s="1"/>
  <c r="E7" i="20"/>
  <c r="E46" i="20" s="1"/>
  <c r="D46" i="20" s="1"/>
  <c r="I6" i="20"/>
  <c r="I45" i="20" s="1"/>
  <c r="J6" i="20"/>
  <c r="J45" i="20" s="1"/>
  <c r="K6" i="20"/>
  <c r="H6" i="20"/>
  <c r="H45" i="20" s="1"/>
  <c r="I4" i="20"/>
  <c r="I43" i="20" s="1"/>
  <c r="J4" i="20"/>
  <c r="J43" i="20" s="1"/>
  <c r="K4" i="20"/>
  <c r="H4" i="20"/>
  <c r="H43" i="20" s="1"/>
  <c r="E3" i="20"/>
  <c r="E42" i="20" s="1"/>
  <c r="F3" i="20"/>
  <c r="F42" i="20" s="1"/>
  <c r="G3" i="20"/>
  <c r="G42" i="20" s="1"/>
  <c r="H2" i="20"/>
  <c r="H41" i="20" s="1"/>
  <c r="I2" i="20"/>
  <c r="I41" i="20" s="1"/>
  <c r="J2" i="20"/>
  <c r="J41" i="20" s="1"/>
  <c r="G2" i="20"/>
  <c r="G41" i="20" s="1"/>
  <c r="D44" i="20" l="1"/>
  <c r="L8" i="20"/>
  <c r="K47" i="20"/>
  <c r="L6" i="20"/>
  <c r="K45" i="20"/>
  <c r="D42" i="20"/>
  <c r="L2" i="20"/>
  <c r="L41" i="20" s="1"/>
  <c r="L4" i="20"/>
  <c r="K43" i="20"/>
  <c r="D48" i="20"/>
  <c r="C7" i="20"/>
  <c r="D5" i="20"/>
  <c r="C3" i="20"/>
  <c r="D3" i="20"/>
  <c r="D7" i="20"/>
  <c r="C9" i="20"/>
  <c r="C48" i="20" s="1"/>
  <c r="C5" i="20"/>
  <c r="D9" i="20"/>
  <c r="H9" i="17"/>
  <c r="G9" i="17"/>
  <c r="G3" i="16"/>
  <c r="F3" i="16"/>
  <c r="E3" i="16"/>
  <c r="D3" i="16"/>
  <c r="C3" i="16"/>
  <c r="H3" i="15"/>
  <c r="G3" i="15"/>
  <c r="F3" i="15"/>
  <c r="E3" i="15"/>
  <c r="D3" i="15"/>
  <c r="C3" i="15"/>
  <c r="B3" i="15"/>
  <c r="H3" i="18"/>
  <c r="G3" i="18"/>
  <c r="F3" i="18"/>
  <c r="E3" i="18"/>
  <c r="D3" i="18"/>
  <c r="C3" i="18"/>
  <c r="B3" i="18"/>
  <c r="D9" i="17"/>
  <c r="E9" i="17" s="1"/>
  <c r="C9" i="17"/>
  <c r="E3" i="14"/>
  <c r="D3" i="14"/>
  <c r="C3" i="14"/>
  <c r="B3" i="14"/>
  <c r="C35" i="20" l="1"/>
  <c r="C56" i="20"/>
  <c r="D56" i="20"/>
  <c r="C53" i="20"/>
  <c r="C62" i="20"/>
  <c r="D28" i="20"/>
  <c r="M6" i="20"/>
  <c r="L45" i="20"/>
  <c r="M4" i="20"/>
  <c r="L43" i="20"/>
  <c r="C28" i="20"/>
  <c r="M8" i="20"/>
  <c r="L47" i="20"/>
  <c r="M2" i="20"/>
  <c r="M41" i="20" s="1"/>
  <c r="O59" i="2"/>
  <c r="M59" i="2"/>
  <c r="N61" i="2" s="1"/>
  <c r="K59" i="2"/>
  <c r="O59" i="13"/>
  <c r="H61" i="2"/>
  <c r="J61" i="2"/>
  <c r="L61" i="2"/>
  <c r="P61" i="2"/>
  <c r="O44" i="2"/>
  <c r="M44" i="2"/>
  <c r="K44" i="2"/>
  <c r="P59" i="2"/>
  <c r="N59" i="2"/>
  <c r="L59" i="2"/>
  <c r="J59" i="2"/>
  <c r="H59" i="2"/>
  <c r="I44" i="2"/>
  <c r="P59" i="10"/>
  <c r="O59" i="10"/>
  <c r="O44" i="10"/>
  <c r="N59" i="10"/>
  <c r="M44" i="10"/>
  <c r="M59" i="10"/>
  <c r="L59" i="10"/>
  <c r="K59" i="10"/>
  <c r="K44" i="10"/>
  <c r="J59" i="10"/>
  <c r="I59" i="10"/>
  <c r="H59" i="10"/>
  <c r="P59" i="13"/>
  <c r="J59" i="13"/>
  <c r="L59" i="13"/>
  <c r="N59" i="13"/>
  <c r="M59" i="13"/>
  <c r="K59" i="13"/>
  <c r="I59" i="13"/>
  <c r="H59" i="13"/>
  <c r="O44" i="13"/>
  <c r="M44" i="13"/>
  <c r="K44" i="13"/>
  <c r="I44" i="13"/>
  <c r="P59" i="11"/>
  <c r="O59" i="11"/>
  <c r="N59" i="11"/>
  <c r="M59" i="11"/>
  <c r="L59" i="11"/>
  <c r="K59" i="11"/>
  <c r="J59" i="11"/>
  <c r="I59" i="11"/>
  <c r="P59" i="12"/>
  <c r="N59" i="12"/>
  <c r="L59" i="12"/>
  <c r="J59" i="12"/>
  <c r="H59" i="12"/>
  <c r="O44" i="11"/>
  <c r="N4" i="20" l="1"/>
  <c r="M43" i="20"/>
  <c r="N6" i="20"/>
  <c r="M45" i="20"/>
  <c r="N2" i="20"/>
  <c r="N41" i="20" s="1"/>
  <c r="N8" i="20"/>
  <c r="M47" i="20"/>
  <c r="M44" i="11"/>
  <c r="K44" i="11"/>
  <c r="I44" i="11"/>
  <c r="I44" i="12"/>
  <c r="I59" i="12" s="1"/>
  <c r="J61" i="12" s="1"/>
  <c r="O82" i="13"/>
  <c r="M82" i="13"/>
  <c r="K82" i="13"/>
  <c r="I82" i="13"/>
  <c r="H82" i="13"/>
  <c r="F80" i="13"/>
  <c r="N57" i="13"/>
  <c r="L57" i="13"/>
  <c r="P56" i="13"/>
  <c r="N56" i="13"/>
  <c r="L56" i="13"/>
  <c r="N51" i="13"/>
  <c r="P50" i="13"/>
  <c r="P49" i="13"/>
  <c r="P47" i="13"/>
  <c r="N46" i="13"/>
  <c r="P46" i="13" s="1"/>
  <c r="M42" i="13"/>
  <c r="O42" i="13" s="1"/>
  <c r="O41" i="13"/>
  <c r="M41" i="13"/>
  <c r="F41" i="13"/>
  <c r="M40" i="13"/>
  <c r="O40" i="13" s="1"/>
  <c r="K40" i="13"/>
  <c r="I40" i="13"/>
  <c r="K39" i="13"/>
  <c r="M39" i="13" s="1"/>
  <c r="O39" i="13" s="1"/>
  <c r="F39" i="13"/>
  <c r="K38" i="13"/>
  <c r="M38" i="13" s="1"/>
  <c r="O38" i="13" s="1"/>
  <c r="F38" i="13"/>
  <c r="K37" i="13"/>
  <c r="M37" i="13" s="1"/>
  <c r="O37" i="13" s="1"/>
  <c r="F37" i="13"/>
  <c r="M36" i="13"/>
  <c r="O36" i="13" s="1"/>
  <c r="K36" i="13"/>
  <c r="M35" i="13"/>
  <c r="O35" i="13" s="1"/>
  <c r="F35" i="13"/>
  <c r="K34" i="13"/>
  <c r="M34" i="13" s="1"/>
  <c r="O34" i="13" s="1"/>
  <c r="O33" i="13"/>
  <c r="K32" i="13"/>
  <c r="K31" i="13"/>
  <c r="K30" i="13"/>
  <c r="M30" i="13" s="1"/>
  <c r="O30" i="13" s="1"/>
  <c r="O29" i="13"/>
  <c r="M29" i="13"/>
  <c r="K29" i="13"/>
  <c r="M28" i="13"/>
  <c r="O28" i="13" s="1"/>
  <c r="K28" i="13"/>
  <c r="F28" i="13"/>
  <c r="K27" i="13"/>
  <c r="M27" i="13" s="1"/>
  <c r="O27" i="13" s="1"/>
  <c r="F27" i="13"/>
  <c r="K26" i="13"/>
  <c r="M26" i="13" s="1"/>
  <c r="O26" i="13" s="1"/>
  <c r="I26" i="13"/>
  <c r="G26" i="13"/>
  <c r="F44" i="13" s="1"/>
  <c r="M24" i="13"/>
  <c r="O24" i="13" s="1"/>
  <c r="K24" i="13"/>
  <c r="O23" i="13"/>
  <c r="M23" i="13"/>
  <c r="K22" i="13"/>
  <c r="I22" i="13"/>
  <c r="M21" i="13"/>
  <c r="O21" i="13" s="1"/>
  <c r="K21" i="13"/>
  <c r="M20" i="13"/>
  <c r="O20" i="13" s="1"/>
  <c r="O19" i="13"/>
  <c r="M19" i="13"/>
  <c r="K19" i="13"/>
  <c r="I19" i="13"/>
  <c r="O18" i="13"/>
  <c r="M18" i="13"/>
  <c r="K18" i="13"/>
  <c r="I18" i="13"/>
  <c r="O17" i="13"/>
  <c r="K16" i="13"/>
  <c r="M16" i="13" s="1"/>
  <c r="I16" i="13"/>
  <c r="O15" i="13"/>
  <c r="M15" i="13"/>
  <c r="K15" i="13"/>
  <c r="F15" i="13"/>
  <c r="P7" i="13"/>
  <c r="N7" i="13"/>
  <c r="L7" i="13"/>
  <c r="L5" i="13"/>
  <c r="O82" i="12"/>
  <c r="M82" i="12"/>
  <c r="K82" i="12"/>
  <c r="I82" i="12"/>
  <c r="H82" i="12"/>
  <c r="F80" i="12"/>
  <c r="N57" i="12"/>
  <c r="L57" i="12"/>
  <c r="P56" i="12"/>
  <c r="N56" i="12"/>
  <c r="L56" i="12"/>
  <c r="N51" i="12"/>
  <c r="P50" i="12"/>
  <c r="P49" i="12"/>
  <c r="P47" i="12"/>
  <c r="N46" i="12"/>
  <c r="P46" i="12" s="1"/>
  <c r="M42" i="12"/>
  <c r="O42" i="12" s="1"/>
  <c r="F41" i="12"/>
  <c r="O41" i="12" s="1"/>
  <c r="M40" i="12"/>
  <c r="O40" i="12" s="1"/>
  <c r="K40" i="12"/>
  <c r="I40" i="12"/>
  <c r="F39" i="12"/>
  <c r="K39" i="12" s="1"/>
  <c r="M39" i="12" s="1"/>
  <c r="O39" i="12" s="1"/>
  <c r="F38" i="12"/>
  <c r="K38" i="12" s="1"/>
  <c r="M38" i="12" s="1"/>
  <c r="O38" i="12" s="1"/>
  <c r="K37" i="12"/>
  <c r="M37" i="12" s="1"/>
  <c r="O37" i="12" s="1"/>
  <c r="F37" i="12"/>
  <c r="K36" i="12"/>
  <c r="M36" i="12" s="1"/>
  <c r="O36" i="12" s="1"/>
  <c r="M35" i="12"/>
  <c r="O35" i="12" s="1"/>
  <c r="F35" i="12"/>
  <c r="K34" i="12"/>
  <c r="M34" i="12" s="1"/>
  <c r="O34" i="12" s="1"/>
  <c r="O33" i="12"/>
  <c r="K32" i="12"/>
  <c r="K31" i="12"/>
  <c r="K30" i="12"/>
  <c r="M30" i="12" s="1"/>
  <c r="O30" i="12" s="1"/>
  <c r="O29" i="12"/>
  <c r="M29" i="12"/>
  <c r="K29" i="12"/>
  <c r="F28" i="12"/>
  <c r="K28" i="12" s="1"/>
  <c r="M28" i="12" s="1"/>
  <c r="O28" i="12" s="1"/>
  <c r="K27" i="12"/>
  <c r="M27" i="12" s="1"/>
  <c r="O27" i="12" s="1"/>
  <c r="F27" i="12"/>
  <c r="K26" i="12"/>
  <c r="M26" i="12" s="1"/>
  <c r="I26" i="12"/>
  <c r="G26" i="12"/>
  <c r="M24" i="12"/>
  <c r="O24" i="12" s="1"/>
  <c r="K24" i="12"/>
  <c r="O23" i="12"/>
  <c r="M23" i="12"/>
  <c r="K22" i="12"/>
  <c r="I22" i="12"/>
  <c r="M21" i="12"/>
  <c r="O21" i="12" s="1"/>
  <c r="K21" i="12"/>
  <c r="M20" i="12"/>
  <c r="O20" i="12" s="1"/>
  <c r="M19" i="12"/>
  <c r="O19" i="12" s="1"/>
  <c r="K19" i="12"/>
  <c r="I19" i="12"/>
  <c r="M18" i="12"/>
  <c r="O18" i="12" s="1"/>
  <c r="K18" i="12"/>
  <c r="I18" i="12"/>
  <c r="O17" i="12"/>
  <c r="K16" i="12"/>
  <c r="M16" i="12" s="1"/>
  <c r="I16" i="12"/>
  <c r="O15" i="12"/>
  <c r="M15" i="12"/>
  <c r="K15" i="12"/>
  <c r="F15" i="12"/>
  <c r="P7" i="12"/>
  <c r="N7" i="12"/>
  <c r="L7" i="12"/>
  <c r="L5" i="12"/>
  <c r="O82" i="11"/>
  <c r="M82" i="11"/>
  <c r="K82" i="11"/>
  <c r="I82" i="11"/>
  <c r="H82" i="11"/>
  <c r="F80" i="11"/>
  <c r="N57" i="11"/>
  <c r="L57" i="11"/>
  <c r="P56" i="11"/>
  <c r="N56" i="11"/>
  <c r="L56" i="11"/>
  <c r="N51" i="11"/>
  <c r="P50" i="11"/>
  <c r="P49" i="11"/>
  <c r="P47" i="11"/>
  <c r="N46" i="11"/>
  <c r="P46" i="11" s="1"/>
  <c r="M42" i="11"/>
  <c r="O42" i="11" s="1"/>
  <c r="O41" i="11"/>
  <c r="M41" i="11"/>
  <c r="F41" i="11"/>
  <c r="M40" i="11"/>
  <c r="O40" i="11" s="1"/>
  <c r="K40" i="11"/>
  <c r="I40" i="11"/>
  <c r="K39" i="11"/>
  <c r="M39" i="11" s="1"/>
  <c r="O39" i="11" s="1"/>
  <c r="F39" i="11"/>
  <c r="K38" i="11"/>
  <c r="M38" i="11" s="1"/>
  <c r="O38" i="11" s="1"/>
  <c r="F38" i="11"/>
  <c r="M37" i="11"/>
  <c r="O37" i="11" s="1"/>
  <c r="K37" i="11"/>
  <c r="F37" i="11"/>
  <c r="K36" i="11"/>
  <c r="M36" i="11" s="1"/>
  <c r="O36" i="11" s="1"/>
  <c r="M35" i="11"/>
  <c r="O35" i="11" s="1"/>
  <c r="F35" i="11"/>
  <c r="K34" i="11"/>
  <c r="M34" i="11" s="1"/>
  <c r="O34" i="11" s="1"/>
  <c r="O33" i="11"/>
  <c r="K32" i="11"/>
  <c r="K31" i="11"/>
  <c r="M31" i="11" s="1"/>
  <c r="O31" i="11" s="1"/>
  <c r="K30" i="11"/>
  <c r="M30" i="11" s="1"/>
  <c r="O30" i="11" s="1"/>
  <c r="O29" i="11"/>
  <c r="M29" i="11"/>
  <c r="K29" i="11"/>
  <c r="M28" i="11"/>
  <c r="O28" i="11" s="1"/>
  <c r="K28" i="11"/>
  <c r="F28" i="11"/>
  <c r="M27" i="11"/>
  <c r="O27" i="11" s="1"/>
  <c r="K27" i="11"/>
  <c r="F27" i="11"/>
  <c r="M26" i="11"/>
  <c r="O26" i="11" s="1"/>
  <c r="K26" i="11"/>
  <c r="I26" i="11"/>
  <c r="G26" i="11"/>
  <c r="F44" i="11" s="1"/>
  <c r="O24" i="11"/>
  <c r="M24" i="11"/>
  <c r="K24" i="11"/>
  <c r="O23" i="11"/>
  <c r="M23" i="11"/>
  <c r="K22" i="11"/>
  <c r="I22" i="11"/>
  <c r="M21" i="11"/>
  <c r="O21" i="11" s="1"/>
  <c r="K21" i="11"/>
  <c r="M20" i="11"/>
  <c r="O20" i="11" s="1"/>
  <c r="O19" i="11"/>
  <c r="M19" i="11"/>
  <c r="K19" i="11"/>
  <c r="I19" i="11"/>
  <c r="O18" i="11"/>
  <c r="M18" i="11"/>
  <c r="K18" i="11"/>
  <c r="I18" i="11"/>
  <c r="O17" i="11"/>
  <c r="K16" i="11"/>
  <c r="I16" i="11"/>
  <c r="O15" i="11"/>
  <c r="M15" i="11"/>
  <c r="K15" i="11"/>
  <c r="F15" i="11"/>
  <c r="P7" i="11"/>
  <c r="N7" i="11"/>
  <c r="L7" i="11"/>
  <c r="L5" i="11"/>
  <c r="O82" i="10"/>
  <c r="M82" i="10"/>
  <c r="K82" i="10"/>
  <c r="I82" i="10"/>
  <c r="H82" i="10"/>
  <c r="F80" i="10"/>
  <c r="N57" i="10"/>
  <c r="L57" i="10"/>
  <c r="P56" i="10"/>
  <c r="N56" i="10"/>
  <c r="L56" i="10"/>
  <c r="N51" i="10"/>
  <c r="P50" i="10"/>
  <c r="P49" i="10"/>
  <c r="P47" i="10"/>
  <c r="N46" i="10"/>
  <c r="P46" i="10" s="1"/>
  <c r="F44" i="10"/>
  <c r="M42" i="10"/>
  <c r="O42" i="10" s="1"/>
  <c r="O41" i="10"/>
  <c r="M41" i="10"/>
  <c r="F41" i="10"/>
  <c r="K40" i="10"/>
  <c r="M40" i="10" s="1"/>
  <c r="O40" i="10" s="1"/>
  <c r="I40" i="10"/>
  <c r="K39" i="10"/>
  <c r="M39" i="10" s="1"/>
  <c r="O39" i="10" s="1"/>
  <c r="F39" i="10"/>
  <c r="K38" i="10"/>
  <c r="M38" i="10" s="1"/>
  <c r="O38" i="10" s="1"/>
  <c r="F38" i="10"/>
  <c r="K37" i="10"/>
  <c r="M37" i="10" s="1"/>
  <c r="O37" i="10" s="1"/>
  <c r="F37" i="10"/>
  <c r="K36" i="10"/>
  <c r="M36" i="10" s="1"/>
  <c r="O36" i="10" s="1"/>
  <c r="M35" i="10"/>
  <c r="O35" i="10" s="1"/>
  <c r="F35" i="10"/>
  <c r="K34" i="10"/>
  <c r="M34" i="10" s="1"/>
  <c r="O34" i="10" s="1"/>
  <c r="O33" i="10"/>
  <c r="K32" i="10"/>
  <c r="K31" i="10"/>
  <c r="M31" i="10" s="1"/>
  <c r="O31" i="10" s="1"/>
  <c r="K30" i="10"/>
  <c r="M30" i="10" s="1"/>
  <c r="O30" i="10" s="1"/>
  <c r="O29" i="10"/>
  <c r="M29" i="10"/>
  <c r="K29" i="10"/>
  <c r="K28" i="10"/>
  <c r="M28" i="10" s="1"/>
  <c r="O28" i="10" s="1"/>
  <c r="F28" i="10"/>
  <c r="K27" i="10"/>
  <c r="M27" i="10" s="1"/>
  <c r="O27" i="10" s="1"/>
  <c r="F27" i="10"/>
  <c r="K26" i="10"/>
  <c r="M26" i="10" s="1"/>
  <c r="O26" i="10" s="1"/>
  <c r="I26" i="10"/>
  <c r="G26" i="10"/>
  <c r="M24" i="10"/>
  <c r="O24" i="10" s="1"/>
  <c r="K24" i="10"/>
  <c r="O23" i="10"/>
  <c r="M23" i="10"/>
  <c r="K22" i="10"/>
  <c r="I22" i="10"/>
  <c r="M21" i="10"/>
  <c r="O21" i="10" s="1"/>
  <c r="K21" i="10"/>
  <c r="M20" i="10"/>
  <c r="O20" i="10" s="1"/>
  <c r="M19" i="10"/>
  <c r="O19" i="10" s="1"/>
  <c r="K19" i="10"/>
  <c r="I19" i="10"/>
  <c r="M18" i="10"/>
  <c r="O18" i="10" s="1"/>
  <c r="K18" i="10"/>
  <c r="I18" i="10"/>
  <c r="O17" i="10"/>
  <c r="K16" i="10"/>
  <c r="M16" i="10" s="1"/>
  <c r="I16" i="10"/>
  <c r="O15" i="10"/>
  <c r="M15" i="10"/>
  <c r="K15" i="10"/>
  <c r="F15" i="10"/>
  <c r="P7" i="10"/>
  <c r="N7" i="10"/>
  <c r="L7" i="10"/>
  <c r="L5" i="10"/>
  <c r="O6" i="20" l="1"/>
  <c r="N45" i="20"/>
  <c r="O2" i="20"/>
  <c r="O41" i="20" s="1"/>
  <c r="O4" i="20"/>
  <c r="N43" i="20"/>
  <c r="O8" i="20"/>
  <c r="N47" i="20"/>
  <c r="O26" i="12"/>
  <c r="O44" i="12" s="1"/>
  <c r="O59" i="12" s="1"/>
  <c r="M44" i="12"/>
  <c r="M59" i="12" s="1"/>
  <c r="M41" i="12"/>
  <c r="K44" i="12"/>
  <c r="K59" i="12" s="1"/>
  <c r="L61" i="12" s="1"/>
  <c r="F44" i="12"/>
  <c r="G44" i="12"/>
  <c r="G59" i="12" s="1"/>
  <c r="H61" i="12" s="1"/>
  <c r="F59" i="10"/>
  <c r="F59" i="13"/>
  <c r="F59" i="12"/>
  <c r="F59" i="11"/>
  <c r="O16" i="13"/>
  <c r="J61" i="13"/>
  <c r="M31" i="13"/>
  <c r="O31" i="13" s="1"/>
  <c r="L61" i="13"/>
  <c r="O16" i="12"/>
  <c r="M31" i="12"/>
  <c r="O31" i="12" s="1"/>
  <c r="L61" i="11"/>
  <c r="M16" i="11"/>
  <c r="J61" i="11"/>
  <c r="O16" i="10"/>
  <c r="M61" i="10"/>
  <c r="K61" i="10"/>
  <c r="I61" i="10"/>
  <c r="P2" i="20" l="1"/>
  <c r="P41" i="20" s="1"/>
  <c r="P4" i="20"/>
  <c r="O43" i="20"/>
  <c r="P8" i="20"/>
  <c r="O47" i="20"/>
  <c r="P6" i="20"/>
  <c r="O45" i="20"/>
  <c r="O61" i="10"/>
  <c r="P61" i="13"/>
  <c r="N61" i="13"/>
  <c r="P61" i="12"/>
  <c r="N61" i="12"/>
  <c r="O16" i="11"/>
  <c r="N61" i="11"/>
  <c r="Q4" i="20" l="1"/>
  <c r="P43" i="20"/>
  <c r="Q6" i="20"/>
  <c r="P45" i="20"/>
  <c r="Q8" i="20"/>
  <c r="P47" i="20"/>
  <c r="Q2" i="20"/>
  <c r="Q41" i="20" s="1"/>
  <c r="P61" i="11"/>
  <c r="R8" i="20" l="1"/>
  <c r="Q47" i="20"/>
  <c r="R6" i="20"/>
  <c r="Q45" i="20"/>
  <c r="R2" i="20"/>
  <c r="R41" i="20" s="1"/>
  <c r="R4" i="20"/>
  <c r="Q43" i="20"/>
  <c r="M21" i="2"/>
  <c r="O21" i="2" s="1"/>
  <c r="M20" i="2"/>
  <c r="S2" i="20" l="1"/>
  <c r="S41" i="20" s="1"/>
  <c r="S6" i="20"/>
  <c r="R45" i="20"/>
  <c r="S4" i="20"/>
  <c r="R43" i="20"/>
  <c r="S8" i="20"/>
  <c r="R47" i="20"/>
  <c r="M42" i="2"/>
  <c r="T6" i="20" l="1"/>
  <c r="S45" i="20"/>
  <c r="T4" i="20"/>
  <c r="S43" i="20"/>
  <c r="T8" i="20"/>
  <c r="S47" i="20"/>
  <c r="T2" i="20"/>
  <c r="T41" i="20" s="1"/>
  <c r="M41" i="2"/>
  <c r="O41" i="2"/>
  <c r="K39" i="2"/>
  <c r="O38" i="2"/>
  <c r="M38" i="2"/>
  <c r="K38" i="2"/>
  <c r="K37" i="2"/>
  <c r="M37" i="2" s="1"/>
  <c r="K36" i="2"/>
  <c r="M34" i="2"/>
  <c r="K34" i="2"/>
  <c r="K32" i="2"/>
  <c r="M29" i="2"/>
  <c r="M27" i="2"/>
  <c r="K31" i="2"/>
  <c r="M31" i="2" s="1"/>
  <c r="K30" i="2"/>
  <c r="M30" i="2" s="1"/>
  <c r="K29" i="2"/>
  <c r="K28" i="2"/>
  <c r="M28" i="2" s="1"/>
  <c r="K27" i="2"/>
  <c r="K21" i="2"/>
  <c r="U8" i="20" l="1"/>
  <c r="T47" i="20"/>
  <c r="U4" i="20"/>
  <c r="T43" i="20"/>
  <c r="U2" i="20"/>
  <c r="U41" i="20" s="1"/>
  <c r="U6" i="20"/>
  <c r="T45" i="20"/>
  <c r="P7" i="2"/>
  <c r="N7" i="2"/>
  <c r="L7" i="2"/>
  <c r="V2" i="20" l="1"/>
  <c r="V41" i="20" s="1"/>
  <c r="V6" i="20"/>
  <c r="U45" i="20"/>
  <c r="V4" i="20"/>
  <c r="U43" i="20"/>
  <c r="V8" i="20"/>
  <c r="U47" i="20"/>
  <c r="G26" i="2"/>
  <c r="I9" i="4"/>
  <c r="E9" i="4"/>
  <c r="H9" i="4"/>
  <c r="D9" i="4"/>
  <c r="K9" i="4"/>
  <c r="G9" i="4"/>
  <c r="C9" i="4"/>
  <c r="J9" i="4"/>
  <c r="F9" i="4"/>
  <c r="B9" i="4"/>
  <c r="W4" i="20" l="1"/>
  <c r="V43" i="20"/>
  <c r="W6" i="20"/>
  <c r="V45" i="20"/>
  <c r="W8" i="20"/>
  <c r="V47" i="20"/>
  <c r="W2" i="20"/>
  <c r="W41" i="20" s="1"/>
  <c r="O33" i="2"/>
  <c r="X8" i="20" l="1"/>
  <c r="W47" i="20"/>
  <c r="X2" i="20"/>
  <c r="X41" i="20" s="1"/>
  <c r="X6" i="20"/>
  <c r="W45" i="20"/>
  <c r="X4" i="20"/>
  <c r="W43" i="20"/>
  <c r="O29" i="2"/>
  <c r="Y4" i="20" l="1"/>
  <c r="X43" i="20"/>
  <c r="Y6" i="20"/>
  <c r="X45" i="20"/>
  <c r="Y2" i="20"/>
  <c r="Y41" i="20" s="1"/>
  <c r="Y8" i="20"/>
  <c r="X47" i="20"/>
  <c r="O20" i="2"/>
  <c r="F39" i="2"/>
  <c r="F38" i="2"/>
  <c r="F37" i="2"/>
  <c r="F35" i="2"/>
  <c r="F28" i="2"/>
  <c r="F27" i="2"/>
  <c r="I40" i="2"/>
  <c r="M24" i="2"/>
  <c r="K24" i="2"/>
  <c r="Z8" i="20" l="1"/>
  <c r="Y47" i="20"/>
  <c r="Z2" i="20"/>
  <c r="Z41" i="20" s="1"/>
  <c r="Z6" i="20"/>
  <c r="Y45" i="20"/>
  <c r="Z4" i="20"/>
  <c r="Y43" i="20"/>
  <c r="K16" i="2"/>
  <c r="K18" i="2"/>
  <c r="K19" i="2"/>
  <c r="K22" i="2"/>
  <c r="O23" i="2"/>
  <c r="F41" i="2"/>
  <c r="M39" i="2"/>
  <c r="O39" i="2" s="1"/>
  <c r="M35" i="2"/>
  <c r="O35" i="2" s="1"/>
  <c r="M19" i="2"/>
  <c r="M18" i="2"/>
  <c r="O34" i="2"/>
  <c r="O27" i="2"/>
  <c r="O28" i="2"/>
  <c r="O31" i="2"/>
  <c r="M36" i="2"/>
  <c r="O36" i="2" s="1"/>
  <c r="O37" i="2"/>
  <c r="K40" i="2"/>
  <c r="M40" i="2" s="1"/>
  <c r="O40" i="2" s="1"/>
  <c r="AA4" i="20" l="1"/>
  <c r="Z43" i="20"/>
  <c r="AA6" i="20"/>
  <c r="Z45" i="20"/>
  <c r="AA2" i="20"/>
  <c r="AA41" i="20" s="1"/>
  <c r="AA8" i="20"/>
  <c r="Z47" i="20"/>
  <c r="M23" i="2"/>
  <c r="O30" i="2"/>
  <c r="AA47" i="20" l="1"/>
  <c r="D47" i="20" s="1"/>
  <c r="C8" i="20"/>
  <c r="D8" i="20"/>
  <c r="D41" i="20"/>
  <c r="D2" i="20"/>
  <c r="C63" i="20" s="1"/>
  <c r="C2" i="20"/>
  <c r="C59" i="20" s="1"/>
  <c r="C61" i="20" s="1"/>
  <c r="AA45" i="20"/>
  <c r="D45" i="20" s="1"/>
  <c r="D6" i="20"/>
  <c r="C6" i="20"/>
  <c r="AA43" i="20"/>
  <c r="D43" i="20" s="1"/>
  <c r="D4" i="20"/>
  <c r="C4" i="20"/>
  <c r="C19" i="9"/>
  <c r="D19" i="9"/>
  <c r="E19" i="9"/>
  <c r="F19" i="9"/>
  <c r="G19" i="9"/>
  <c r="H19" i="9"/>
  <c r="I19" i="9"/>
  <c r="J19" i="9"/>
  <c r="K19" i="9"/>
  <c r="B19" i="9"/>
  <c r="D29" i="20" l="1"/>
  <c r="D31" i="20" s="1"/>
  <c r="D14" i="20"/>
  <c r="C29" i="20"/>
  <c r="C31" i="20" s="1"/>
  <c r="C14" i="20"/>
  <c r="C33" i="20" s="1"/>
  <c r="C9" i="9"/>
  <c r="B9" i="9"/>
  <c r="B23" i="9" s="1"/>
  <c r="J6" i="9"/>
  <c r="J7" i="9"/>
  <c r="J8" i="9"/>
  <c r="K6" i="9"/>
  <c r="K7" i="9"/>
  <c r="K8" i="9"/>
  <c r="K5" i="9"/>
  <c r="J5" i="9"/>
  <c r="I6" i="9"/>
  <c r="I7" i="9"/>
  <c r="I8" i="9"/>
  <c r="H6" i="9"/>
  <c r="H7" i="9"/>
  <c r="H8" i="9"/>
  <c r="I5" i="9"/>
  <c r="H5" i="9"/>
  <c r="G6" i="9"/>
  <c r="G7" i="9"/>
  <c r="G8" i="9"/>
  <c r="F6" i="9"/>
  <c r="F7" i="9"/>
  <c r="F8" i="9"/>
  <c r="F9" i="9" s="1"/>
  <c r="G5" i="9"/>
  <c r="F5" i="9"/>
  <c r="E6" i="9"/>
  <c r="E7" i="9"/>
  <c r="E8" i="9"/>
  <c r="D6" i="9"/>
  <c r="D7" i="9"/>
  <c r="D8" i="9"/>
  <c r="E5" i="9"/>
  <c r="D5" i="9"/>
  <c r="J9" i="9" l="1"/>
  <c r="D9" i="9"/>
  <c r="H9" i="9"/>
  <c r="E23" i="9" s="1"/>
  <c r="E9" i="9"/>
  <c r="C23" i="9" s="1"/>
  <c r="G9" i="9"/>
  <c r="D23" i="9" s="1"/>
  <c r="I9" i="9"/>
  <c r="K9" i="9"/>
  <c r="F23" i="9"/>
  <c r="K15" i="2"/>
  <c r="M15" i="2"/>
  <c r="O24" i="2"/>
  <c r="I22" i="2"/>
  <c r="I19" i="2"/>
  <c r="I18" i="2"/>
  <c r="P49" i="2" l="1"/>
  <c r="H82" i="2" l="1"/>
  <c r="I82" i="2"/>
  <c r="Q45" i="8" l="1"/>
  <c r="O45" i="8"/>
  <c r="M45" i="8"/>
  <c r="K45" i="8"/>
  <c r="N57" i="2" l="1"/>
  <c r="L57" i="2"/>
  <c r="P50" i="2" l="1"/>
  <c r="N51" i="2"/>
  <c r="N46" i="2" l="1"/>
  <c r="P46" i="2" s="1"/>
  <c r="P47" i="2"/>
  <c r="O15" i="2" l="1"/>
  <c r="F44" i="2" l="1"/>
  <c r="F15" i="2"/>
  <c r="I26" i="2" l="1"/>
  <c r="E30" i="6" l="1"/>
  <c r="I30" i="6" s="1"/>
  <c r="I28" i="6"/>
  <c r="H28" i="6"/>
  <c r="I26" i="6"/>
  <c r="I31" i="6" s="1"/>
  <c r="I25" i="6"/>
  <c r="I24" i="6"/>
  <c r="I23" i="6"/>
  <c r="H22" i="6"/>
  <c r="H31" i="6" s="1"/>
  <c r="D22" i="6"/>
  <c r="G18" i="6"/>
  <c r="F18" i="6"/>
  <c r="I16" i="6"/>
  <c r="H15" i="6"/>
  <c r="E15" i="6"/>
  <c r="I15" i="6" s="1"/>
  <c r="I14" i="6"/>
  <c r="H14" i="6"/>
  <c r="E14" i="6"/>
  <c r="H13" i="6"/>
  <c r="E13" i="6"/>
  <c r="I13" i="6" s="1"/>
  <c r="H12" i="6"/>
  <c r="E12" i="6"/>
  <c r="I12" i="6" s="1"/>
  <c r="I11" i="6"/>
  <c r="H11" i="6"/>
  <c r="E11" i="6"/>
  <c r="I10" i="6"/>
  <c r="H10" i="6"/>
  <c r="H9" i="6"/>
  <c r="E9" i="6"/>
  <c r="I9" i="6" s="1"/>
  <c r="H8" i="6"/>
  <c r="E8" i="6"/>
  <c r="I8" i="6" s="1"/>
  <c r="H7" i="6"/>
  <c r="E7" i="6"/>
  <c r="I7" i="6" s="1"/>
  <c r="I6" i="6"/>
  <c r="H6" i="6"/>
  <c r="H5" i="6"/>
  <c r="E5" i="6"/>
  <c r="I5" i="6" s="1"/>
  <c r="H4" i="6"/>
  <c r="E4" i="6"/>
  <c r="I4" i="6" s="1"/>
  <c r="H18" i="6" l="1"/>
  <c r="H33" i="6"/>
  <c r="I17" i="6"/>
  <c r="I18" i="6" s="1"/>
  <c r="I33" i="6" s="1"/>
  <c r="I34" i="6" s="1"/>
  <c r="O82" i="2" l="1"/>
  <c r="F80" i="2"/>
  <c r="M82" i="2"/>
  <c r="K82" i="2"/>
  <c r="O42" i="2"/>
  <c r="K26" i="2"/>
  <c r="P56" i="2"/>
  <c r="N56" i="2"/>
  <c r="L56" i="2"/>
  <c r="O19" i="2"/>
  <c r="O18" i="2"/>
  <c r="L5" i="2"/>
  <c r="M26" i="2" l="1"/>
  <c r="O26" i="2" s="1"/>
  <c r="O17" i="2"/>
  <c r="I16" i="2"/>
  <c r="M16" i="2"/>
  <c r="O16" i="2" s="1"/>
  <c r="F5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Malensky, Vern</author>
    <author>Carrozzo, Steve</author>
  </authors>
  <commentList>
    <comment ref="Q5" authorId="0" shapeId="0" xr:uid="{90C77F19-95EA-479A-81DD-AEE7E4E0011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Meter costs were capitalized when purchased by the meter shop
5.1.17 - may have less than 30 meters outstanding approx $6.5k.  Robb checking with Virgil.</t>
        </r>
      </text>
    </comment>
    <comment ref="A6" authorId="1" shapeId="0" xr:uid="{8E73889C-2B37-4C48-8200-58F0C98D75B2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Benefits Dashboard spreadsheet tracking actuals versus revised forecast.  49% of total meter reader forecast costs.</t>
        </r>
      </text>
    </comment>
    <comment ref="K6" authorId="1" shapeId="0" xr:uid="{C0DBC0E7-EAE0-40C4-86E3-78CC961DB46A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value calculated from O&amp;M Modeled in Benefits tab of business case spreadhseet, excluding database admin, annual system support, software/handhelds, fleet mileage, injury related costs.</t>
        </r>
      </text>
    </comment>
    <comment ref="A8" authorId="1" shapeId="0" xr:uid="{1FD735F3-1F47-4C61-A9B1-810FC8B8B783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Based on benefits model, this is a reduction in the OSM staffing as a result of the AMI deployment</t>
        </r>
      </text>
    </comment>
    <comment ref="L9" authorId="2" shapeId="0" xr:uid="{BA8B20BF-AF6B-4B5D-865F-9D034B39EF62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$180k 2019 to 2020</t>
        </r>
      </text>
    </comment>
    <comment ref="L10" authorId="2" shapeId="0" xr:uid="{B306048F-BEF0-4938-8C3A-898358BEA349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$39k </t>
        </r>
      </text>
    </comment>
    <comment ref="L11" authorId="2" shapeId="0" xr:uid="{14832830-2CE6-49A9-B80C-7EB3A298400F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was$10k</t>
        </r>
      </text>
    </comment>
    <comment ref="A15" authorId="1" shapeId="0" xr:uid="{7C7B530F-1F9E-4328-A656-F47189C007A3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  <comment ref="A23" authorId="2" shapeId="0" xr:uid="{FB4D486D-F642-4514-BC05-C9518161F3D7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25" authorId="2" shapeId="0" xr:uid="{72445296-7F28-4010-B40D-23BECEC24168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43" authorId="1" shapeId="0" xr:uid="{2B1FEF0B-4D46-41A8-BECF-161A0E2CB77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This should not extend out past 2023 in O&amp;M forecasts… after warranty is up, these will move to capital.</t>
        </r>
      </text>
    </comment>
    <comment ref="A44" authorId="1" shapeId="0" xr:uid="{97D2D4B7-18C2-440C-972B-5FDE7D566278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Malensky, Vern</author>
    <author>Carrozzo, Steve</author>
  </authors>
  <commentList>
    <comment ref="Q5" authorId="0" shapeId="0" xr:uid="{72FE58F3-CA6C-40A5-B65A-7ADA4C445B4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Meter costs were capitalized when purchased by the meter shop
5.1.17 - may have less than 30 meters outstanding approx $6.5k.  Robb checking with Virgil.</t>
        </r>
      </text>
    </comment>
    <comment ref="A6" authorId="1" shapeId="0" xr:uid="{27451432-ED16-4500-9F8D-767CA6262D6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Benefits Dashboard spreadsheet tracking actuals versus revised forecast.  49% of total meter reader forecast costs.</t>
        </r>
      </text>
    </comment>
    <comment ref="K6" authorId="1" shapeId="0" xr:uid="{A3B3FB79-8B4A-45C4-BAE0-C0A8E982A276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value calculated from O&amp;M Modeled in Benefits tab of business case spreadhseet, excluding database admin, annual system support, software/handhelds, fleet mileage, injury related costs.</t>
        </r>
      </text>
    </comment>
    <comment ref="A8" authorId="1" shapeId="0" xr:uid="{AD134F15-AD07-43DE-A042-889E1C39EFB9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Based on benefits model, this is a reduction in the OSM staffing as a result of the AMI deployment</t>
        </r>
      </text>
    </comment>
    <comment ref="L9" authorId="2" shapeId="0" xr:uid="{A6B486DF-140B-4273-B3DF-E5918BF40E88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$180k 2019 to 2020</t>
        </r>
      </text>
    </comment>
    <comment ref="L10" authorId="2" shapeId="0" xr:uid="{A0EDDFA8-E530-4993-A3E9-537428ABDA1F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$39k </t>
        </r>
      </text>
    </comment>
    <comment ref="L11" authorId="2" shapeId="0" xr:uid="{771C0D4D-0A48-46BE-A5A1-63CB1256CB9D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was$10k</t>
        </r>
      </text>
    </comment>
    <comment ref="A15" authorId="1" shapeId="0" xr:uid="{1BF5926C-DAAF-4A5E-8511-DBC1950F37B3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  <comment ref="A23" authorId="2" shapeId="0" xr:uid="{EEF3AB47-4BD6-4C7A-B7E9-FED5B338BE03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25" authorId="2" shapeId="0" xr:uid="{ADC392F3-163C-4854-A542-03FA7170B7E4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43" authorId="1" shapeId="0" xr:uid="{8D25C7A9-5F4E-47FC-8D6F-3FD481004E7C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This should not extend out past 2023 in O&amp;M forecasts… after warranty is up, these will move to capital.</t>
        </r>
      </text>
    </comment>
    <comment ref="A44" authorId="1" shapeId="0" xr:uid="{ADC0A4AB-C4FC-4A47-A87C-5CCCE7F7176C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Malensky, Vern</author>
    <author>Carrozzo, Steve</author>
  </authors>
  <commentList>
    <comment ref="Q5" authorId="0" shapeId="0" xr:uid="{58C1AB51-23F8-479C-BF87-D46FACF53DC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Meter costs were capitalized when purchased by the meter shop
5.1.17 - may have less than 30 meters outstanding approx $6.5k.  Robb checking with Virgil.</t>
        </r>
      </text>
    </comment>
    <comment ref="A6" authorId="1" shapeId="0" xr:uid="{C5B65E11-5E01-43A6-9132-ED840FAC84F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Benefits Dashboard spreadsheet tracking actuals versus revised forecast.  49% of total meter reader forecast costs.</t>
        </r>
      </text>
    </comment>
    <comment ref="K6" authorId="1" shapeId="0" xr:uid="{A9942808-04A6-438A-9A4E-30DDDEB6128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value calculated from O&amp;M Modeled in Benefits tab of business case spreadhseet, excluding database admin, annual system support, software/handhelds, fleet mileage, injury related costs.</t>
        </r>
      </text>
    </comment>
    <comment ref="A8" authorId="1" shapeId="0" xr:uid="{D2D80C45-C1FA-4203-BA6E-919BA0D64297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Based on benefits model, this is a reduction in the OSM staffing as a result of the AMI deployment</t>
        </r>
      </text>
    </comment>
    <comment ref="L9" authorId="2" shapeId="0" xr:uid="{6E07AFB0-D93B-477B-86BD-69F0BAD277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$180k 2019 to 2020</t>
        </r>
      </text>
    </comment>
    <comment ref="L10" authorId="2" shapeId="0" xr:uid="{C135C648-D409-476D-A46C-99B1A74FDB9B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$39k </t>
        </r>
      </text>
    </comment>
    <comment ref="L11" authorId="2" shapeId="0" xr:uid="{AFDE6AA1-36AC-4064-83D2-101E6B7697D2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was$10k</t>
        </r>
      </text>
    </comment>
    <comment ref="A15" authorId="1" shapeId="0" xr:uid="{D4F0C184-C796-489F-B826-BA6B458D650E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  <comment ref="A23" authorId="2" shapeId="0" xr:uid="{97A967EC-8BE1-4702-AE42-B05829494CE2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25" authorId="2" shapeId="0" xr:uid="{189CA893-D561-4305-BA81-4786F000E56D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43" authorId="1" shapeId="0" xr:uid="{001455A2-1D94-4440-8122-C9B433CE0466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This should not extend out past 2023 in O&amp;M forecasts… after warranty is up, these will move to capital.</t>
        </r>
      </text>
    </comment>
    <comment ref="A44" authorId="1" shapeId="0" xr:uid="{BF22C856-9E93-4AD3-A756-D8F4CD4F20A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Malensky, Vern</author>
    <author>Carrozzo, Steve</author>
  </authors>
  <commentList>
    <comment ref="Q5" authorId="0" shapeId="0" xr:uid="{19933EA0-DD6B-4234-99BF-36677EED038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Meter costs were capitalized when purchased by the meter shop
5.1.17 - may have less than 30 meters outstanding approx $6.5k.  Robb checking with Virgil.</t>
        </r>
      </text>
    </comment>
    <comment ref="A6" authorId="1" shapeId="0" xr:uid="{10C9EF6A-BD9D-4873-9651-1B79C914D74B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Benefits Dashboard spreadsheet tracking actuals versus revised forecast.  49% of total meter reader forecast costs.</t>
        </r>
      </text>
    </comment>
    <comment ref="K6" authorId="1" shapeId="0" xr:uid="{87061C92-C87F-47A8-B6D7-EE07D84DCA0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value calculated from O&amp;M Modeled in Benefits tab of business case spreadhseet, excluding database admin, annual system support, software/handhelds, fleet mileage, injury related costs.</t>
        </r>
      </text>
    </comment>
    <comment ref="A8" authorId="1" shapeId="0" xr:uid="{BF850865-B9F9-4B28-BE6E-9EE823D22EE1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Based on benefits model, this is a reduction in the OSM staffing as a result of the AMI deployment</t>
        </r>
      </text>
    </comment>
    <comment ref="L9" authorId="2" shapeId="0" xr:uid="{B4893C9E-6B4A-40D0-B738-2C53B6B94D4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$180k 2019 to 2020</t>
        </r>
      </text>
    </comment>
    <comment ref="L10" authorId="2" shapeId="0" xr:uid="{B85339C0-AA5A-4E06-A781-2498F3C72218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$39k </t>
        </r>
      </text>
    </comment>
    <comment ref="L11" authorId="2" shapeId="0" xr:uid="{08376A65-1602-4B1D-875D-0FFCEA5E7458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was$10k</t>
        </r>
      </text>
    </comment>
    <comment ref="A15" authorId="1" shapeId="0" xr:uid="{441D3400-7424-42F2-B3EA-3887FD1B52E4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  <comment ref="A23" authorId="2" shapeId="0" xr:uid="{4F13CE33-5B2C-4995-BFC6-6B5D9A058971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25" authorId="2" shapeId="0" xr:uid="{BADFF880-1A44-494D-A5F0-802F909D0ADD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43" authorId="1" shapeId="0" xr:uid="{20D771DC-5F14-49B9-9CD8-2F4F0707DF5E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This should not extend out past 2023 in O&amp;M forecasts… after warranty is up, these will move to capital.</t>
        </r>
      </text>
    </comment>
    <comment ref="A44" authorId="1" shapeId="0" xr:uid="{29BD49EC-68A0-4469-A314-663C64D7C25B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Malensky, Vern</author>
    <author>Carrozzo, Steve</author>
  </authors>
  <commentList>
    <comment ref="Q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Meter costs were capitalized when purchased by the meter shop
5.1.17 - may have less than 30 meters outstanding approx $6.5k.  Robb checking with Virgil.</t>
        </r>
      </text>
    </comment>
    <comment ref="A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Benefits Dashboard spreadsheet tracking actuals versus revised forecast.  49% of total meter reader forecast costs.</t>
        </r>
      </text>
    </comment>
    <comment ref="K6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value calculated from O&amp;M Modeled in Benefits tab of business case spreadhseet, excluding database admin, annual system support, software/handhelds, fleet mileage, injury related costs.</t>
        </r>
      </text>
    </comment>
    <comment ref="A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Based on benefits model, this is a reduction in the OSM staffing as a result of the AMI deployment</t>
        </r>
      </text>
    </comment>
    <comment ref="L9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$180k 2019 to 2020</t>
        </r>
      </text>
    </comment>
    <comment ref="L10" authorId="2" shapeId="0" xr:uid="{00000000-0006-0000-0200-0000060000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 $39k </t>
        </r>
      </text>
    </comment>
    <comment ref="L11" authorId="2" shapeId="0" xr:uid="{00000000-0006-0000-0200-0000070000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was$10k</t>
        </r>
      </text>
    </comment>
    <comment ref="A15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  <comment ref="A23" authorId="2" shapeId="0" xr:uid="{00000000-0006-0000-0200-0000090000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25" authorId="2" shapeId="0" xr:uid="{00000000-0006-0000-0200-00000A000000}">
      <text>
        <r>
          <rPr>
            <b/>
            <sz val="9"/>
            <color indexed="81"/>
            <rFont val="Tahoma"/>
            <family val="2"/>
          </rPr>
          <t>Carrozzo, Steve:</t>
        </r>
        <r>
          <rPr>
            <sz val="9"/>
            <color indexed="81"/>
            <rFont val="Tahoma"/>
            <family val="2"/>
          </rPr>
          <t xml:space="preserve">
Contract employee</t>
        </r>
      </text>
    </comment>
    <comment ref="A4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This should not extend out past 2023 in O&amp;M forecasts… after warranty is up, these will move to capital.</t>
        </r>
      </text>
    </comment>
    <comment ref="A4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Malensky, Vern:</t>
        </r>
        <r>
          <rPr>
            <sz val="9"/>
            <color indexed="81"/>
            <rFont val="Tahoma"/>
            <family val="2"/>
          </rPr>
          <t xml:space="preserve">
Union = 63%
Non-Union = 71%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tzmj9b</author>
  </authors>
  <commentList>
    <comment ref="K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This is 2017's number</t>
        </r>
      </text>
    </comment>
  </commentList>
</comments>
</file>

<file path=xl/sharedStrings.xml><?xml version="1.0" encoding="utf-8"?>
<sst xmlns="http://schemas.openxmlformats.org/spreadsheetml/2006/main" count="2515" uniqueCount="354">
  <si>
    <t>VP</t>
  </si>
  <si>
    <t>Description</t>
  </si>
  <si>
    <t>Dept.</t>
  </si>
  <si>
    <t>Org</t>
  </si>
  <si>
    <t>1st Full Year (non adjusted)</t>
  </si>
  <si>
    <t>H. Rosentrater</t>
  </si>
  <si>
    <t>Special Reads</t>
  </si>
  <si>
    <t>Energy Delivery Op Support</t>
  </si>
  <si>
    <t>I08</t>
  </si>
  <si>
    <t>Meter Shop</t>
  </si>
  <si>
    <t>Z08</t>
  </si>
  <si>
    <t>J. Kensok</t>
  </si>
  <si>
    <t>Retail Load Studies</t>
  </si>
  <si>
    <t>Network Operations</t>
  </si>
  <si>
    <t>J09</t>
  </si>
  <si>
    <t>Network Operations Meter/Collector</t>
  </si>
  <si>
    <t>Network Engineering</t>
  </si>
  <si>
    <t>Application Operations</t>
  </si>
  <si>
    <t>W09</t>
  </si>
  <si>
    <t>MDM Service Order Management Operations (Developer)</t>
  </si>
  <si>
    <t>IT - HW/SW maintenance</t>
  </si>
  <si>
    <t>MDM Software Requirements</t>
  </si>
  <si>
    <t>Itron Head End Software - Maintenance</t>
  </si>
  <si>
    <t>Itron Head End Hardware - Maintenance</t>
  </si>
  <si>
    <t>CI Annual Cellular Charges</t>
  </si>
  <si>
    <t>PI annual maintenance</t>
  </si>
  <si>
    <t>K. Christie</t>
  </si>
  <si>
    <t>Regular Reads</t>
  </si>
  <si>
    <t>Meter Reading - OSM</t>
  </si>
  <si>
    <t>D50</t>
  </si>
  <si>
    <t>Call Center - Billing</t>
  </si>
  <si>
    <t>E53</t>
  </si>
  <si>
    <t>Customer Web Interface</t>
  </si>
  <si>
    <t>Digital Communications</t>
  </si>
  <si>
    <t>S54</t>
  </si>
  <si>
    <t>Labor Loadings</t>
  </si>
  <si>
    <t>Centralized Org</t>
  </si>
  <si>
    <t>Z87</t>
  </si>
  <si>
    <t>R. Krasselt</t>
  </si>
  <si>
    <t>Comments</t>
  </si>
  <si>
    <t>*Reduced Mobile Dispatch support: vehicles, safety, overheads</t>
  </si>
  <si>
    <t xml:space="preserve">Eliminated cellular communication, MV-90 meters on own data pool. </t>
  </si>
  <si>
    <t>Eliminated Payroll, approximately 48 FTE, waiting for meeting with Jackie Foss</t>
  </si>
  <si>
    <t>Eliminated support costs: handhelds, vehicles, safety, overheads, waiting for meeting with Jackie Foss</t>
  </si>
  <si>
    <t>Reduced FTE Labor Loadings Saved</t>
  </si>
  <si>
    <t>New FTE Labor Loadings</t>
  </si>
  <si>
    <t>Net Direct Yearly Impact + increase, - (decrease)</t>
  </si>
  <si>
    <t>Salvage Value</t>
  </si>
  <si>
    <t>Recycle/scrap value (revenue), no disposal costs</t>
  </si>
  <si>
    <t>Account Open/Close/Transfer</t>
  </si>
  <si>
    <t>Servicemen avoided costs (time &amp; support costs)</t>
  </si>
  <si>
    <t>Avoided Single Lights Out</t>
  </si>
  <si>
    <t>Electric Operations</t>
  </si>
  <si>
    <t>B50</t>
  </si>
  <si>
    <t>Electric crews avoided costs (time &amp; support costs)</t>
  </si>
  <si>
    <t>Restoration Efficiencies</t>
  </si>
  <si>
    <t>Stopped Meters</t>
  </si>
  <si>
    <t>Recovery of revenue, CSR &amp; Servicemen time savings, plus dept. support costs</t>
  </si>
  <si>
    <t>Conservation Voltage Reduction</t>
  </si>
  <si>
    <t>X&amp;R savings, AMI Aug, Future Grid Mod</t>
  </si>
  <si>
    <t>Theft and Diversion</t>
  </si>
  <si>
    <t>Power Supply</t>
  </si>
  <si>
    <t>J. Thackston</t>
  </si>
  <si>
    <t>Recovery of revenue</t>
  </si>
  <si>
    <t>Slow/Failed Meters</t>
  </si>
  <si>
    <t>Credit Collections/Connections</t>
  </si>
  <si>
    <t>Call Center</t>
  </si>
  <si>
    <t>E50</t>
  </si>
  <si>
    <t>CSR time savings, plus dept. support costs</t>
  </si>
  <si>
    <t>Estimated Bills</t>
  </si>
  <si>
    <t>Bill Inquiries</t>
  </si>
  <si>
    <t>Billing Analysis</t>
  </si>
  <si>
    <t>Rebilling</t>
  </si>
  <si>
    <t>Reduced Customer Calls</t>
  </si>
  <si>
    <t>Unbilled Usage</t>
  </si>
  <si>
    <t>Recovery of revenue, CSR  time savings, plus dept. support costs</t>
  </si>
  <si>
    <t>Regulatory Support</t>
  </si>
  <si>
    <t>Rates</t>
  </si>
  <si>
    <t>R11</t>
  </si>
  <si>
    <t>K. Norwood</t>
  </si>
  <si>
    <t>Increased Regulatory Support</t>
  </si>
  <si>
    <t>Retirement of old meters (15 years)</t>
  </si>
  <si>
    <t>**Accounting Entry</t>
  </si>
  <si>
    <t>GL</t>
  </si>
  <si>
    <t>Amortization of Exhisting Meters</t>
  </si>
  <si>
    <t>Net Indirect Yearly Impact + increase, - (decrease)</t>
  </si>
  <si>
    <t>2017 Labor</t>
  </si>
  <si>
    <t>2017 Non Labor</t>
  </si>
  <si>
    <t>2018 Labor</t>
  </si>
  <si>
    <t>2018 Non Labor</t>
  </si>
  <si>
    <t>2019 Labor</t>
  </si>
  <si>
    <t>2019 Non Labor</t>
  </si>
  <si>
    <t>2020 Labor</t>
  </si>
  <si>
    <t>2020 Non Labor</t>
  </si>
  <si>
    <t>Row Labels</t>
  </si>
  <si>
    <t>Grand Total</t>
  </si>
  <si>
    <t xml:space="preserve"> 2017 Labor</t>
  </si>
  <si>
    <t xml:space="preserve"> 2017 Non Labor</t>
  </si>
  <si>
    <t xml:space="preserve"> 2018 Non Labor</t>
  </si>
  <si>
    <t xml:space="preserve"> 2019 Non Labor</t>
  </si>
  <si>
    <t xml:space="preserve"> 2020 Non Labor</t>
  </si>
  <si>
    <t>Network Engineer Field Area Network</t>
  </si>
  <si>
    <t xml:space="preserve">  2018 Labor  </t>
  </si>
  <si>
    <t xml:space="preserve">  2019 Labor  </t>
  </si>
  <si>
    <t xml:space="preserve">  2020 Labor</t>
  </si>
  <si>
    <t>F/(U)</t>
  </si>
  <si>
    <t>New Maintenance/License Fees - July 2017 - 5 year hold on cost - O&amp;M Q3 2017 go live</t>
  </si>
  <si>
    <t>Annual "INDIRECT" O&amp;M impacts (redeployment of costs) - Post WA AMI implementation</t>
  </si>
  <si>
    <t>Annual Direct O&amp;M impacts SUMMARY - WA AMI Implementation</t>
  </si>
  <si>
    <t>Annual Direct O&amp;M impacts, by Org - WA AMI Implementation</t>
  </si>
  <si>
    <t>Loaded</t>
  </si>
  <si>
    <t>REVISED</t>
  </si>
  <si>
    <t xml:space="preserve">Business Case </t>
  </si>
  <si>
    <t>Business Case</t>
  </si>
  <si>
    <t>Dept</t>
  </si>
  <si>
    <t xml:space="preserve">Annual Cost </t>
  </si>
  <si>
    <t>Raw Annual Cost</t>
  </si>
  <si>
    <t>FTE</t>
  </si>
  <si>
    <t>Total Cost</t>
  </si>
  <si>
    <t>Supporting</t>
  </si>
  <si>
    <t>Labor</t>
  </si>
  <si>
    <t>Metershop Analyst (SBA)</t>
  </si>
  <si>
    <t>Meter</t>
  </si>
  <si>
    <t>RMU (Temp)</t>
  </si>
  <si>
    <t>DBA</t>
  </si>
  <si>
    <t>IT</t>
  </si>
  <si>
    <t>MDM Operations</t>
  </si>
  <si>
    <t>MDM Process &amp; Configuration (SBA)</t>
  </si>
  <si>
    <t>Meter Shop Technician</t>
  </si>
  <si>
    <t>Application Ops (Head End)</t>
  </si>
  <si>
    <t>Data Analyst (Customer Web Portal)</t>
  </si>
  <si>
    <t>FAN Engineer</t>
  </si>
  <si>
    <t>Security Analyst</t>
  </si>
  <si>
    <t>PI Analyst/Engineer</t>
  </si>
  <si>
    <t>Billing CSR</t>
  </si>
  <si>
    <t>Customer</t>
  </si>
  <si>
    <t>Loadings</t>
  </si>
  <si>
    <t>Total FTE</t>
  </si>
  <si>
    <t>Total Labor O&amp;M</t>
  </si>
  <si>
    <t>Non Labor O&amp;M expenses all on going</t>
  </si>
  <si>
    <t>Business Case Assumptions</t>
  </si>
  <si>
    <t>Revised Assumptions</t>
  </si>
  <si>
    <t>Business Case QTY</t>
  </si>
  <si>
    <t>REVISED QTY</t>
  </si>
  <si>
    <t>Business Case Total</t>
  </si>
  <si>
    <t>REVISED Total</t>
  </si>
  <si>
    <t>Point to Multi Point Telecom Costs</t>
  </si>
  <si>
    <t>Failed Meter Reinstalls</t>
  </si>
  <si>
    <t>MDM Data Storage  Maintenance - HW</t>
  </si>
  <si>
    <t>Oracle Software  - Maintenance</t>
  </si>
  <si>
    <t>Itron Network/CGR Hardware - Maintenance</t>
  </si>
  <si>
    <t>Analytics Software Maintenance (PI, Platform &amp; Apps)</t>
  </si>
  <si>
    <t>Total Non Labor O&amp;M</t>
  </si>
  <si>
    <t>Total Post AMI O&amp;M</t>
  </si>
  <si>
    <t>Annual Cellular/Satellite Charges</t>
  </si>
  <si>
    <t>Delta F/(U)</t>
  </si>
  <si>
    <t>*Labor includes loadings</t>
  </si>
  <si>
    <t>Total Cost*</t>
  </si>
  <si>
    <t>included</t>
  </si>
  <si>
    <t>3 Residential Meter Utilityman (RMU) - Temporary</t>
  </si>
  <si>
    <t>Itron Tropos M&amp;S (Pullman)</t>
  </si>
  <si>
    <t>J29</t>
  </si>
  <si>
    <t>Itron Tropos M&amp;S (Spokane)</t>
  </si>
  <si>
    <t>Verizon Network Tropos (Pullman)</t>
  </si>
  <si>
    <t>Security Operations</t>
  </si>
  <si>
    <t>C19</t>
  </si>
  <si>
    <t>B09</t>
  </si>
  <si>
    <t>A09</t>
  </si>
  <si>
    <t>2021 Non Labor</t>
  </si>
  <si>
    <t>2021 Labor</t>
  </si>
  <si>
    <t xml:space="preserve">MDM Operations - Apps Ops </t>
  </si>
  <si>
    <t>New Maintenance/License Fees - Sept 2017 - 4 year hold on cost - O&amp;M Q4 2018 go live</t>
  </si>
  <si>
    <t xml:space="preserve"> 2021 Labor</t>
  </si>
  <si>
    <t xml:space="preserve"> 2021 Non Labor</t>
  </si>
  <si>
    <t>Pullman MDM</t>
  </si>
  <si>
    <t>Pullman HES</t>
  </si>
  <si>
    <t>J30</t>
  </si>
  <si>
    <t>Satellite MRC/Annual Support</t>
  </si>
  <si>
    <t>Direct Connect Meter/Meter MRC</t>
  </si>
  <si>
    <t>Tropos support will be replaced by Cisco wireless mesh support costs when we refresh the Field Area Network.   Thus,  I suggest NOT including Tropos support as a cost savings when it is replaced.</t>
  </si>
  <si>
    <t>Assumes HES GO LIVE end of September 2018</t>
  </si>
  <si>
    <t>6.27.17- in March, updated PI incremental based on direction from project accounting. There is 2017 incremental impact, increasing in 2018, full impact begins 10/2018. These numbers reflect those changes (A09-Apps)</t>
  </si>
  <si>
    <t>Per Robb Raymond</t>
  </si>
  <si>
    <t>Assumptions:</t>
  </si>
  <si>
    <t>MDM Go Live - October 2017</t>
  </si>
  <si>
    <t>MDM warranty - 3 months (Labor charged to capital)</t>
  </si>
  <si>
    <t>HES Go Live - September 2018</t>
  </si>
  <si>
    <t>Web Portal Live - support from Customer Solutions</t>
  </si>
  <si>
    <t>Phase 1 meter deployment - September 2018</t>
  </si>
  <si>
    <t>Phase 2 meter deployment - March 2019</t>
  </si>
  <si>
    <t>Meter Reader roll offs - begin July 2019 (3 months after Phase 2 Start Date)</t>
  </si>
  <si>
    <t>J31</t>
  </si>
  <si>
    <t>Itron Openway</t>
  </si>
  <si>
    <t>CISCO IOT_FND</t>
  </si>
  <si>
    <t>A10</t>
  </si>
  <si>
    <t>Itron CI Network/CGR CRG HW Maint</t>
  </si>
  <si>
    <t>Customer Communications - Post Meter Deployment</t>
  </si>
  <si>
    <t>Communications with customers regarding using their advanced meter after the meter has been deployed was deemed O&amp;M, and is represented here for forecasting purposes.</t>
  </si>
  <si>
    <t>Combined Data Analytics Support &amp; Maintenance</t>
  </si>
  <si>
    <t>Meter failure replacement (1.0% incremental over today)</t>
  </si>
  <si>
    <t>HES Compute and Storage</t>
  </si>
  <si>
    <t>HES Data Center Network</t>
  </si>
  <si>
    <t>Legacy Pullman Refresh</t>
  </si>
  <si>
    <t>Collection Infrastructure</t>
  </si>
  <si>
    <t>Sum of 2018</t>
  </si>
  <si>
    <t>Sum of 2019</t>
  </si>
  <si>
    <t>Sum of 2020</t>
  </si>
  <si>
    <t>Sum of 2021</t>
  </si>
  <si>
    <t>Sum of 2022</t>
  </si>
  <si>
    <t>Sum of 2023</t>
  </si>
  <si>
    <t>Sum of 2024</t>
  </si>
  <si>
    <t>Sum of 2025</t>
  </si>
  <si>
    <t>Sum of 2026</t>
  </si>
  <si>
    <t>Sum of 2027</t>
  </si>
  <si>
    <t>Sum of 2028</t>
  </si>
  <si>
    <t>Sum of 2029</t>
  </si>
  <si>
    <t>Sum of 2030</t>
  </si>
  <si>
    <t>Sum of 2031</t>
  </si>
  <si>
    <t>Sum of 2032</t>
  </si>
  <si>
    <t>Sum of 2033</t>
  </si>
  <si>
    <t>Sum of 2034</t>
  </si>
  <si>
    <t>Sum of 2035</t>
  </si>
  <si>
    <t>Sum of 2036</t>
  </si>
  <si>
    <t>Collection Inf</t>
  </si>
  <si>
    <t>HES and CI O&amp;M Forecast</t>
  </si>
  <si>
    <t>Old</t>
  </si>
  <si>
    <t>New</t>
  </si>
  <si>
    <t>ERT Battery Replacement</t>
  </si>
  <si>
    <t>Net Avoided costs of required ERT battery replacements (since the meters eliminate the need)</t>
  </si>
  <si>
    <t>New Benefit that didn't exist prior</t>
  </si>
  <si>
    <t>Credit Collections/Connections (OSM Staffing)</t>
  </si>
  <si>
    <t xml:space="preserve">OSM Staffing Reductions - Per Benefit Model. </t>
  </si>
  <si>
    <t>MDM Support Tools - Apps Ops</t>
  </si>
  <si>
    <t>Itron Range Extender Maintenance</t>
  </si>
  <si>
    <t>All dollars compared to 2016 budget</t>
  </si>
  <si>
    <t>Non-labor</t>
  </si>
  <si>
    <t>Owners</t>
  </si>
  <si>
    <t>AMI Operations Manager</t>
  </si>
  <si>
    <t>This estimate includes 2TB storage, 1 Tb/M of data out, and 20 instances plus contingency for other costs.  This does not reflect any changes from network/security/operations</t>
  </si>
  <si>
    <t>HES Warranty - 1 month (labor charged to capital)</t>
  </si>
  <si>
    <t>New FTE - Q1 2019, 50% Capital, 50% O&amp;M</t>
  </si>
  <si>
    <t>DRAFT as of 08.20.18</t>
  </si>
  <si>
    <t>Annual O&amp;M Impact</t>
  </si>
  <si>
    <t>Year</t>
  </si>
  <si>
    <t>TBD</t>
  </si>
  <si>
    <t>Q4 2018 OR Q1 2019</t>
  </si>
  <si>
    <t>Iqqi Hamed</t>
  </si>
  <si>
    <t>Ryan Cresswell</t>
  </si>
  <si>
    <t>Sean Anderson</t>
  </si>
  <si>
    <t>Mac Anderson</t>
  </si>
  <si>
    <t>Patrick Irwin</t>
  </si>
  <si>
    <t>Scott Phipps</t>
  </si>
  <si>
    <t>Chris Renz</t>
  </si>
  <si>
    <t>Total</t>
  </si>
  <si>
    <t>Annual Summary as Compared to 2016 Budget</t>
  </si>
  <si>
    <t>Riva HES Ops SME</t>
  </si>
  <si>
    <t>Nick McBride</t>
  </si>
  <si>
    <t>AMI Network Operations Engineer</t>
  </si>
  <si>
    <t>Robert Smith</t>
  </si>
  <si>
    <t>AMI Network Operations Manager</t>
  </si>
  <si>
    <t>Mike Busby</t>
  </si>
  <si>
    <t>Head End Analyst</t>
  </si>
  <si>
    <t>Melanie Hayes</t>
  </si>
  <si>
    <t>Customer Solutions</t>
  </si>
  <si>
    <t>Z09</t>
  </si>
  <si>
    <t>Kristina Foss</t>
  </si>
  <si>
    <t xml:space="preserve"> Enterprise Systems</t>
  </si>
  <si>
    <t xml:space="preserve"> C11</t>
  </si>
  <si>
    <t>CC&amp;B / MDM Bus. Analyst (SOM)</t>
  </si>
  <si>
    <t>Mike Allerton</t>
  </si>
  <si>
    <t>CC&amp;B / MDM Bus. Analyst (Billing)</t>
  </si>
  <si>
    <t>Bobbi Pemberton</t>
  </si>
  <si>
    <t>Meter Automation Engineer</t>
  </si>
  <si>
    <t>Jon Seubert</t>
  </si>
  <si>
    <t>Carlos Limon</t>
  </si>
  <si>
    <t>AMI Systems Business Analyst</t>
  </si>
  <si>
    <t>Jonathan Gibbs</t>
  </si>
  <si>
    <t>Suzanne Figy</t>
  </si>
  <si>
    <t>ET</t>
  </si>
  <si>
    <t>Possible Additions</t>
  </si>
  <si>
    <t>No charges for this role found in operations.</t>
  </si>
  <si>
    <t>Operations support began in 2019.</t>
  </si>
  <si>
    <t>Telecommunications/CGR</t>
  </si>
  <si>
    <t>John Shagen</t>
  </si>
  <si>
    <t>Telecomm Shop</t>
  </si>
  <si>
    <t>Lindsey Fry, Bob Turpin,  TBD</t>
  </si>
  <si>
    <t>Capital only work anticipated today</t>
  </si>
  <si>
    <t>CC&amp;B / MDM Technology Analyst</t>
  </si>
  <si>
    <t>PI Operations</t>
  </si>
  <si>
    <t>Alex Meade</t>
  </si>
  <si>
    <t>transitioned role, not net new FTE</t>
  </si>
  <si>
    <t>transitioned role, backfilled by Angela Wilson as new FTE</t>
  </si>
  <si>
    <t>Haed End Analyst</t>
  </si>
  <si>
    <t>Z10</t>
  </si>
  <si>
    <t>Employee Names</t>
  </si>
  <si>
    <t>Identified need in 2018</t>
  </si>
  <si>
    <t>Likely future additions</t>
  </si>
  <si>
    <t>Identified need in 2019</t>
  </si>
  <si>
    <t>two roles hired as temp based on business need</t>
  </si>
  <si>
    <t>2 Billing Customer Service Representative</t>
  </si>
  <si>
    <t>IBM support team - contract employee</t>
  </si>
  <si>
    <t>Navnath Gaikwad</t>
  </si>
  <si>
    <t>Emily Christianson/Sarah Belding</t>
  </si>
  <si>
    <t>Parikshit Ingale</t>
  </si>
  <si>
    <t>Currently ongoing development support - capital</t>
  </si>
  <si>
    <t>2019 Actuals- Meter failure rates for AMI meters were 0.1%, much lower than projected and no incremental work associated.  Forecast no incremental increase in failures based on this data.
Original Assumption - $50 install labor per meter.  1.0% incremental increase in failures of installed meters per year. Only extends until 2023 as O&amp;M due to warranty.</t>
  </si>
  <si>
    <t>Annual Variance from Previous Year</t>
  </si>
  <si>
    <t>Regular Reads - 36% of labor</t>
  </si>
  <si>
    <t>Work being spread among AMI and other support tasks. 25% AMI Ops</t>
  </si>
  <si>
    <t>transitioned role, not net new FTE 10% AMI Ops</t>
  </si>
  <si>
    <t>TBD-2021</t>
  </si>
  <si>
    <t>Potential additioanl support role in 2021</t>
  </si>
  <si>
    <t>Identified need during 2017, supporting ongoing capital in parallel AMI Ops Expense reduced to 20 % for 2020 - 2021</t>
  </si>
  <si>
    <t>transitioned role, not net new FTE 60% AMI Ops</t>
  </si>
  <si>
    <t>2-year temp based on need, ongoing needs assessment TBD 60 % AMI Ops</t>
  </si>
  <si>
    <t>transitioned role, not net new FTE 50% AMI Ops</t>
  </si>
  <si>
    <t>Estimates</t>
  </si>
  <si>
    <t>Updated based on actuals from Busby</t>
  </si>
  <si>
    <t>Work supports capital and operations - 2020 &amp; 2021 transition to 100% AMI Ops</t>
  </si>
  <si>
    <t>transitioned role, not net new FTE - capital</t>
  </si>
  <si>
    <t>Annual Spend</t>
  </si>
  <si>
    <t>Cumulative Spend</t>
  </si>
  <si>
    <t>Additional Enhancements</t>
  </si>
  <si>
    <t>Disaster Recovery</t>
  </si>
  <si>
    <t>Project Annual Spend</t>
  </si>
  <si>
    <t>HES</t>
  </si>
  <si>
    <t>CI</t>
  </si>
  <si>
    <t>Meter Dep</t>
  </si>
  <si>
    <t>Data Analytics</t>
  </si>
  <si>
    <t>O&amp;M</t>
  </si>
  <si>
    <t>Cap</t>
  </si>
  <si>
    <t>Annual Adjustment Rate (2022+)</t>
  </si>
  <si>
    <t>Contingency Remaining</t>
  </si>
  <si>
    <t>54 60 116</t>
  </si>
  <si>
    <t>RRR (For NPV)</t>
  </si>
  <si>
    <t>Actuals</t>
  </si>
  <si>
    <t>NPV</t>
  </si>
  <si>
    <t>Meter Depreciation</t>
  </si>
  <si>
    <t>Meter Additions (Capital)</t>
  </si>
  <si>
    <r>
      <t>MDM</t>
    </r>
    <r>
      <rPr>
        <b/>
        <sz val="10"/>
        <color rgb="FF363C74"/>
        <rFont val="Tahoma"/>
        <family val="2"/>
      </rPr>
      <t xml:space="preserve"> (56.55%)</t>
    </r>
  </si>
  <si>
    <r>
      <t xml:space="preserve">MDM </t>
    </r>
    <r>
      <rPr>
        <b/>
        <sz val="10"/>
        <color rgb="FF363C74"/>
        <rFont val="Tahoma"/>
        <family val="2"/>
      </rPr>
      <t>(56.55%)</t>
    </r>
  </si>
  <si>
    <t>EECVR</t>
  </si>
  <si>
    <t>CAP</t>
  </si>
  <si>
    <t xml:space="preserve">O&amp;M </t>
  </si>
  <si>
    <t>Capital</t>
  </si>
  <si>
    <t>Cash Totals</t>
  </si>
  <si>
    <t>Total Capital NPV</t>
  </si>
  <si>
    <t>Total Capital Cash</t>
  </si>
  <si>
    <t>Total O&amp;M Cash</t>
  </si>
  <si>
    <t xml:space="preserve">Initial Deployment </t>
  </si>
  <si>
    <t>Future Meter Additions</t>
  </si>
  <si>
    <t>Total Lifecycle O&amp;M NPV</t>
  </si>
  <si>
    <t>Total Lifecycle Capital NPV</t>
  </si>
  <si>
    <t>Future Capital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</si>
</sst>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"/>
  </numFmts>
  <fonts count="27" x14ac:knownFonts="1">
    <font>
      <sz val="10"/>
      <color theme="1"/>
      <name val="Tahoma"/>
      <family val="2"/>
    </font>
    <font>
      <sz val="12"/>
      <name val="Courier"/>
      <family val="3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222222"/>
      <name val="Arial"/>
      <family val="2"/>
    </font>
    <font>
      <b/>
      <sz val="11"/>
      <color rgb="FF433E59"/>
      <name val="Arial"/>
      <family val="2"/>
    </font>
    <font>
      <b/>
      <sz val="10"/>
      <color rgb="FF363C74"/>
      <name val="Tahoma"/>
      <family val="2"/>
    </font>
    <font>
      <sz val="10"/>
      <color rgb="FF363C74"/>
      <name val="Tahoma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8D3A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wrapText="1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2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0" fontId="8" fillId="0" borderId="0" xfId="2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6" fontId="7" fillId="0" borderId="0" xfId="2" applyNumberFormat="1" applyFont="1" applyFill="1" applyAlignment="1">
      <alignment horizontal="center"/>
    </xf>
    <xf numFmtId="165" fontId="7" fillId="0" borderId="0" xfId="3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0" fillId="0" borderId="0" xfId="0" applyFill="1"/>
    <xf numFmtId="0" fontId="7" fillId="0" borderId="0" xfId="2" applyFont="1" applyFill="1" applyAlignment="1"/>
    <xf numFmtId="165" fontId="8" fillId="0" borderId="3" xfId="3" applyNumberFormat="1" applyFont="1" applyFill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Fill="1" applyAlignment="1">
      <alignment horizontal="left"/>
    </xf>
    <xf numFmtId="165" fontId="8" fillId="0" borderId="0" xfId="3" applyNumberFormat="1" applyFont="1" applyFill="1" applyBorder="1" applyAlignment="1">
      <alignment horizontal="center"/>
    </xf>
    <xf numFmtId="0" fontId="8" fillId="0" borderId="0" xfId="2" applyFont="1" applyAlignment="1"/>
    <xf numFmtId="6" fontId="7" fillId="0" borderId="0" xfId="2" applyNumberFormat="1" applyFont="1" applyAlignment="1">
      <alignment horizontal="center"/>
    </xf>
    <xf numFmtId="165" fontId="7" fillId="0" borderId="0" xfId="3" applyNumberFormat="1" applyFont="1" applyAlignment="1"/>
    <xf numFmtId="0" fontId="7" fillId="0" borderId="0" xfId="2" applyFont="1" applyAlignment="1">
      <alignment horizontal="center"/>
    </xf>
    <xf numFmtId="6" fontId="8" fillId="0" borderId="0" xfId="2" applyNumberFormat="1" applyFont="1" applyAlignment="1">
      <alignment horizontal="center" wrapText="1"/>
    </xf>
    <xf numFmtId="165" fontId="8" fillId="0" borderId="0" xfId="3" applyNumberFormat="1" applyFont="1" applyAlignment="1">
      <alignment horizontal="center" wrapText="1"/>
    </xf>
    <xf numFmtId="0" fontId="8" fillId="0" borderId="0" xfId="2" applyFont="1" applyAlignment="1">
      <alignment horizontal="center" wrapText="1"/>
    </xf>
    <xf numFmtId="165" fontId="8" fillId="0" borderId="0" xfId="3" applyNumberFormat="1" applyFont="1" applyFill="1" applyAlignment="1">
      <alignment horizontal="center" wrapText="1"/>
    </xf>
    <xf numFmtId="44" fontId="7" fillId="0" borderId="0" xfId="3" applyFont="1" applyAlignment="1">
      <alignment horizontal="center"/>
    </xf>
    <xf numFmtId="164" fontId="7" fillId="0" borderId="0" xfId="4" applyNumberFormat="1" applyFont="1" applyAlignment="1">
      <alignment vertical="center"/>
    </xf>
    <xf numFmtId="0" fontId="7" fillId="0" borderId="0" xfId="2" applyFont="1" applyAlignment="1">
      <alignment vertical="center"/>
    </xf>
    <xf numFmtId="165" fontId="7" fillId="0" borderId="0" xfId="3" applyNumberFormat="1" applyFont="1" applyAlignment="1">
      <alignment horizontal="center"/>
    </xf>
    <xf numFmtId="44" fontId="0" fillId="0" borderId="0" xfId="3" applyFont="1"/>
    <xf numFmtId="165" fontId="8" fillId="0" borderId="4" xfId="3" applyNumberFormat="1" applyFont="1" applyFill="1" applyBorder="1" applyAlignment="1">
      <alignment horizontal="center"/>
    </xf>
    <xf numFmtId="165" fontId="9" fillId="2" borderId="0" xfId="0" applyNumberFormat="1" applyFont="1" applyFill="1"/>
    <xf numFmtId="0" fontId="9" fillId="2" borderId="0" xfId="0" applyFont="1" applyFill="1"/>
    <xf numFmtId="165" fontId="8" fillId="0" borderId="0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4" borderId="20" xfId="0" applyFont="1" applyFill="1" applyBorder="1"/>
    <xf numFmtId="6" fontId="0" fillId="0" borderId="0" xfId="0" applyNumberFormat="1"/>
    <xf numFmtId="0" fontId="9" fillId="4" borderId="21" xfId="0" applyFont="1" applyFill="1" applyBorder="1" applyAlignment="1">
      <alignment horizontal="left"/>
    </xf>
    <xf numFmtId="6" fontId="9" fillId="4" borderId="21" xfId="0" applyNumberFormat="1" applyFont="1" applyFill="1" applyBorder="1"/>
    <xf numFmtId="0" fontId="10" fillId="5" borderId="0" xfId="0" applyFont="1" applyFill="1"/>
    <xf numFmtId="164" fontId="0" fillId="0" borderId="0" xfId="0" applyNumberFormat="1"/>
    <xf numFmtId="1" fontId="0" fillId="0" borderId="0" xfId="0" applyNumberFormat="1"/>
    <xf numFmtId="17" fontId="0" fillId="0" borderId="0" xfId="0" applyNumberFormat="1"/>
    <xf numFmtId="164" fontId="0" fillId="6" borderId="0" xfId="0" applyNumberFormat="1" applyFill="1"/>
    <xf numFmtId="164" fontId="0" fillId="3" borderId="0" xfId="0" applyNumberFormat="1" applyFill="1"/>
    <xf numFmtId="43" fontId="7" fillId="0" borderId="0" xfId="0" applyNumberFormat="1" applyFont="1"/>
    <xf numFmtId="164" fontId="0" fillId="7" borderId="0" xfId="0" applyNumberFormat="1" applyFill="1"/>
    <xf numFmtId="0" fontId="0" fillId="0" borderId="25" xfId="0" applyBorder="1"/>
    <xf numFmtId="165" fontId="0" fillId="0" borderId="25" xfId="3" applyNumberFormat="1" applyFont="1" applyBorder="1"/>
    <xf numFmtId="0" fontId="0" fillId="0" borderId="28" xfId="0" applyBorder="1"/>
    <xf numFmtId="165" fontId="0" fillId="0" borderId="28" xfId="3" applyNumberFormat="1" applyFont="1" applyBorder="1"/>
    <xf numFmtId="0" fontId="9" fillId="0" borderId="22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26" xfId="0" applyFont="1" applyBorder="1"/>
    <xf numFmtId="165" fontId="9" fillId="0" borderId="22" xfId="0" applyNumberFormat="1" applyFont="1" applyBorder="1"/>
    <xf numFmtId="165" fontId="9" fillId="0" borderId="27" xfId="0" applyNumberFormat="1" applyFont="1" applyBorder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0" borderId="30" xfId="0" applyFont="1" applyFill="1" applyBorder="1"/>
    <xf numFmtId="165" fontId="0" fillId="0" borderId="0" xfId="0" applyNumberFormat="1"/>
    <xf numFmtId="0" fontId="9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38" fontId="11" fillId="0" borderId="0" xfId="0" applyNumberFormat="1" applyFont="1" applyBorder="1"/>
    <xf numFmtId="38" fontId="11" fillId="0" borderId="31" xfId="0" applyNumberFormat="1" applyFont="1" applyBorder="1"/>
    <xf numFmtId="38" fontId="11" fillId="0" borderId="32" xfId="0" applyNumberFormat="1" applyFont="1" applyBorder="1"/>
    <xf numFmtId="38" fontId="11" fillId="0" borderId="33" xfId="0" applyNumberFormat="1" applyFont="1" applyBorder="1"/>
    <xf numFmtId="38" fontId="11" fillId="0" borderId="34" xfId="0" applyNumberFormat="1" applyFont="1" applyBorder="1"/>
    <xf numFmtId="38" fontId="11" fillId="0" borderId="35" xfId="0" applyNumberFormat="1" applyFont="1" applyBorder="1"/>
    <xf numFmtId="38" fontId="11" fillId="0" borderId="36" xfId="0" applyNumberFormat="1" applyFont="1" applyBorder="1"/>
    <xf numFmtId="38" fontId="11" fillId="0" borderId="37" xfId="0" applyNumberFormat="1" applyFont="1" applyBorder="1"/>
    <xf numFmtId="38" fontId="11" fillId="0" borderId="38" xfId="0" applyNumberFormat="1" applyFont="1" applyBorder="1"/>
    <xf numFmtId="38" fontId="11" fillId="0" borderId="39" xfId="0" applyNumberFormat="1" applyFont="1" applyBorder="1"/>
    <xf numFmtId="38" fontId="11" fillId="0" borderId="40" xfId="0" applyNumberFormat="1" applyFont="1" applyBorder="1"/>
    <xf numFmtId="38" fontId="11" fillId="0" borderId="41" xfId="0" applyNumberFormat="1" applyFont="1" applyBorder="1"/>
    <xf numFmtId="38" fontId="11" fillId="0" borderId="42" xfId="0" applyNumberFormat="1" applyFont="1" applyBorder="1"/>
    <xf numFmtId="0" fontId="12" fillId="0" borderId="0" xfId="0" applyFont="1"/>
    <xf numFmtId="0" fontId="12" fillId="0" borderId="0" xfId="0" applyFont="1" applyFill="1"/>
    <xf numFmtId="1" fontId="14" fillId="0" borderId="0" xfId="1" applyNumberFormat="1" applyFont="1" applyFill="1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right" vertical="center" wrapText="1"/>
    </xf>
    <xf numFmtId="1" fontId="14" fillId="0" borderId="14" xfId="1" applyNumberFormat="1" applyFont="1" applyFill="1" applyBorder="1" applyAlignment="1">
      <alignment horizontal="right" vertical="center" wrapText="1"/>
    </xf>
    <xf numFmtId="1" fontId="14" fillId="0" borderId="15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wrapText="1"/>
    </xf>
    <xf numFmtId="164" fontId="12" fillId="0" borderId="0" xfId="1" applyNumberFormat="1" applyFont="1" applyFill="1"/>
    <xf numFmtId="164" fontId="12" fillId="0" borderId="7" xfId="1" applyNumberFormat="1" applyFont="1" applyFill="1" applyBorder="1"/>
    <xf numFmtId="164" fontId="12" fillId="0" borderId="8" xfId="1" applyNumberFormat="1" applyFont="1" applyFill="1" applyBorder="1"/>
    <xf numFmtId="164" fontId="15" fillId="0" borderId="8" xfId="1" applyNumberFormat="1" applyFont="1" applyFill="1" applyBorder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164" fontId="7" fillId="0" borderId="0" xfId="1" applyNumberFormat="1" applyFont="1" applyFill="1" applyBorder="1"/>
    <xf numFmtId="164" fontId="7" fillId="0" borderId="7" xfId="1" applyNumberFormat="1" applyFont="1" applyFill="1" applyBorder="1"/>
    <xf numFmtId="164" fontId="16" fillId="0" borderId="8" xfId="1" applyNumberFormat="1" applyFont="1" applyFill="1" applyBorder="1"/>
    <xf numFmtId="164" fontId="16" fillId="0" borderId="7" xfId="1" applyNumberFormat="1" applyFont="1" applyFill="1" applyBorder="1"/>
    <xf numFmtId="164" fontId="7" fillId="0" borderId="8" xfId="1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7" fillId="0" borderId="0" xfId="0" applyFont="1" applyFill="1"/>
    <xf numFmtId="0" fontId="12" fillId="0" borderId="8" xfId="0" applyFont="1" applyFill="1" applyBorder="1"/>
    <xf numFmtId="0" fontId="12" fillId="0" borderId="0" xfId="0" applyFont="1" applyFill="1" applyAlignment="1">
      <alignment horizontal="left" vertical="center" wrapText="1"/>
    </xf>
    <xf numFmtId="164" fontId="12" fillId="0" borderId="0" xfId="0" applyNumberFormat="1" applyFont="1" applyFill="1"/>
    <xf numFmtId="164" fontId="12" fillId="0" borderId="8" xfId="0" applyNumberFormat="1" applyFont="1" applyFill="1" applyBorder="1"/>
    <xf numFmtId="164" fontId="12" fillId="0" borderId="8" xfId="1" applyNumberFormat="1" applyFont="1" applyFill="1" applyBorder="1" applyAlignment="1"/>
    <xf numFmtId="17" fontId="12" fillId="0" borderId="0" xfId="0" quotePrefix="1" applyNumberFormat="1" applyFont="1" applyFill="1"/>
    <xf numFmtId="0" fontId="12" fillId="0" borderId="0" xfId="0" applyFont="1" applyFill="1" applyAlignment="1">
      <alignment horizontal="left" vertical="center"/>
    </xf>
    <xf numFmtId="0" fontId="7" fillId="0" borderId="0" xfId="0" applyFont="1" applyFill="1"/>
    <xf numFmtId="164" fontId="7" fillId="0" borderId="0" xfId="1" applyNumberFormat="1" applyFont="1" applyFill="1"/>
    <xf numFmtId="0" fontId="7" fillId="0" borderId="7" xfId="0" applyFont="1" applyFill="1" applyBorder="1"/>
    <xf numFmtId="17" fontId="17" fillId="0" borderId="0" xfId="0" quotePrefix="1" applyNumberFormat="1" applyFont="1" applyFill="1"/>
    <xf numFmtId="0" fontId="7" fillId="0" borderId="0" xfId="0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164" fontId="7" fillId="0" borderId="2" xfId="1" applyNumberFormat="1" applyFont="1" applyFill="1" applyBorder="1"/>
    <xf numFmtId="164" fontId="7" fillId="0" borderId="17" xfId="1" applyNumberFormat="1" applyFont="1" applyFill="1" applyBorder="1"/>
    <xf numFmtId="164" fontId="7" fillId="0" borderId="16" xfId="1" applyNumberFormat="1" applyFont="1" applyFill="1" applyBorder="1"/>
    <xf numFmtId="164" fontId="16" fillId="0" borderId="16" xfId="1" applyNumberFormat="1" applyFont="1" applyFill="1" applyBorder="1"/>
    <xf numFmtId="164" fontId="16" fillId="0" borderId="17" xfId="1" applyNumberFormat="1" applyFont="1" applyFill="1" applyBorder="1"/>
    <xf numFmtId="0" fontId="7" fillId="0" borderId="17" xfId="0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12" fillId="2" borderId="0" xfId="0" applyFont="1" applyFill="1" applyAlignment="1">
      <alignment wrapText="1"/>
    </xf>
    <xf numFmtId="0" fontId="12" fillId="2" borderId="0" xfId="0" applyFont="1" applyFill="1"/>
    <xf numFmtId="164" fontId="12" fillId="2" borderId="0" xfId="1" applyNumberFormat="1" applyFont="1" applyFill="1"/>
    <xf numFmtId="164" fontId="12" fillId="2" borderId="7" xfId="1" applyNumberFormat="1" applyFont="1" applyFill="1" applyBorder="1"/>
    <xf numFmtId="164" fontId="12" fillId="2" borderId="8" xfId="1" applyNumberFormat="1" applyFont="1" applyFill="1" applyBorder="1"/>
    <xf numFmtId="0" fontId="12" fillId="2" borderId="8" xfId="0" applyFont="1" applyFill="1" applyBorder="1"/>
    <xf numFmtId="0" fontId="12" fillId="2" borderId="0" xfId="0" applyFont="1" applyFill="1" applyAlignment="1">
      <alignment horizontal="left" vertical="center" wrapText="1"/>
    </xf>
    <xf numFmtId="43" fontId="12" fillId="0" borderId="0" xfId="0" applyNumberFormat="1" applyFont="1" applyFill="1"/>
    <xf numFmtId="43" fontId="12" fillId="2" borderId="0" xfId="0" applyNumberFormat="1" applyFont="1" applyFill="1"/>
    <xf numFmtId="164" fontId="17" fillId="0" borderId="7" xfId="1" applyNumberFormat="1" applyFont="1" applyFill="1" applyBorder="1"/>
    <xf numFmtId="164" fontId="17" fillId="0" borderId="8" xfId="1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164" fontId="12" fillId="0" borderId="0" xfId="1" applyNumberFormat="1" applyFont="1" applyFill="1" applyBorder="1"/>
    <xf numFmtId="17" fontId="7" fillId="0" borderId="0" xfId="0" quotePrefix="1" applyNumberFormat="1" applyFont="1" applyFill="1"/>
    <xf numFmtId="43" fontId="12" fillId="0" borderId="0" xfId="1" quotePrefix="1" applyFont="1" applyFill="1"/>
    <xf numFmtId="164" fontId="14" fillId="0" borderId="3" xfId="1" applyNumberFormat="1" applyFont="1" applyFill="1" applyBorder="1"/>
    <xf numFmtId="164" fontId="14" fillId="0" borderId="14" xfId="1" applyNumberFormat="1" applyFont="1" applyFill="1" applyBorder="1"/>
    <xf numFmtId="164" fontId="14" fillId="0" borderId="15" xfId="1" applyNumberFormat="1" applyFont="1" applyFill="1" applyBorder="1"/>
    <xf numFmtId="0" fontId="18" fillId="0" borderId="0" xfId="0" applyFont="1" applyFill="1" applyAlignment="1">
      <alignment wrapText="1"/>
    </xf>
    <xf numFmtId="164" fontId="14" fillId="0" borderId="0" xfId="1" applyNumberFormat="1" applyFont="1" applyFill="1" applyAlignment="1">
      <alignment horizontal="right"/>
    </xf>
    <xf numFmtId="0" fontId="14" fillId="0" borderId="0" xfId="0" applyFont="1" applyAlignment="1">
      <alignment horizontal="left" vertical="center" wrapText="1"/>
    </xf>
    <xf numFmtId="164" fontId="14" fillId="0" borderId="1" xfId="1" applyNumberFormat="1" applyFont="1" applyFill="1" applyBorder="1" applyAlignment="1">
      <alignment horizontal="center" wrapText="1"/>
    </xf>
    <xf numFmtId="164" fontId="12" fillId="0" borderId="5" xfId="1" applyNumberFormat="1" applyFont="1" applyFill="1" applyBorder="1" applyAlignment="1"/>
    <xf numFmtId="164" fontId="12" fillId="0" borderId="0" xfId="1" applyNumberFormat="1" applyFont="1" applyFill="1" applyBorder="1" applyAlignment="1"/>
    <xf numFmtId="17" fontId="12" fillId="0" borderId="0" xfId="0" quotePrefix="1" applyNumberFormat="1" applyFont="1" applyFill="1" applyBorder="1" applyAlignment="1">
      <alignment horizontal="left" vertical="center" wrapText="1"/>
    </xf>
    <xf numFmtId="17" fontId="12" fillId="0" borderId="0" xfId="0" quotePrefix="1" applyNumberFormat="1" applyFont="1" applyFill="1" applyBorder="1"/>
    <xf numFmtId="164" fontId="12" fillId="0" borderId="2" xfId="1" applyNumberFormat="1" applyFont="1" applyFill="1" applyBorder="1" applyAlignment="1"/>
    <xf numFmtId="164" fontId="14" fillId="0" borderId="4" xfId="1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/>
    <xf numFmtId="0" fontId="14" fillId="0" borderId="4" xfId="0" applyFont="1" applyFill="1" applyBorder="1" applyAlignment="1"/>
    <xf numFmtId="17" fontId="17" fillId="3" borderId="0" xfId="0" quotePrefix="1" applyNumberFormat="1" applyFont="1" applyFill="1"/>
    <xf numFmtId="0" fontId="17" fillId="3" borderId="0" xfId="0" applyFont="1" applyFill="1"/>
    <xf numFmtId="0" fontId="7" fillId="0" borderId="2" xfId="0" applyFont="1" applyFill="1" applyBorder="1" applyAlignment="1">
      <alignment horizontal="center" wrapText="1"/>
    </xf>
    <xf numFmtId="17" fontId="12" fillId="2" borderId="0" xfId="0" applyNumberFormat="1" applyFont="1" applyFill="1"/>
    <xf numFmtId="165" fontId="12" fillId="2" borderId="0" xfId="3" applyNumberFormat="1" applyFont="1" applyFill="1" applyBorder="1" applyAlignment="1">
      <alignment horizontal="left"/>
    </xf>
    <xf numFmtId="0" fontId="12" fillId="2" borderId="0" xfId="0" quotePrefix="1" applyFont="1" applyFill="1" applyAlignment="1">
      <alignment horizontal="left" vertical="center" wrapText="1"/>
    </xf>
    <xf numFmtId="164" fontId="12" fillId="3" borderId="0" xfId="1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left" vertical="center" wrapText="1"/>
    </xf>
    <xf numFmtId="0" fontId="19" fillId="0" borderId="12" xfId="0" applyFont="1" applyFill="1" applyBorder="1" applyAlignment="1">
      <alignment horizontal="left" wrapText="1"/>
    </xf>
    <xf numFmtId="165" fontId="9" fillId="0" borderId="0" xfId="3" applyNumberFormat="1" applyFont="1"/>
    <xf numFmtId="164" fontId="15" fillId="0" borderId="7" xfId="1" applyNumberFormat="1" applyFont="1" applyFill="1" applyBorder="1"/>
    <xf numFmtId="0" fontId="5" fillId="0" borderId="6" xfId="0" pivotButton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38" fontId="5" fillId="0" borderId="9" xfId="0" applyNumberFormat="1" applyFont="1" applyBorder="1"/>
    <xf numFmtId="38" fontId="5" fillId="0" borderId="10" xfId="0" applyNumberFormat="1" applyFont="1" applyBorder="1"/>
    <xf numFmtId="38" fontId="5" fillId="0" borderId="6" xfId="0" applyNumberFormat="1" applyFont="1" applyBorder="1"/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164" fontId="14" fillId="0" borderId="18" xfId="1" applyNumberFormat="1" applyFont="1" applyFill="1" applyBorder="1" applyAlignment="1"/>
    <xf numFmtId="164" fontId="14" fillId="0" borderId="19" xfId="1" applyNumberFormat="1" applyFont="1" applyFill="1" applyBorder="1" applyAlignment="1"/>
    <xf numFmtId="1" fontId="14" fillId="0" borderId="1" xfId="1" applyNumberFormat="1" applyFont="1" applyFill="1" applyBorder="1" applyAlignment="1">
      <alignment horizontal="center" wrapText="1"/>
    </xf>
    <xf numFmtId="164" fontId="12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41" fontId="12" fillId="2" borderId="8" xfId="1" applyNumberFormat="1" applyFont="1" applyFill="1" applyBorder="1"/>
    <xf numFmtId="164" fontId="12" fillId="2" borderId="0" xfId="0" applyNumberFormat="1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8" fillId="0" borderId="0" xfId="2" applyFont="1" applyFill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left" vertical="center" wrapText="1"/>
    </xf>
    <xf numFmtId="165" fontId="12" fillId="0" borderId="0" xfId="3" applyNumberFormat="1" applyFont="1" applyFill="1" applyBorder="1" applyAlignment="1">
      <alignment horizontal="left"/>
    </xf>
    <xf numFmtId="0" fontId="12" fillId="0" borderId="0" xfId="0" quotePrefix="1" applyFont="1" applyFill="1" applyAlignment="1">
      <alignment horizontal="left" vertical="center" wrapText="1"/>
    </xf>
    <xf numFmtId="43" fontId="17" fillId="0" borderId="0" xfId="0" applyNumberFormat="1" applyFont="1" applyFill="1"/>
    <xf numFmtId="17" fontId="12" fillId="0" borderId="0" xfId="0" applyNumberFormat="1" applyFont="1" applyFill="1"/>
    <xf numFmtId="164" fontId="12" fillId="0" borderId="0" xfId="0" applyNumberFormat="1" applyFont="1" applyFill="1" applyBorder="1" applyAlignment="1">
      <alignment horizontal="left"/>
    </xf>
    <xf numFmtId="17" fontId="17" fillId="0" borderId="0" xfId="0" applyNumberFormat="1" applyFont="1" applyFill="1" applyBorder="1"/>
    <xf numFmtId="43" fontId="17" fillId="0" borderId="0" xfId="0" applyNumberFormat="1" applyFont="1" applyFill="1" applyBorder="1"/>
    <xf numFmtId="0" fontId="17" fillId="0" borderId="0" xfId="0" applyFont="1" applyFill="1" applyBorder="1"/>
    <xf numFmtId="41" fontId="12" fillId="0" borderId="8" xfId="1" applyNumberFormat="1" applyFont="1" applyFill="1" applyBorder="1"/>
    <xf numFmtId="164" fontId="7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 wrapText="1"/>
    </xf>
    <xf numFmtId="164" fontId="17" fillId="0" borderId="0" xfId="1" applyNumberFormat="1" applyFont="1" applyFill="1" applyBorder="1"/>
    <xf numFmtId="17" fontId="7" fillId="0" borderId="0" xfId="0" applyNumberFormat="1" applyFont="1" applyFill="1"/>
    <xf numFmtId="0" fontId="14" fillId="0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wrapText="1"/>
    </xf>
    <xf numFmtId="0" fontId="7" fillId="3" borderId="0" xfId="0" applyFont="1" applyFill="1" applyBorder="1"/>
    <xf numFmtId="0" fontId="12" fillId="3" borderId="0" xfId="0" applyFont="1" applyFill="1"/>
    <xf numFmtId="164" fontId="17" fillId="3" borderId="7" xfId="1" applyNumberFormat="1" applyFont="1" applyFill="1" applyBorder="1"/>
    <xf numFmtId="164" fontId="17" fillId="3" borderId="8" xfId="1" applyNumberFormat="1" applyFont="1" applyFill="1" applyBorder="1"/>
    <xf numFmtId="164" fontId="7" fillId="3" borderId="7" xfId="1" applyNumberFormat="1" applyFont="1" applyFill="1" applyBorder="1"/>
    <xf numFmtId="164" fontId="7" fillId="3" borderId="8" xfId="1" applyNumberFormat="1" applyFont="1" applyFill="1" applyBorder="1"/>
    <xf numFmtId="164" fontId="12" fillId="3" borderId="7" xfId="1" applyNumberFormat="1" applyFont="1" applyFill="1" applyBorder="1"/>
    <xf numFmtId="0" fontId="12" fillId="3" borderId="8" xfId="0" applyFont="1" applyFill="1" applyBorder="1"/>
    <xf numFmtId="0" fontId="12" fillId="3" borderId="0" xfId="0" applyFont="1" applyFill="1" applyAlignment="1">
      <alignment horizontal="left" vertical="center" wrapText="1"/>
    </xf>
    <xf numFmtId="17" fontId="12" fillId="3" borderId="0" xfId="0" quotePrefix="1" applyNumberFormat="1" applyFont="1" applyFill="1"/>
    <xf numFmtId="43" fontId="12" fillId="3" borderId="0" xfId="0" applyNumberFormat="1" applyFont="1" applyFill="1"/>
    <xf numFmtId="164" fontId="12" fillId="3" borderId="8" xfId="1" applyNumberFormat="1" applyFont="1" applyFill="1" applyBorder="1"/>
    <xf numFmtId="0" fontId="12" fillId="3" borderId="0" xfId="0" quotePrefix="1" applyFont="1" applyFill="1" applyAlignment="1">
      <alignment horizontal="left" vertical="center" wrapText="1"/>
    </xf>
    <xf numFmtId="0" fontId="12" fillId="3" borderId="0" xfId="0" applyFont="1" applyFill="1" applyBorder="1" applyAlignment="1">
      <alignment wrapText="1"/>
    </xf>
    <xf numFmtId="0" fontId="12" fillId="3" borderId="0" xfId="0" applyFont="1" applyFill="1" applyBorder="1"/>
    <xf numFmtId="17" fontId="17" fillId="3" borderId="0" xfId="0" applyNumberFormat="1" applyFont="1" applyFill="1" applyBorder="1"/>
    <xf numFmtId="43" fontId="17" fillId="3" borderId="0" xfId="0" applyNumberFormat="1" applyFont="1" applyFill="1" applyBorder="1"/>
    <xf numFmtId="0" fontId="17" fillId="3" borderId="0" xfId="0" applyFont="1" applyFill="1" applyBorder="1"/>
    <xf numFmtId="164" fontId="12" fillId="3" borderId="0" xfId="1" applyNumberFormat="1" applyFont="1" applyFill="1" applyBorder="1"/>
    <xf numFmtId="41" fontId="12" fillId="3" borderId="8" xfId="1" applyNumberFormat="1" applyFont="1" applyFill="1" applyBorder="1"/>
    <xf numFmtId="17" fontId="7" fillId="3" borderId="0" xfId="0" quotePrefix="1" applyNumberFormat="1" applyFont="1" applyFill="1"/>
    <xf numFmtId="164" fontId="12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165" fontId="12" fillId="3" borderId="0" xfId="3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0" fontId="7" fillId="3" borderId="0" xfId="0" applyFont="1" applyFill="1" applyAlignment="1">
      <alignment wrapText="1"/>
    </xf>
    <xf numFmtId="164" fontId="7" fillId="3" borderId="0" xfId="1" applyNumberFormat="1" applyFont="1" applyFill="1"/>
    <xf numFmtId="0" fontId="7" fillId="3" borderId="7" xfId="0" applyFont="1" applyFill="1" applyBorder="1"/>
    <xf numFmtId="43" fontId="12" fillId="3" borderId="0" xfId="1" quotePrefix="1" applyFont="1" applyFill="1"/>
    <xf numFmtId="164" fontId="12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>
      <alignment horizontal="left" wrapText="1"/>
    </xf>
    <xf numFmtId="0" fontId="12" fillId="3" borderId="0" xfId="0" applyFont="1" applyFill="1" applyAlignment="1">
      <alignment horizontal="left" vertical="center"/>
    </xf>
    <xf numFmtId="43" fontId="17" fillId="3" borderId="0" xfId="0" applyNumberFormat="1" applyFont="1" applyFill="1"/>
    <xf numFmtId="17" fontId="17" fillId="2" borderId="0" xfId="0" quotePrefix="1" applyNumberFormat="1" applyFont="1" applyFill="1"/>
    <xf numFmtId="43" fontId="17" fillId="2" borderId="0" xfId="0" applyNumberFormat="1" applyFont="1" applyFill="1"/>
    <xf numFmtId="0" fontId="17" fillId="2" borderId="0" xfId="0" applyFont="1" applyFill="1"/>
    <xf numFmtId="17" fontId="7" fillId="2" borderId="0" xfId="0" quotePrefix="1" applyNumberFormat="1" applyFont="1" applyFill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164" fontId="7" fillId="3" borderId="2" xfId="1" applyNumberFormat="1" applyFont="1" applyFill="1" applyBorder="1"/>
    <xf numFmtId="0" fontId="12" fillId="3" borderId="16" xfId="0" applyFont="1" applyFill="1" applyBorder="1"/>
    <xf numFmtId="0" fontId="12" fillId="3" borderId="17" xfId="0" applyFont="1" applyFill="1" applyBorder="1"/>
    <xf numFmtId="164" fontId="7" fillId="3" borderId="16" xfId="1" applyNumberFormat="1" applyFont="1" applyFill="1" applyBorder="1"/>
    <xf numFmtId="164" fontId="7" fillId="3" borderId="17" xfId="1" applyNumberFormat="1" applyFont="1" applyFill="1" applyBorder="1"/>
    <xf numFmtId="0" fontId="7" fillId="3" borderId="17" xfId="0" applyFont="1" applyFill="1" applyBorder="1"/>
    <xf numFmtId="0" fontId="7" fillId="3" borderId="2" xfId="0" applyFont="1" applyFill="1" applyBorder="1" applyAlignment="1">
      <alignment horizontal="left" vertical="center" wrapText="1"/>
    </xf>
    <xf numFmtId="17" fontId="7" fillId="3" borderId="2" xfId="0" quotePrefix="1" applyNumberFormat="1" applyFont="1" applyFill="1" applyBorder="1"/>
    <xf numFmtId="164" fontId="17" fillId="3" borderId="0" xfId="1" applyNumberFormat="1" applyFont="1" applyFill="1" applyBorder="1"/>
    <xf numFmtId="17" fontId="7" fillId="3" borderId="0" xfId="0" applyNumberFormat="1" applyFont="1" applyFill="1"/>
    <xf numFmtId="165" fontId="0" fillId="0" borderId="0" xfId="3" applyNumberFormat="1" applyFont="1"/>
    <xf numFmtId="0" fontId="9" fillId="0" borderId="0" xfId="0" applyFont="1"/>
    <xf numFmtId="0" fontId="9" fillId="0" borderId="6" xfId="0" applyFont="1" applyBorder="1"/>
    <xf numFmtId="165" fontId="0" fillId="0" borderId="6" xfId="3" applyNumberFormat="1" applyFont="1" applyBorder="1"/>
    <xf numFmtId="0" fontId="0" fillId="0" borderId="6" xfId="0" applyBorder="1"/>
    <xf numFmtId="165" fontId="0" fillId="0" borderId="6" xfId="0" applyNumberFormat="1" applyBorder="1"/>
    <xf numFmtId="164" fontId="14" fillId="0" borderId="18" xfId="1" applyNumberFormat="1" applyFont="1" applyFill="1" applyBorder="1" applyAlignment="1"/>
    <xf numFmtId="164" fontId="14" fillId="0" borderId="19" xfId="1" applyNumberFormat="1" applyFont="1" applyFill="1" applyBorder="1" applyAlignment="1"/>
    <xf numFmtId="0" fontId="0" fillId="0" borderId="0" xfId="0" applyAlignment="1">
      <alignment horizontal="center"/>
    </xf>
    <xf numFmtId="165" fontId="0" fillId="0" borderId="0" xfId="3" applyNumberFormat="1" applyFont="1" applyAlignment="1">
      <alignment horizontal="center"/>
    </xf>
    <xf numFmtId="9" fontId="0" fillId="0" borderId="0" xfId="5" applyFont="1" applyAlignment="1">
      <alignment horizontal="center"/>
    </xf>
    <xf numFmtId="0" fontId="20" fillId="0" borderId="0" xfId="0" applyFont="1"/>
    <xf numFmtId="0" fontId="21" fillId="0" borderId="0" xfId="0" applyFont="1"/>
    <xf numFmtId="10" fontId="0" fillId="0" borderId="0" xfId="5" applyNumberFormat="1" applyFont="1" applyAlignment="1">
      <alignment horizontal="center"/>
    </xf>
    <xf numFmtId="0" fontId="0" fillId="8" borderId="0" xfId="0" applyFill="1"/>
    <xf numFmtId="6" fontId="23" fillId="8" borderId="0" xfId="0" applyNumberFormat="1" applyFont="1" applyFill="1"/>
    <xf numFmtId="6" fontId="0" fillId="0" borderId="0" xfId="5" applyNumberFormat="1" applyFont="1" applyAlignment="1">
      <alignment horizontal="center"/>
    </xf>
    <xf numFmtId="6" fontId="0" fillId="0" borderId="0" xfId="0" applyNumberFormat="1" applyFill="1"/>
    <xf numFmtId="165" fontId="0" fillId="0" borderId="0" xfId="0" applyNumberFormat="1" applyFill="1"/>
    <xf numFmtId="8" fontId="0" fillId="0" borderId="0" xfId="0" applyNumberFormat="1"/>
    <xf numFmtId="6" fontId="24" fillId="0" borderId="43" xfId="0" applyNumberFormat="1" applyFont="1" applyBorder="1" applyAlignment="1">
      <alignment horizontal="center" vertical="center" wrapText="1"/>
    </xf>
    <xf numFmtId="6" fontId="24" fillId="0" borderId="44" xfId="0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center"/>
    </xf>
    <xf numFmtId="8" fontId="26" fillId="0" borderId="22" xfId="0" applyNumberFormat="1" applyFont="1" applyBorder="1" applyAlignment="1">
      <alignment horizontal="center" vertical="center"/>
    </xf>
    <xf numFmtId="8" fontId="26" fillId="0" borderId="27" xfId="0" applyNumberFormat="1" applyFont="1" applyBorder="1" applyAlignment="1">
      <alignment horizontal="center" vertical="center"/>
    </xf>
    <xf numFmtId="0" fontId="25" fillId="0" borderId="27" xfId="0" applyFont="1" applyBorder="1" applyAlignment="1">
      <alignment vertical="center"/>
    </xf>
    <xf numFmtId="8" fontId="24" fillId="0" borderId="44" xfId="0" applyNumberFormat="1" applyFont="1" applyBorder="1" applyAlignment="1">
      <alignment horizontal="center" vertical="center" wrapText="1"/>
    </xf>
    <xf numFmtId="6" fontId="0" fillId="0" borderId="2" xfId="0" applyNumberFormat="1" applyBorder="1"/>
    <xf numFmtId="0" fontId="9" fillId="0" borderId="0" xfId="0" applyFont="1" applyAlignment="1">
      <alignment wrapText="1"/>
    </xf>
    <xf numFmtId="6" fontId="9" fillId="0" borderId="0" xfId="0" applyNumberFormat="1" applyFont="1"/>
    <xf numFmtId="1" fontId="14" fillId="0" borderId="1" xfId="1" applyNumberFormat="1" applyFont="1" applyFill="1" applyBorder="1" applyAlignment="1">
      <alignment horizontal="center" wrapText="1"/>
    </xf>
    <xf numFmtId="164" fontId="14" fillId="0" borderId="18" xfId="1" applyNumberFormat="1" applyFont="1" applyFill="1" applyBorder="1" applyAlignment="1"/>
    <xf numFmtId="164" fontId="14" fillId="0" borderId="19" xfId="1" applyNumberFormat="1" applyFont="1" applyFill="1" applyBorder="1" applyAlignment="1"/>
  </cellXfs>
  <cellStyles count="6">
    <cellStyle name="Comma" xfId="1" builtinId="3"/>
    <cellStyle name="Comma 2" xfId="4" xr:uid="{00000000-0005-0000-0000-000001000000}"/>
    <cellStyle name="Currency" xfId="3" builtinId="4"/>
    <cellStyle name="Normal" xfId="0" builtinId="0"/>
    <cellStyle name="Normal 3 5" xfId="2" xr:uid="{00000000-0005-0000-0000-000004000000}"/>
    <cellStyle name="Percent" xfId="5" builtinId="5"/>
  </cellStyles>
  <dxfs count="33">
    <dxf>
      <alignment horizontal="center" wrapText="1" readingOrder="0"/>
    </dxf>
    <dxf>
      <alignment vertical="center" readingOrder="0"/>
    </dxf>
    <dxf>
      <numFmt numFmtId="6" formatCode="#,##0_);[Red]\(#,##0\)"/>
    </dxf>
    <dxf>
      <numFmt numFmtId="6" formatCode="#,##0_);[Red]\(#,##0\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alignment horizontal="center" readingOrder="0"/>
    </dxf>
    <dxf>
      <numFmt numFmtId="6" formatCode="#,##0_);[Red]\(#,##0\)"/>
    </dxf>
  </dxfs>
  <tableStyles count="0" defaultTableStyle="TableStyleMedium2" defaultPivotStyle="PivotStyleLight16"/>
  <colors>
    <mruColors>
      <color rgb="FFE8D3A2"/>
      <color rgb="FF363C74"/>
      <color rgb="FF00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AMI Annual O&amp;M Impact Forecast</a:t>
            </a:r>
          </a:p>
        </c:rich>
      </c:tx>
      <c:layout>
        <c:manualLayout>
          <c:xMode val="edge"/>
          <c:yMode val="edge"/>
          <c:x val="0.17850835714726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'Annual Summary'!$B$22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778642455685255E-3"/>
                  <c:y val="-9.259259259259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C3-4EE8-B53E-EE244F492A0E}"/>
                </c:ext>
              </c:extLst>
            </c:dLbl>
            <c:dLbl>
              <c:idx val="1"/>
              <c:layout>
                <c:manualLayout>
                  <c:x val="-6.593713723527754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C3-4EE8-B53E-EE244F492A0E}"/>
                </c:ext>
              </c:extLst>
            </c:dLbl>
            <c:dLbl>
              <c:idx val="2"/>
              <c:layout>
                <c:manualLayout>
                  <c:x val="9.01426718547341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C3-4EE8-B53E-EE244F492A0E}"/>
                </c:ext>
              </c:extLst>
            </c:dLbl>
            <c:dLbl>
              <c:idx val="3"/>
              <c:layout>
                <c:manualLayout>
                  <c:x val="-7.1838563953824833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C3-4EE8-B53E-EE244F492A0E}"/>
                </c:ext>
              </c:extLst>
            </c:dLbl>
            <c:dLbl>
              <c:idx val="4"/>
              <c:layout>
                <c:manualLayout>
                  <c:x val="-7.1838563953824916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C3-4EE8-B53E-EE244F492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'Annual Summary'!$A$23</c:f>
              <c:strCache>
                <c:ptCount val="1"/>
                <c:pt idx="0">
                  <c:v>Annual O&amp;M Impact</c:v>
                </c:pt>
              </c:strCache>
            </c:strRef>
          </c:cat>
          <c:val>
            <c:numRef>
              <c:f>'Annual Summary'!$B$23</c:f>
              <c:numCache>
                <c:formatCode>_("$"* #,##0_);_("$"* \(#,##0\);_("$"* "-"??_);_(@_)</c:formatCode>
                <c:ptCount val="1"/>
                <c:pt idx="0">
                  <c:v>122792.00000000004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3-4EE8-B53E-EE244F492A0E}"/>
            </c:ext>
          </c:extLst>
        </c:ser>
        <c:ser>
          <c:idx val="1"/>
          <c:order val="1"/>
          <c:tx>
            <c:strRef>
              <c:f>'Annual Summary'!$C$22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76159230096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C3-4EE8-B53E-EE244F492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'Annual Summary'!$A$23</c:f>
              <c:strCache>
                <c:ptCount val="1"/>
                <c:pt idx="0">
                  <c:v>Annual O&amp;M Impact</c:v>
                </c:pt>
              </c:strCache>
            </c:strRef>
          </c:cat>
          <c:val>
            <c:numRef>
              <c:f>'Annual Summary'!$C$23</c:f>
              <c:numCache>
                <c:formatCode>_("$"* #,##0_);_("$"* \(#,##0\);_("$"* "-"??_);_(@_)</c:formatCode>
                <c:ptCount val="1"/>
                <c:pt idx="0">
                  <c:v>2029854.94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C3-4EE8-B53E-EE244F492A0E}"/>
            </c:ext>
          </c:extLst>
        </c:ser>
        <c:ser>
          <c:idx val="2"/>
          <c:order val="2"/>
          <c:tx>
            <c:strRef>
              <c:f>'Annual Summary'!$D$22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9261225886505794E-17"/>
                  <c:y val="5.9758675998833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C3-4EE8-B53E-EE244F492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'Annual Summary'!$A$23</c:f>
              <c:strCache>
                <c:ptCount val="1"/>
                <c:pt idx="0">
                  <c:v>Annual O&amp;M Impact</c:v>
                </c:pt>
              </c:strCache>
            </c:strRef>
          </c:cat>
          <c:val>
            <c:numRef>
              <c:f>'Annual Summary'!$D$23</c:f>
              <c:numCache>
                <c:formatCode>_("$"* #,##0_);_("$"* \(#,##0\);_("$"* "-"??_);_(@_)</c:formatCode>
                <c:ptCount val="1"/>
                <c:pt idx="0">
                  <c:v>-843809.78206443053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C3-4EE8-B53E-EE244F492A0E}"/>
            </c:ext>
          </c:extLst>
        </c:ser>
        <c:ser>
          <c:idx val="3"/>
          <c:order val="3"/>
          <c:tx>
            <c:strRef>
              <c:f>'Annual Summary'!$E$22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616947686986599E-3"/>
                  <c:y val="2.588145231846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C3-4EE8-B53E-EE244F492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'Annual Summary'!$A$23</c:f>
              <c:strCache>
                <c:ptCount val="1"/>
                <c:pt idx="0">
                  <c:v>Annual O&amp;M Impact</c:v>
                </c:pt>
              </c:strCache>
            </c:strRef>
          </c:cat>
          <c:val>
            <c:numRef>
              <c:f>'Annual Summary'!$E$23</c:f>
              <c:numCache>
                <c:formatCode>_("$"* #,##0_);_("$"* \(#,##0\);_("$"* "-"??_);_(@_)</c:formatCode>
                <c:ptCount val="1"/>
                <c:pt idx="0">
                  <c:v>-3687716.8010735488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C3-4EE8-B53E-EE244F492A0E}"/>
            </c:ext>
          </c:extLst>
        </c:ser>
        <c:ser>
          <c:idx val="4"/>
          <c:order val="4"/>
          <c:tx>
            <c:strRef>
              <c:f>'Annual Summary'!$F$22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616947686986599E-3"/>
                  <c:y val="1.15467337416156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C3-4EE8-B53E-EE244F492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'Annual Summary'!$A$23</c:f>
              <c:strCache>
                <c:ptCount val="1"/>
                <c:pt idx="0">
                  <c:v>Annual O&amp;M Impact</c:v>
                </c:pt>
              </c:strCache>
            </c:strRef>
          </c:cat>
          <c:val>
            <c:numRef>
              <c:f>'Annual Summary'!$F$23</c:f>
              <c:numCache>
                <c:formatCode>_("$"* #,##0_);_("$"* \(#,##0\);_("$"* "-"??_);_(@_)</c:formatCode>
                <c:ptCount val="1"/>
                <c:pt idx="0">
                  <c:v>-2123834.2511936286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C3-4EE8-B53E-EE244F492A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87160504"/>
        <c:axId val="387153840"/>
      </c:barChart>
      <c:catAx>
        <c:axId val="387160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53840"/>
        <c:crosses val="autoZero"/>
        <c:auto val="1"/>
        <c:lblAlgn val="ctr"/>
        <c:lblOffset val="100"/>
        <c:noMultiLvlLbl val="0"/>
      </c:catAx>
      <c:valAx>
        <c:axId val="3871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6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220145633546777"/>
          <c:y val="0.21025481189851264"/>
          <c:w val="0.6069157211379706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567146</xdr:colOff>
      <xdr:row>51</xdr:row>
      <xdr:rowOff>14133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07146" cy="83417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42</xdr:row>
      <xdr:rowOff>153865</xdr:rowOff>
    </xdr:from>
    <xdr:to>
      <xdr:col>26</xdr:col>
      <xdr:colOff>688731</xdr:colOff>
      <xdr:row>44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3FE6FD3-E3E5-4F79-975A-FCE9FDF6864D}"/>
            </a:ext>
          </a:extLst>
        </xdr:cNvPr>
        <xdr:cNvSpPr/>
      </xdr:nvSpPr>
      <xdr:spPr>
        <a:xfrm>
          <a:off x="29308" y="7136423"/>
          <a:ext cx="23768538" cy="168519"/>
        </a:xfrm>
        <a:prstGeom prst="rect">
          <a:avLst/>
        </a:prstGeom>
        <a:solidFill>
          <a:schemeClr val="accent6">
            <a:lumMod val="40000"/>
            <a:lumOff val="60000"/>
            <a:alpha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)</a:t>
          </a:r>
        </a:p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655320</xdr:colOff>
      <xdr:row>27</xdr:row>
      <xdr:rowOff>45720</xdr:rowOff>
    </xdr:from>
    <xdr:to>
      <xdr:col>9</xdr:col>
      <xdr:colOff>914400</xdr:colOff>
      <xdr:row>43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85725</xdr:rowOff>
    </xdr:from>
    <xdr:to>
      <xdr:col>7</xdr:col>
      <xdr:colOff>695325</xdr:colOff>
      <xdr:row>18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62075" y="1704975"/>
          <a:ext cx="50006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</a:t>
          </a:r>
          <a:r>
            <a:rPr lang="en-US" sz="1100" baseline="0"/>
            <a:t> Source: "HE-C" Tab on the latest AMI Budget Model Spreadsheet -Robb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C544DEB-8026-41A2-A1A2-E07ECD18ABB4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eve%20Carrozzo\EDTP\AMI\AMI%20Budget%20Model%20-%20June%202016%20Actuals%202017%20O&amp;M%20Discus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2016.corp.com/Advanced%20Metering/AMI%20Washington/Project%20Initiation/Meter%20Hardware%20Budget%20(version%2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Version Control"/>
      <sheetName val="Contingency Expected Spend"/>
      <sheetName val="Budget Summary"/>
      <sheetName val="Budget by Project - Month"/>
      <sheetName val="Financial Graphs"/>
      <sheetName val="MDM R"/>
      <sheetName val="MDM C"/>
      <sheetName val="HE R"/>
      <sheetName val="HE C"/>
      <sheetName val="CI R"/>
      <sheetName val="CI C"/>
      <sheetName val="MD R"/>
      <sheetName val="MD C"/>
      <sheetName val="DA R"/>
      <sheetName val="DA C"/>
      <sheetName val="CVR"/>
      <sheetName val="Post Production O&amp;M Details"/>
      <sheetName val="O&amp;M Summary"/>
      <sheetName val="O&amp;M by Year"/>
      <sheetName val="Misc. Exp Incentive"/>
      <sheetName val="2016"/>
      <sheetName val="2017"/>
      <sheetName val="Resources from Andrea Pi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M30">
            <v>239611.39199999999</v>
          </cell>
        </row>
      </sheetData>
      <sheetData sheetId="17">
        <row r="6">
          <cell r="G6">
            <v>4129124</v>
          </cell>
        </row>
      </sheetData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ToForm"/>
      <sheetName val="Decode"/>
      <sheetName val="Final Count &amp; Pricing"/>
      <sheetName val="Sheet1"/>
      <sheetName val="PivotByFeeder"/>
      <sheetName val="ByFeeder"/>
      <sheetName val="BySub"/>
      <sheetName val="EquipCost"/>
      <sheetName val="Sheet2"/>
      <sheetName val="Options"/>
      <sheetName val="Departmental"/>
    </sheetNames>
    <sheetDataSet>
      <sheetData sheetId="0"/>
      <sheetData sheetId="1">
        <row r="1">
          <cell r="B1" t="str">
            <v>Row Labels</v>
          </cell>
          <cell r="C1" t="str">
            <v>Count of MFG Type</v>
          </cell>
          <cell r="D1" t="str">
            <v>Form</v>
          </cell>
          <cell r="E1" t="str">
            <v>Comment</v>
          </cell>
        </row>
        <row r="2">
          <cell r="B2" t="str">
            <v>A1D10A</v>
          </cell>
          <cell r="C2">
            <v>1</v>
          </cell>
          <cell r="D2" t="str">
            <v>9S</v>
          </cell>
          <cell r="E2">
            <v>0</v>
          </cell>
        </row>
        <row r="3">
          <cell r="B3" t="str">
            <v>A1DA</v>
          </cell>
          <cell r="C3">
            <v>1</v>
          </cell>
          <cell r="D3" t="str">
            <v>9S</v>
          </cell>
          <cell r="E3">
            <v>0</v>
          </cell>
        </row>
        <row r="4">
          <cell r="B4" t="str">
            <v>C1S</v>
          </cell>
          <cell r="C4">
            <v>1</v>
          </cell>
          <cell r="D4" t="str">
            <v>2S</v>
          </cell>
          <cell r="E4">
            <v>0</v>
          </cell>
        </row>
        <row r="5">
          <cell r="B5" t="str">
            <v>C1SDR3</v>
          </cell>
          <cell r="C5">
            <v>21</v>
          </cell>
          <cell r="D5" t="str">
            <v>2S</v>
          </cell>
          <cell r="E5" t="str">
            <v>some of the I70 are 3S meters when have CT</v>
          </cell>
        </row>
        <row r="6">
          <cell r="B6" t="str">
            <v>C1SDR33S</v>
          </cell>
          <cell r="C6">
            <v>10</v>
          </cell>
          <cell r="D6" t="str">
            <v>3S</v>
          </cell>
          <cell r="E6">
            <v>0</v>
          </cell>
        </row>
        <row r="7">
          <cell r="B7" t="str">
            <v>C1SR HPP</v>
          </cell>
          <cell r="C7">
            <v>4</v>
          </cell>
          <cell r="D7" t="str">
            <v>2S</v>
          </cell>
          <cell r="E7">
            <v>0</v>
          </cell>
        </row>
        <row r="8">
          <cell r="B8" t="str">
            <v>C1SR12S Autorange</v>
          </cell>
          <cell r="C8">
            <v>1</v>
          </cell>
          <cell r="D8" t="str">
            <v>12S 3Phase</v>
          </cell>
          <cell r="E8">
            <v>0</v>
          </cell>
        </row>
        <row r="9">
          <cell r="B9" t="str">
            <v>CP1SDR316S</v>
          </cell>
          <cell r="C9">
            <v>10</v>
          </cell>
          <cell r="D9" t="str">
            <v>16S</v>
          </cell>
          <cell r="E9">
            <v>0</v>
          </cell>
        </row>
        <row r="10">
          <cell r="B10" t="str">
            <v>CP1SDR345S</v>
          </cell>
          <cell r="C10">
            <v>49</v>
          </cell>
          <cell r="D10" t="str">
            <v>45S</v>
          </cell>
          <cell r="E10">
            <v>0</v>
          </cell>
        </row>
        <row r="11">
          <cell r="B11" t="str">
            <v>CP1SDR39S</v>
          </cell>
          <cell r="C11">
            <v>53</v>
          </cell>
          <cell r="D11" t="str">
            <v>9S</v>
          </cell>
          <cell r="E11">
            <v>0</v>
          </cell>
        </row>
        <row r="12">
          <cell r="B12" t="str">
            <v>CP1SDR39SR</v>
          </cell>
          <cell r="C12">
            <v>2</v>
          </cell>
          <cell r="D12" t="str">
            <v>9S</v>
          </cell>
          <cell r="E12">
            <v>0</v>
          </cell>
        </row>
        <row r="13">
          <cell r="B13" t="str">
            <v>CP1SR16S</v>
          </cell>
          <cell r="C13">
            <v>31</v>
          </cell>
          <cell r="D13" t="str">
            <v>16S</v>
          </cell>
          <cell r="E13">
            <v>0</v>
          </cell>
        </row>
        <row r="14">
          <cell r="B14" t="str">
            <v>EVX4</v>
          </cell>
          <cell r="C14">
            <v>1</v>
          </cell>
          <cell r="D14" t="str">
            <v>2S</v>
          </cell>
          <cell r="E14">
            <v>0</v>
          </cell>
        </row>
        <row r="15">
          <cell r="B15" t="str">
            <v>I50S</v>
          </cell>
          <cell r="C15">
            <v>1</v>
          </cell>
          <cell r="D15" t="str">
            <v>2S</v>
          </cell>
          <cell r="E15">
            <v>0</v>
          </cell>
        </row>
        <row r="16">
          <cell r="B16" t="str">
            <v>I70S</v>
          </cell>
          <cell r="C16">
            <v>1</v>
          </cell>
          <cell r="D16" t="str">
            <v>2S</v>
          </cell>
          <cell r="E16">
            <v>0</v>
          </cell>
        </row>
        <row r="17">
          <cell r="B17" t="str">
            <v>IM50S</v>
          </cell>
          <cell r="C17">
            <v>4</v>
          </cell>
          <cell r="D17" t="str">
            <v>2S</v>
          </cell>
          <cell r="E17">
            <v>0</v>
          </cell>
        </row>
        <row r="18">
          <cell r="B18" t="str">
            <v>IM70S</v>
          </cell>
          <cell r="C18">
            <v>15</v>
          </cell>
          <cell r="D18" t="str">
            <v>2S</v>
          </cell>
          <cell r="E18">
            <v>0</v>
          </cell>
        </row>
        <row r="19">
          <cell r="B19" t="str">
            <v>KV10A</v>
          </cell>
          <cell r="C19">
            <v>2</v>
          </cell>
          <cell r="D19" t="str">
            <v>9S</v>
          </cell>
          <cell r="E19">
            <v>0</v>
          </cell>
        </row>
        <row r="20">
          <cell r="B20" t="str">
            <v>KV16S</v>
          </cell>
          <cell r="C20">
            <v>1</v>
          </cell>
          <cell r="D20" t="str">
            <v>16S</v>
          </cell>
          <cell r="E20">
            <v>0</v>
          </cell>
        </row>
        <row r="21">
          <cell r="B21" t="str">
            <v>KV2C10A</v>
          </cell>
          <cell r="C21">
            <v>10</v>
          </cell>
          <cell r="D21" t="str">
            <v>9S</v>
          </cell>
          <cell r="E21">
            <v>0</v>
          </cell>
        </row>
        <row r="22">
          <cell r="B22" t="str">
            <v>KV2C10AR</v>
          </cell>
          <cell r="C22">
            <v>1</v>
          </cell>
          <cell r="D22" t="str">
            <v>9S</v>
          </cell>
          <cell r="E22">
            <v>0</v>
          </cell>
        </row>
        <row r="23">
          <cell r="B23" t="str">
            <v>KV2C16S</v>
          </cell>
          <cell r="C23">
            <v>1</v>
          </cell>
          <cell r="D23" t="str">
            <v>16S</v>
          </cell>
          <cell r="E23">
            <v>0</v>
          </cell>
        </row>
        <row r="24">
          <cell r="B24" t="str">
            <v>KV2C3S</v>
          </cell>
          <cell r="C24">
            <v>3</v>
          </cell>
          <cell r="D24" t="str">
            <v>3S</v>
          </cell>
          <cell r="E24">
            <v>0</v>
          </cell>
        </row>
        <row r="25">
          <cell r="B25" t="str">
            <v>KV2C45S</v>
          </cell>
          <cell r="C25">
            <v>3</v>
          </cell>
          <cell r="D25" t="str">
            <v>45S</v>
          </cell>
          <cell r="E25">
            <v>0</v>
          </cell>
        </row>
        <row r="26">
          <cell r="B26" t="str">
            <v>KV2S</v>
          </cell>
          <cell r="C26">
            <v>2</v>
          </cell>
          <cell r="D26" t="str">
            <v>2S</v>
          </cell>
          <cell r="E26">
            <v>0</v>
          </cell>
        </row>
        <row r="27">
          <cell r="B27" t="str">
            <v>KV3S</v>
          </cell>
          <cell r="C27">
            <v>7</v>
          </cell>
          <cell r="D27" t="str">
            <v>3S</v>
          </cell>
          <cell r="E27">
            <v>0</v>
          </cell>
        </row>
        <row r="28">
          <cell r="B28" t="str">
            <v>KV45A</v>
          </cell>
          <cell r="C28">
            <v>2</v>
          </cell>
          <cell r="D28" t="str">
            <v>45S</v>
          </cell>
          <cell r="E28">
            <v>0</v>
          </cell>
        </row>
        <row r="29">
          <cell r="B29" t="str">
            <v>KV45S</v>
          </cell>
          <cell r="C29">
            <v>2</v>
          </cell>
          <cell r="D29" t="str">
            <v>45S</v>
          </cell>
          <cell r="E29">
            <v>0</v>
          </cell>
        </row>
        <row r="30">
          <cell r="B30" t="str">
            <v>Load Study</v>
          </cell>
          <cell r="C30">
            <v>2</v>
          </cell>
          <cell r="D30" t="str">
            <v>16S</v>
          </cell>
          <cell r="E30">
            <v>0</v>
          </cell>
        </row>
        <row r="31">
          <cell r="B31" t="str">
            <v>LSSS1S1L3SGP</v>
          </cell>
          <cell r="C31">
            <v>1</v>
          </cell>
          <cell r="D31" t="str">
            <v>16S</v>
          </cell>
          <cell r="E31">
            <v>0</v>
          </cell>
        </row>
        <row r="32">
          <cell r="B32" t="str">
            <v>LSSS3S1L45SGP</v>
          </cell>
          <cell r="C32">
            <v>1</v>
          </cell>
          <cell r="D32" t="str">
            <v>16S</v>
          </cell>
          <cell r="E32">
            <v>0</v>
          </cell>
        </row>
        <row r="33">
          <cell r="B33" t="str">
            <v>SS3S1D45S</v>
          </cell>
          <cell r="C33">
            <v>1</v>
          </cell>
          <cell r="D33" t="str">
            <v>45S</v>
          </cell>
          <cell r="E33">
            <v>0</v>
          </cell>
        </row>
        <row r="34">
          <cell r="B34" t="str">
            <v>SV4AD</v>
          </cell>
          <cell r="C34">
            <v>10</v>
          </cell>
          <cell r="D34" t="str">
            <v>9S</v>
          </cell>
          <cell r="E34">
            <v>0</v>
          </cell>
        </row>
        <row r="35">
          <cell r="B35" t="str">
            <v>SV4AR</v>
          </cell>
          <cell r="C35">
            <v>1</v>
          </cell>
          <cell r="D35" t="str">
            <v>9S</v>
          </cell>
          <cell r="E35">
            <v>0</v>
          </cell>
        </row>
        <row r="36">
          <cell r="B36" t="str">
            <v>V62S</v>
          </cell>
          <cell r="C36">
            <v>1</v>
          </cell>
          <cell r="D36" t="str">
            <v>12S 3Phase</v>
          </cell>
          <cell r="E36">
            <v>0</v>
          </cell>
        </row>
        <row r="37">
          <cell r="B37" t="str">
            <v>V63A</v>
          </cell>
          <cell r="C37">
            <v>2</v>
          </cell>
          <cell r="D37" t="str">
            <v>45S</v>
          </cell>
          <cell r="E37">
            <v>0</v>
          </cell>
        </row>
        <row r="38">
          <cell r="B38" t="str">
            <v>V63S</v>
          </cell>
          <cell r="C38">
            <v>3</v>
          </cell>
          <cell r="D38" t="str">
            <v>45S</v>
          </cell>
          <cell r="E38">
            <v>0</v>
          </cell>
        </row>
        <row r="39">
          <cell r="B39" t="str">
            <v>V64A</v>
          </cell>
          <cell r="C39">
            <v>1</v>
          </cell>
          <cell r="D39" t="str">
            <v>9S</v>
          </cell>
          <cell r="E39">
            <v>0</v>
          </cell>
        </row>
        <row r="40">
          <cell r="B40" t="str">
            <v>V65S</v>
          </cell>
          <cell r="C40">
            <v>4</v>
          </cell>
          <cell r="D40" t="str">
            <v>16S</v>
          </cell>
          <cell r="E40">
            <v>0</v>
          </cell>
        </row>
        <row r="41">
          <cell r="B41" t="str">
            <v>V66S</v>
          </cell>
          <cell r="C41">
            <v>27</v>
          </cell>
          <cell r="D41" t="str">
            <v>16S</v>
          </cell>
          <cell r="E41">
            <v>0</v>
          </cell>
        </row>
        <row r="42">
          <cell r="B42" t="str">
            <v>VM63A</v>
          </cell>
          <cell r="C42">
            <v>18</v>
          </cell>
          <cell r="D42" t="str">
            <v>45S</v>
          </cell>
          <cell r="E42">
            <v>0</v>
          </cell>
        </row>
        <row r="43">
          <cell r="B43" t="str">
            <v>VM63S</v>
          </cell>
          <cell r="C43">
            <v>18</v>
          </cell>
          <cell r="D43" t="str">
            <v>45S</v>
          </cell>
          <cell r="E43">
            <v>0</v>
          </cell>
        </row>
        <row r="44">
          <cell r="B44" t="str">
            <v>VM64A</v>
          </cell>
          <cell r="C44">
            <v>27</v>
          </cell>
          <cell r="D44" t="str">
            <v>9S</v>
          </cell>
          <cell r="E44">
            <v>0</v>
          </cell>
        </row>
        <row r="45">
          <cell r="B45" t="str">
            <v>VM64AI</v>
          </cell>
          <cell r="C45">
            <v>1</v>
          </cell>
          <cell r="D45" t="str">
            <v>9S</v>
          </cell>
          <cell r="E45">
            <v>0</v>
          </cell>
        </row>
        <row r="46">
          <cell r="B46" t="str">
            <v>VM65S</v>
          </cell>
          <cell r="C46">
            <v>2</v>
          </cell>
          <cell r="D46" t="str">
            <v>16S</v>
          </cell>
          <cell r="E46">
            <v>0</v>
          </cell>
        </row>
        <row r="47">
          <cell r="B47" t="str">
            <v>VM66S</v>
          </cell>
          <cell r="C47">
            <v>6</v>
          </cell>
          <cell r="D47" t="str">
            <v>16S</v>
          </cell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lensky, Vern" refreshedDate="43829.599122685184" createdVersion="5" refreshedVersion="5" minRefreshableVersion="3" recordCount="55" xr:uid="{00000000-000A-0000-FFFF-FFFF1E000000}">
  <cacheSource type="worksheet">
    <worksheetSource ref="A3:Q58" sheet="Data An - O&amp;M Detail by Year"/>
  </cacheSource>
  <cacheFields count="17">
    <cacheField name="Description" numFmtId="0">
      <sharedItems/>
    </cacheField>
    <cacheField name="Employee Names" numFmtId="0">
      <sharedItems containsBlank="1"/>
    </cacheField>
    <cacheField name="Dept." numFmtId="0">
      <sharedItems/>
    </cacheField>
    <cacheField name="Org" numFmtId="0">
      <sharedItems containsBlank="1" count="22">
        <s v="I08"/>
        <s v="J29"/>
        <s v="D50"/>
        <s v="E50"/>
        <s v="J31"/>
        <s v="Z87"/>
        <s v="Z08"/>
        <s v="C19"/>
        <s v="B09"/>
        <s v="J09"/>
        <s v="W09"/>
        <s v="E53"/>
        <s v="Z09"/>
        <s v="Z10"/>
        <s v=" C11"/>
        <s v="A09"/>
        <s v="S54"/>
        <s v="A10"/>
        <s v="J30"/>
        <m u="1"/>
        <s v="C11" u="1"/>
        <s v="P08" u="1"/>
      </sharedItems>
    </cacheField>
    <cacheField name="VP" numFmtId="0">
      <sharedItems containsBlank="1" count="8">
        <s v="H. Rosentrater"/>
        <s v="J. Kensok"/>
        <s v="K. Christie"/>
        <s v="R. Krasselt"/>
        <m u="1"/>
        <s v="Christie" u="1"/>
        <s v="Kensok" u="1"/>
        <s v="TBD" u="1"/>
      </sharedItems>
    </cacheField>
    <cacheField name="1st Full Year (non adjusted)" numFmtId="0">
      <sharedItems containsString="0" containsBlank="1" containsNumber="1" minValue="-973467" maxValue="1828836.46"/>
    </cacheField>
    <cacheField name="2017 Labor" numFmtId="0">
      <sharedItems containsString="0" containsBlank="1" containsNumber="1" containsInteger="1" minValue="-102975" maxValue="25000"/>
    </cacheField>
    <cacheField name="2017 Non Labor" numFmtId="0">
      <sharedItems containsString="0" containsBlank="1" containsNumber="1" containsInteger="1" minValue="0" maxValue="59576"/>
    </cacheField>
    <cacheField name="2018 Labor" numFmtId="0">
      <sharedItems containsString="0" containsBlank="1" containsNumber="1" minValue="-50326" maxValue="222856.57499999998"/>
    </cacheField>
    <cacheField name="2018 Non Labor" numFmtId="164">
      <sharedItems containsString="0" containsBlank="1" containsNumber="1" containsInteger="1" minValue="-12600" maxValue="363416"/>
    </cacheField>
    <cacheField name="2019 Labor" numFmtId="0">
      <sharedItems containsString="0" containsBlank="1" containsNumber="1" minValue="-667038" maxValue="675965.18440000003"/>
    </cacheField>
    <cacheField name="2019 Non Labor" numFmtId="164">
      <sharedItems containsString="0" containsBlank="1" containsNumber="1" minValue="-240133.68" maxValue="363416"/>
    </cacheField>
    <cacheField name="2020 Labor" numFmtId="0">
      <sharedItems containsString="0" containsBlank="1" containsNumber="1" minValue="-1648000" maxValue="653915.25399999996"/>
    </cacheField>
    <cacheField name="2020 Non Labor" numFmtId="164">
      <sharedItems containsString="0" containsBlank="1" containsNumber="1" minValue="-593280" maxValue="363416"/>
    </cacheField>
    <cacheField name="2021 Labor" numFmtId="0">
      <sharedItems containsString="0" containsBlank="1" containsNumber="1" minValue="-2783960" maxValue="683647.51361999987"/>
    </cacheField>
    <cacheField name="2021 Non Labor" numFmtId="0">
      <sharedItems containsString="0" containsBlank="1" containsNumber="1" minValue="-1002225.6" maxValue="363416"/>
    </cacheField>
    <cacheField name="Comments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Special Reads"/>
    <m/>
    <s v="Energy Delivery Op Support"/>
    <x v="0"/>
    <x v="0"/>
    <m/>
    <m/>
    <m/>
    <m/>
    <m/>
    <m/>
    <n v="-14499"/>
    <m/>
    <n v="-38664"/>
    <m/>
    <n v="-48330"/>
    <s v="*Reduced Mobile Dispatch support: vehicles, safety, overheads"/>
  </r>
  <r>
    <s v="Retail Load Studies"/>
    <m/>
    <s v="Network Operations"/>
    <x v="1"/>
    <x v="1"/>
    <n v="-76846"/>
    <m/>
    <m/>
    <m/>
    <m/>
    <m/>
    <n v="-28233.1"/>
    <m/>
    <n v="-40333"/>
    <m/>
    <n v="-40333"/>
    <s v="Eliminated cellular communication, MV-90 meters on own data pool. "/>
  </r>
  <r>
    <s v="Regular Reads"/>
    <m/>
    <s v="Meter Reading - OSM"/>
    <x v="2"/>
    <x v="2"/>
    <m/>
    <n v="-102975"/>
    <n v="0"/>
    <n v="-50326"/>
    <m/>
    <n v="-667038"/>
    <m/>
    <n v="-1648000"/>
    <m/>
    <n v="-2783960"/>
    <m/>
    <s v="Eliminated Payroll, approximately 48 FTE, waiting for meeting with Jackie Foss"/>
  </r>
  <r>
    <s v="Regular Reads - 36% of labor"/>
    <m/>
    <s v="Meter Reading - OSM"/>
    <x v="2"/>
    <x v="2"/>
    <m/>
    <m/>
    <m/>
    <m/>
    <m/>
    <m/>
    <n v="-240133.68"/>
    <m/>
    <n v="-593280"/>
    <m/>
    <n v="-1002225.6"/>
    <s v="Eliminated support costs: handhelds, vehicles, safety, overheads, waiting for meeting with Jackie Foss"/>
  </r>
  <r>
    <s v="Credit Collections/Connections (OSM Staffing)"/>
    <m/>
    <s v="Meter Reading - OSM"/>
    <x v="3"/>
    <x v="2"/>
    <n v="-973467"/>
    <m/>
    <m/>
    <n v="0"/>
    <m/>
    <n v="0"/>
    <m/>
    <n v="400000"/>
    <m/>
    <n v="-882008.09050867404"/>
    <m/>
    <s v="OSM Staffing Reductions - Per Benefit Model. "/>
  </r>
  <r>
    <s v="Itron Tropos M&amp;S (Pullman)"/>
    <m/>
    <s v="Network Engineering"/>
    <x v="1"/>
    <x v="1"/>
    <m/>
    <m/>
    <m/>
    <m/>
    <m/>
    <m/>
    <m/>
    <m/>
    <m/>
    <m/>
    <m/>
    <s v="Tropos support will be replaced by Cisco wireless mesh support costs when we refresh the Field Area Network.   Thus,  I suggest NOT including Tropos support as a cost savings when it is replaced."/>
  </r>
  <r>
    <s v="Itron Tropos M&amp;S (Spokane)"/>
    <m/>
    <s v="Network Engineering"/>
    <x v="1"/>
    <x v="1"/>
    <m/>
    <m/>
    <m/>
    <m/>
    <m/>
    <m/>
    <m/>
    <m/>
    <m/>
    <m/>
    <m/>
    <s v="Tropos support will be replaced by Cisco wireless mesh support costs when we refresh the Field Area Network.   Thus,  I suggest NOT including Tropos support as a cost savings when it is replaced."/>
  </r>
  <r>
    <s v="Verizon Network Tropos (Pullman)"/>
    <m/>
    <s v="Network Engineering"/>
    <x v="1"/>
    <x v="1"/>
    <n v="-10800"/>
    <m/>
    <m/>
    <m/>
    <m/>
    <m/>
    <m/>
    <m/>
    <m/>
    <m/>
    <m/>
    <s v="Tropos support will be replaced by Cisco wireless mesh support costs when we refresh the Field Area Network.   Thus,  I suggest NOT including Tropos support as a cost savings when it is replaced."/>
  </r>
  <r>
    <s v="Legacy Pullman Refresh"/>
    <m/>
    <s v="IT - HW/SW maintenance"/>
    <x v="4"/>
    <x v="1"/>
    <n v="-46000"/>
    <m/>
    <m/>
    <m/>
    <n v="-11100"/>
    <m/>
    <n v="-46000"/>
    <m/>
    <n v="-46000"/>
    <m/>
    <n v="-46000"/>
    <s v="Per Robb Raymond"/>
  </r>
  <r>
    <s v="Pullman MDM"/>
    <m/>
    <s v="Energy Delivery Op Support"/>
    <x v="0"/>
    <x v="0"/>
    <m/>
    <m/>
    <m/>
    <m/>
    <n v="-12600"/>
    <m/>
    <n v="-12600"/>
    <m/>
    <n v="-12600"/>
    <m/>
    <n v="-12600"/>
    <m/>
  </r>
  <r>
    <s v="Pullman HES"/>
    <m/>
    <s v="Energy Delivery Op Support"/>
    <x v="0"/>
    <x v="0"/>
    <m/>
    <m/>
    <m/>
    <m/>
    <m/>
    <m/>
    <n v="0"/>
    <m/>
    <n v="-44239.37"/>
    <m/>
    <n v="-44239.37"/>
    <m/>
  </r>
  <r>
    <s v="Labor Loadings"/>
    <m/>
    <s v="Centralized Org"/>
    <x v="5"/>
    <x v="3"/>
    <n v="-603549.54"/>
    <m/>
    <m/>
    <m/>
    <m/>
    <n v="-420233.94"/>
    <m/>
    <n v="-786240"/>
    <m/>
    <n v="-2309559.8970204648"/>
    <m/>
    <s v="Reduced FTE Labor Loadings Saved"/>
  </r>
  <r>
    <s v="3 Residential Meter Utilityman (RMU) - Temporary"/>
    <s v="Lindsey Fry, Bob Turpin,  TBD"/>
    <s v="Meter Shop"/>
    <x v="6"/>
    <x v="0"/>
    <m/>
    <m/>
    <m/>
    <n v="0"/>
    <m/>
    <n v="0"/>
    <m/>
    <n v="0"/>
    <m/>
    <n v="0"/>
    <m/>
    <s v="Capital only work anticipated today"/>
  </r>
  <r>
    <s v="Security Operations"/>
    <s v="Ryan Cresswell"/>
    <s v="Security Operations"/>
    <x v="7"/>
    <x v="1"/>
    <n v="100000"/>
    <m/>
    <m/>
    <n v="0"/>
    <m/>
    <n v="0"/>
    <m/>
    <m/>
    <m/>
    <n v="0"/>
    <m/>
    <s v="No charges for this role found in operations."/>
  </r>
  <r>
    <s v="Network Operations Meter/Collector"/>
    <s v="Sean Anderson"/>
    <s v="Network Operations"/>
    <x v="8"/>
    <x v="1"/>
    <n v="114000"/>
    <m/>
    <m/>
    <n v="60420"/>
    <m/>
    <n v="120840"/>
    <m/>
    <n v="31065.000000000004"/>
    <m/>
    <n v="31996.950000000004"/>
    <m/>
    <s v="Work being spread among AMI and other support tasks."/>
  </r>
  <r>
    <s v="Network Operations Meter/Collector"/>
    <s v="Mac Anderson"/>
    <s v="Network Operations"/>
    <x v="8"/>
    <x v="1"/>
    <n v="102000"/>
    <m/>
    <m/>
    <n v="54060"/>
    <m/>
    <n v="108120"/>
    <m/>
    <n v="27795.000000000004"/>
    <m/>
    <n v="28628.850000000006"/>
    <m/>
    <s v="Work being spread among AMI and other support tasks."/>
  </r>
  <r>
    <s v="Telecommunications/CGR"/>
    <s v="John Shagen"/>
    <s v="Telecomm Shop"/>
    <x v="8"/>
    <x v="1"/>
    <n v="100000"/>
    <m/>
    <m/>
    <n v="0"/>
    <m/>
    <n v="0"/>
    <m/>
    <n v="0"/>
    <m/>
    <n v="0"/>
    <m/>
    <s v="transitioned role, not net new FTE"/>
  </r>
  <r>
    <s v="Network Engineer Field Area Network"/>
    <s v="Patrick Irwin"/>
    <s v="Network Engineering"/>
    <x v="9"/>
    <x v="1"/>
    <n v="100000"/>
    <m/>
    <m/>
    <m/>
    <m/>
    <n v="10000"/>
    <m/>
    <n v="50000"/>
    <m/>
    <m/>
    <m/>
    <s v="Work supports capital and operations"/>
  </r>
  <r>
    <s v="MDM Support Tools - Apps Ops"/>
    <s v="Parikshit Ingale"/>
    <s v="Application Operations"/>
    <x v="10"/>
    <x v="1"/>
    <n v="63494"/>
    <m/>
    <m/>
    <n v="63494"/>
    <m/>
    <n v="67303.64"/>
    <m/>
    <m/>
    <m/>
    <m/>
    <m/>
    <s v="IBM support team - contract employee"/>
  </r>
  <r>
    <s v="MDM Operations - Apps Ops "/>
    <s v="Scott Phipps"/>
    <s v="Application Operations"/>
    <x v="10"/>
    <x v="1"/>
    <n v="114162"/>
    <m/>
    <m/>
    <n v="0"/>
    <m/>
    <n v="0"/>
    <m/>
    <n v="0"/>
    <m/>
    <n v="0"/>
    <m/>
    <s v="transitioned role, not net new FTE"/>
  </r>
  <r>
    <s v="Riva HES Ops SME"/>
    <s v="Iqqi Hamed"/>
    <s v="Application Operations"/>
    <x v="10"/>
    <x v="1"/>
    <n v="116000"/>
    <m/>
    <m/>
    <n v="0"/>
    <m/>
    <n v="92220"/>
    <m/>
    <n v="122960"/>
    <m/>
    <n v="122960"/>
    <m/>
    <s v="Operations support began in 2019."/>
  </r>
  <r>
    <s v="MDM Service Order Management Operations (Developer)"/>
    <s v="Navnath Gaikwad"/>
    <s v="Application Operations"/>
    <x v="10"/>
    <x v="1"/>
    <n v="84800"/>
    <m/>
    <m/>
    <n v="0"/>
    <m/>
    <m/>
    <m/>
    <m/>
    <m/>
    <m/>
    <m/>
    <s v="Currently ongoing development support - capital"/>
  </r>
  <r>
    <s v="2 Billing Customer Service Representative"/>
    <s v="Emily Christianson/Sarah Belding"/>
    <s v="Call Center - Billing"/>
    <x v="11"/>
    <x v="2"/>
    <n v="100000"/>
    <n v="25000"/>
    <m/>
    <n v="103000"/>
    <m/>
    <n v="106000"/>
    <m/>
    <n v="109180"/>
    <m/>
    <n v="112455.40000000001"/>
    <m/>
    <s v="two roles hired as temp based on business need"/>
  </r>
  <r>
    <s v="Riva HES Ops SME"/>
    <s v="Nick McBride"/>
    <s v="Application Operations"/>
    <x v="10"/>
    <x v="1"/>
    <n v="86250"/>
    <m/>
    <m/>
    <n v="0"/>
    <m/>
    <n v="0"/>
    <m/>
    <n v="0"/>
    <m/>
    <n v="0"/>
    <m/>
    <s v="transitioned role, not net new FTE"/>
  </r>
  <r>
    <s v="AMI Network Operations Engineer"/>
    <s v="Robert Smith"/>
    <s v="Network Operations"/>
    <x v="8"/>
    <x v="1"/>
    <n v="80250"/>
    <m/>
    <m/>
    <n v="0"/>
    <m/>
    <n v="0"/>
    <m/>
    <n v="0"/>
    <m/>
    <n v="0"/>
    <m/>
    <s v="transitioned role, not net new FTE"/>
  </r>
  <r>
    <s v="PI Operations"/>
    <s v="Alex Meade"/>
    <s v="Application Operations"/>
    <x v="10"/>
    <x v="1"/>
    <n v="100000"/>
    <m/>
    <m/>
    <m/>
    <m/>
    <n v="50000"/>
    <m/>
    <n v="103000"/>
    <m/>
    <n v="106000"/>
    <m/>
    <s v="Identified need in 2019"/>
  </r>
  <r>
    <s v="AMI Network Operations Manager"/>
    <s v="Mike Busby"/>
    <s v="Network Operations"/>
    <x v="8"/>
    <x v="1"/>
    <n v="150000"/>
    <m/>
    <m/>
    <n v="0"/>
    <m/>
    <n v="0"/>
    <m/>
    <n v="0"/>
    <m/>
    <n v="0"/>
    <m/>
    <s v="transitioned role, not net new FTE"/>
  </r>
  <r>
    <s v="Head End Analyst"/>
    <s v="Melanie Hayes"/>
    <s v="Customer Solutions"/>
    <x v="12"/>
    <x v="2"/>
    <n v="70000"/>
    <m/>
    <m/>
    <n v="0"/>
    <m/>
    <n v="0"/>
    <m/>
    <n v="0"/>
    <m/>
    <n v="0"/>
    <m/>
    <s v="transitioned role, not net new FTE"/>
  </r>
  <r>
    <s v="Head End Analyst"/>
    <s v="Kristina Foss"/>
    <s v="Customer Solutions"/>
    <x v="12"/>
    <x v="2"/>
    <n v="65000"/>
    <m/>
    <m/>
    <n v="0"/>
    <m/>
    <n v="68900"/>
    <m/>
    <n v="70967"/>
    <m/>
    <n v="73096.009999999995"/>
    <m/>
    <s v="transitioned role, backfilled by Angela Wilson as new FTE"/>
  </r>
  <r>
    <s v="Haed End Analyst"/>
    <s v="TBD-2020"/>
    <s v="Customer Solutions"/>
    <x v="13"/>
    <x v="2"/>
    <n v="65000"/>
    <m/>
    <m/>
    <m/>
    <m/>
    <m/>
    <m/>
    <n v="32500"/>
    <m/>
    <n v="66950"/>
    <m/>
    <s v="Request in for additioanl support role"/>
  </r>
  <r>
    <s v="CC&amp;B / MDM Technology Analyst"/>
    <s v="Chris Renz"/>
    <s v=" Enterprise Systems"/>
    <x v="14"/>
    <x v="2"/>
    <n v="90000"/>
    <m/>
    <m/>
    <n v="0"/>
    <m/>
    <n v="13500"/>
    <m/>
    <n v="13905"/>
    <m/>
    <n v="14322.15"/>
    <m/>
    <s v="Identified need during 2017, supporting ongoing capital in parallel"/>
  </r>
  <r>
    <s v="CC&amp;B / MDM Bus. Analyst (SOM)"/>
    <s v="Mike Allerton"/>
    <s v=" Enterprise Systems"/>
    <x v="14"/>
    <x v="2"/>
    <n v="17500"/>
    <m/>
    <m/>
    <n v="0"/>
    <m/>
    <n v="0"/>
    <m/>
    <n v="0"/>
    <m/>
    <n v="0"/>
    <m/>
    <s v="transitioned role, not net new FTE"/>
  </r>
  <r>
    <s v="CC&amp;B / MDM Bus. Analyst (Billing)"/>
    <s v="Bobbi Pemberton"/>
    <s v="Customer Solutions"/>
    <x v="12"/>
    <x v="2"/>
    <n v="80000"/>
    <m/>
    <m/>
    <n v="0"/>
    <m/>
    <n v="0"/>
    <m/>
    <n v="0"/>
    <m/>
    <n v="0"/>
    <m/>
    <s v="transitioned role, not net new FTE"/>
  </r>
  <r>
    <s v="Meter Automation Engineer"/>
    <s v="Jon Seubert"/>
    <s v="Meter Shop"/>
    <x v="0"/>
    <x v="0"/>
    <n v="99120"/>
    <m/>
    <m/>
    <n v="0"/>
    <m/>
    <n v="0"/>
    <m/>
    <n v="0"/>
    <m/>
    <n v="0"/>
    <m/>
    <s v="transitioned role, not net new FTE"/>
  </r>
  <r>
    <s v="Meter Automation Engineer"/>
    <s v="Carlos Limon"/>
    <s v="Meter Shop"/>
    <x v="0"/>
    <x v="0"/>
    <n v="75200"/>
    <m/>
    <m/>
    <n v="0"/>
    <m/>
    <n v="79712"/>
    <m/>
    <n v="82103.360000000001"/>
    <m/>
    <n v="84566.460800000001"/>
    <m/>
    <s v="2-year temp based on need, ongoing needs assessment TBD"/>
  </r>
  <r>
    <s v="AMI Systems Business Analyst"/>
    <s v="Jonathan Gibbs"/>
    <s v="Meter Shop"/>
    <x v="0"/>
    <x v="0"/>
    <n v="80250"/>
    <m/>
    <m/>
    <n v="0"/>
    <m/>
    <n v="0"/>
    <m/>
    <n v="0"/>
    <m/>
    <n v="0"/>
    <m/>
    <s v="transitioned role, not net new FTE"/>
  </r>
  <r>
    <s v="AMI Operations Manager"/>
    <s v="Suzanne Figy"/>
    <s v="ET"/>
    <x v="15"/>
    <x v="1"/>
    <n v="127800"/>
    <m/>
    <m/>
    <n v="32908.5"/>
    <m/>
    <n v="135468"/>
    <m/>
    <n v="139532.04"/>
    <m/>
    <n v="143718.0012"/>
    <m/>
    <s v="Identified need in 2018"/>
  </r>
  <r>
    <s v="Possible Additions"/>
    <s v="TBD"/>
    <s v="Customer Solutions"/>
    <x v="12"/>
    <x v="2"/>
    <n v="70000"/>
    <m/>
    <m/>
    <n v="0"/>
    <m/>
    <n v="0"/>
    <m/>
    <n v="35000"/>
    <m/>
    <n v="72100"/>
    <m/>
    <s v="Likely future additions"/>
  </r>
  <r>
    <s v="Customer Web Interface"/>
    <s v="Q4 2018 OR Q1 2019"/>
    <s v="Digital Communications"/>
    <x v="16"/>
    <x v="2"/>
    <n v="100000"/>
    <m/>
    <m/>
    <m/>
    <m/>
    <n v="100000"/>
    <m/>
    <n v="103000"/>
    <m/>
    <n v="106090"/>
    <m/>
    <s v="New FTE - Q1 2019, 50% Capital, 50% O&amp;M"/>
  </r>
  <r>
    <s v="Meter failure replacement (1.0% incremental over today)"/>
    <m/>
    <s v="Meter Shop"/>
    <x v="6"/>
    <x v="0"/>
    <n v="200000"/>
    <m/>
    <m/>
    <m/>
    <m/>
    <n v="0"/>
    <m/>
    <n v="0"/>
    <m/>
    <n v="0"/>
    <m/>
    <s v="2019 Actuals- Meter failure rates for AMI meters were 0.1%, much lower than projected and no incremental work associated.  Forecast no incremental increase in failures based on this data._x000a__x000a_Original Assumption - $50 install labor per meter.  1.0% incremental increase in failures of installed meters per year. Only extends until 2023 as O&amp;M due to warranty."/>
  </r>
  <r>
    <s v="Labor Loadings"/>
    <m/>
    <s v="Centralized Org"/>
    <x v="5"/>
    <x v="3"/>
    <n v="1828836.46"/>
    <m/>
    <m/>
    <n v="222856.57499999998"/>
    <m/>
    <n v="675965.18440000003"/>
    <m/>
    <n v="653915.25399999996"/>
    <m/>
    <n v="683647.51361999987"/>
    <m/>
    <s v="New FTE Labor Loadings"/>
  </r>
  <r>
    <s v="MDM Software Requirements"/>
    <m/>
    <s v="IT - HW/SW maintenance"/>
    <x v="15"/>
    <x v="1"/>
    <n v="363416"/>
    <m/>
    <n v="59576"/>
    <m/>
    <n v="363416"/>
    <m/>
    <n v="363416"/>
    <m/>
    <n v="363416"/>
    <m/>
    <n v="363416"/>
    <s v="New Maintenance/License Fees - July 2017 - 5 year hold on cost - O&amp;M Q3 2017 go live"/>
  </r>
  <r>
    <s v="Itron Openway"/>
    <m/>
    <s v="IT - HW/SW maintenance"/>
    <x v="15"/>
    <x v="1"/>
    <n v="214900"/>
    <m/>
    <m/>
    <m/>
    <n v="53728"/>
    <m/>
    <n v="214900"/>
    <m/>
    <n v="214900"/>
    <m/>
    <n v="214900"/>
    <s v="New Maintenance/License Fees - Sept 2017 - 4 year hold on cost - O&amp;M Q4 2018 go live"/>
  </r>
  <r>
    <s v="CISCO IOT_FND"/>
    <m/>
    <s v="IT - HW/SW maintenance"/>
    <x v="17"/>
    <x v="1"/>
    <n v="164738"/>
    <m/>
    <m/>
    <m/>
    <n v="2080"/>
    <m/>
    <n v="78208"/>
    <m/>
    <n v="164738"/>
    <m/>
    <n v="164738"/>
    <m/>
  </r>
  <r>
    <s v="HES Compute and Storage"/>
    <m/>
    <s v="IT - HW/SW maintenance"/>
    <x v="15"/>
    <x v="1"/>
    <n v="134500"/>
    <m/>
    <m/>
    <m/>
    <n v="134500"/>
    <m/>
    <n v="134500"/>
    <m/>
    <n v="134500"/>
    <m/>
    <n v="134500"/>
    <s v="Assumes HES GO LIVE end of September 2018"/>
  </r>
  <r>
    <s v="Itron CI Network/CGR CRG HW Maint"/>
    <m/>
    <s v="IT - HW/SW maintenance"/>
    <x v="1"/>
    <x v="1"/>
    <n v="99218"/>
    <m/>
    <m/>
    <m/>
    <n v="8978"/>
    <m/>
    <n v="88844"/>
    <m/>
    <n v="99218"/>
    <m/>
    <n v="99218"/>
    <m/>
  </r>
  <r>
    <s v="Itron Range Extender Maintenance"/>
    <m/>
    <s v="IT - HW/SW maintenance"/>
    <x v="1"/>
    <x v="1"/>
    <n v="2173"/>
    <m/>
    <m/>
    <m/>
    <m/>
    <m/>
    <n v="380"/>
    <m/>
    <n v="1730"/>
    <m/>
    <n v="2173"/>
    <m/>
  </r>
  <r>
    <s v="Satellite MRC/Annual Support"/>
    <m/>
    <s v="IT - HW/SW maintenance"/>
    <x v="18"/>
    <x v="1"/>
    <n v="51000"/>
    <m/>
    <m/>
    <m/>
    <n v="1050"/>
    <m/>
    <n v="1050"/>
    <m/>
    <n v="51000"/>
    <m/>
    <n v="51000"/>
    <s v="BUSBY TO VERIFY"/>
  </r>
  <r>
    <s v="Direct Connect Meter/Meter MRC"/>
    <m/>
    <s v="IT - HW/SW maintenance"/>
    <x v="18"/>
    <x v="1"/>
    <n v="19300"/>
    <m/>
    <m/>
    <m/>
    <m/>
    <m/>
    <n v="787"/>
    <m/>
    <n v="12177"/>
    <m/>
    <n v="12177"/>
    <s v="BUSBY TO VERIFY"/>
  </r>
  <r>
    <s v="HES Data Center Network"/>
    <m/>
    <s v="IT - HW/SW maintenance"/>
    <x v="4"/>
    <x v="1"/>
    <n v="40557"/>
    <m/>
    <m/>
    <m/>
    <n v="40557"/>
    <m/>
    <n v="40557"/>
    <m/>
    <n v="40557"/>
    <m/>
    <n v="40557"/>
    <s v="Per Robb Raymond"/>
  </r>
  <r>
    <s v="Collection Infrastructure"/>
    <m/>
    <s v="IT - HW/SW maintenance"/>
    <x v="4"/>
    <x v="1"/>
    <n v="18675"/>
    <m/>
    <m/>
    <m/>
    <n v="18675"/>
    <m/>
    <n v="18675"/>
    <m/>
    <n v="18675"/>
    <m/>
    <n v="18675"/>
    <s v="Per Robb Raymond"/>
  </r>
  <r>
    <s v="CI Annual Cellular Charges"/>
    <m/>
    <s v="IT - HW/SW maintenance"/>
    <x v="1"/>
    <x v="1"/>
    <n v="74680"/>
    <m/>
    <m/>
    <m/>
    <n v="10440"/>
    <m/>
    <n v="71200"/>
    <m/>
    <n v="93600"/>
    <m/>
    <n v="93600"/>
    <s v="BUSBY TO VERIFY"/>
  </r>
  <r>
    <s v="PI annual maintenance"/>
    <m/>
    <s v="IT - HW/SW maintenance"/>
    <x v="15"/>
    <x v="1"/>
    <n v="233484"/>
    <m/>
    <n v="38216"/>
    <m/>
    <n v="100952"/>
    <m/>
    <n v="233484"/>
    <m/>
    <n v="233484"/>
    <m/>
    <n v="233484"/>
    <s v="6.27.17- in March, updated PI incremental based on direction from project accounting. There is 2017 incremental impact, increasing in 2018, full impact begins 10/2018. These numbers reflect those changes (A09-Apps)"/>
  </r>
  <r>
    <s v="Customer Communications - Post Meter Deployment"/>
    <m/>
    <s v="Digital Communications"/>
    <x v="16"/>
    <x v="2"/>
    <n v="450000"/>
    <m/>
    <m/>
    <m/>
    <m/>
    <m/>
    <n v="225000"/>
    <m/>
    <n v="225000"/>
    <m/>
    <m/>
    <s v="Communications with customers regarding using their advanced meter after the meter has been deployed was deemed O&amp;M, and is represented here for forecasting purposes."/>
  </r>
  <r>
    <s v="Combined Data Analytics Support &amp; Maintenance"/>
    <m/>
    <s v="IT - HW/SW maintenance"/>
    <x v="15"/>
    <x v="1"/>
    <n v="650000"/>
    <m/>
    <m/>
    <m/>
    <n v="30000"/>
    <m/>
    <n v="180000"/>
    <m/>
    <n v="180000"/>
    <m/>
    <n v="180000"/>
    <s v="This estimate includes 2TB storage, 1 Tb/M of data out, and 20 instances plus contingency for other costs.  This does not reflect any changes from network/security/operation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K8" firstHeaderRow="0" firstDataRow="1" firstDataCol="1"/>
  <pivotFields count="17">
    <pivotField showAll="0"/>
    <pivotField showAll="0" defaultSubtotal="0"/>
    <pivotField showAll="0"/>
    <pivotField axis="axisRow" showAll="0">
      <items count="23">
        <item x="15"/>
        <item x="17"/>
        <item x="8"/>
        <item m="1" x="20"/>
        <item x="7"/>
        <item x="2"/>
        <item x="3"/>
        <item x="11"/>
        <item x="0"/>
        <item x="9"/>
        <item x="1"/>
        <item x="18"/>
        <item x="4"/>
        <item m="1" x="21"/>
        <item x="16"/>
        <item x="10"/>
        <item x="6"/>
        <item x="5"/>
        <item m="1" x="19"/>
        <item x="12"/>
        <item x="13"/>
        <item x="14"/>
        <item t="default"/>
      </items>
    </pivotField>
    <pivotField axis="axisRow" showAll="0">
      <items count="9">
        <item sd="0" x="0"/>
        <item sd="0" x="1"/>
        <item sd="0" x="2"/>
        <item sd="0" x="3"/>
        <item m="1" x="4"/>
        <item m="1" x="7"/>
        <item sd="0" m="1" x="6"/>
        <item sd="0" m="1" x="5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 defaultSubtotal="0"/>
    <pivotField showAll="0"/>
  </pivotFields>
  <rowFields count="2">
    <field x="4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 2017 Labor" fld="6" baseField="3" baseItem="0" numFmtId="38"/>
    <dataField name=" 2017 Non Labor" fld="7" baseField="3" baseItem="0" numFmtId="38"/>
    <dataField name="  2018 Labor  " fld="8" baseField="3" baseItem="0" numFmtId="38"/>
    <dataField name=" 2018 Non Labor" fld="9" baseField="1" baseItem="11" numFmtId="38"/>
    <dataField name="  2019 Labor  " fld="10" baseField="1" baseItem="11" numFmtId="38"/>
    <dataField name=" 2019 Non Labor" fld="11" baseField="1" baseItem="11" numFmtId="38"/>
    <dataField name="  2020 Labor" fld="12" baseField="3" baseItem="0" numFmtId="38"/>
    <dataField name=" 2020 Non Labor" fld="13" baseField="1" baseItem="11" numFmtId="38"/>
    <dataField name=" 2021 Labor" fld="14" baseField="3" baseItem="0" numFmtId="38"/>
    <dataField name=" 2021 Non Labor" fld="15" baseField="3" baseItem="0" numFmtId="38"/>
  </dataFields>
  <formats count="33">
    <format dxfId="32">
      <pivotArea outline="0" collapsedLevelsAreSubtotals="1" fieldPosition="0">
        <references count="1">
          <reference field="429496729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3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4" type="button" dataOnly="0" labelOnly="1" outline="0" axis="axisRow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3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2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1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20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18">
      <pivotArea outline="0" collapsedLevelsAreSubtotals="1" fieldPosition="0">
        <references count="1">
          <reference field="4294967294" count="2" selected="0">
            <x v="6"/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2">
            <x v="6"/>
            <x v="7"/>
          </reference>
        </references>
      </pivotArea>
    </format>
    <format dxfId="16">
      <pivotArea collapsedLevelsAreSubtotals="1" fieldPosition="0">
        <references count="1">
          <reference field="4" count="1">
            <x v="1"/>
          </reference>
        </references>
      </pivotArea>
    </format>
    <format dxfId="15">
      <pivotArea collapsedLevelsAreSubtotals="1" fieldPosition="0">
        <references count="1">
          <reference field="4" count="1">
            <x v="0"/>
          </reference>
        </references>
      </pivotArea>
    </format>
    <format dxfId="14">
      <pivotArea collapsedLevelsAreSubtotals="1" fieldPosition="0">
        <references count="1">
          <reference field="4" count="1">
            <x v="2"/>
          </reference>
        </references>
      </pivotArea>
    </format>
    <format dxfId="13">
      <pivotArea collapsedLevelsAreSubtotals="1" fieldPosition="0">
        <references count="1">
          <reference field="4" count="1">
            <x v="3"/>
          </reference>
        </references>
      </pivotArea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4" type="button" dataOnly="0" labelOnly="1" outline="0" axis="axisRow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outline="0" fieldPosition="0">
        <references count="1">
          <reference field="4294967294" count="1">
            <x v="8"/>
          </reference>
        </references>
      </pivotArea>
    </format>
    <format dxfId="2">
      <pivotArea outline="0" fieldPosition="0">
        <references count="1">
          <reference field="4294967294" count="1">
            <x v="9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8"/>
            <x v="9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70" zoomScaleNormal="70" zoomScaleSheetLayoutView="100" workbookViewId="0">
      <selection activeCell="Z52" sqref="A1:Z52"/>
    </sheetView>
  </sheetViews>
  <sheetFormatPr defaultRowHeight="13.2" x14ac:dyDescent="0.25"/>
  <sheetData/>
  <pageMargins left="0.7" right="0.7" top="0.75" bottom="0.75" header="0.3" footer="0.3"/>
  <pageSetup paperSize="17" scale="89" orientation="landscape" r:id="rId1"/>
  <headerFooter>
    <oddFooter>&amp;R&amp;F;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D24A-0ADF-4761-8E9F-DC7015802AE7}">
  <sheetPr>
    <tabColor rgb="FF363C74"/>
    <pageSetUpPr fitToPage="1"/>
  </sheetPr>
  <dimension ref="A1:S97"/>
  <sheetViews>
    <sheetView zoomScale="80" zoomScaleNormal="80" zoomScaleSheetLayoutView="80" workbookViewId="0">
      <pane xSplit="1" ySplit="3" topLeftCell="B4" activePane="bottomRight" state="frozen"/>
      <selection activeCell="H112" sqref="H112"/>
      <selection pane="topRight" activeCell="H112" sqref="H112"/>
      <selection pane="bottomLeft" activeCell="H112" sqref="H112"/>
      <selection pane="bottomRight" activeCell="H104" sqref="H104:H108"/>
    </sheetView>
  </sheetViews>
  <sheetFormatPr defaultColWidth="9.109375" defaultRowHeight="15.6" x14ac:dyDescent="0.3"/>
  <cols>
    <col min="1" max="1" width="39.5546875" style="85" customWidth="1"/>
    <col min="2" max="2" width="21.33203125" style="85" customWidth="1"/>
    <col min="3" max="3" width="23.109375" style="85" customWidth="1"/>
    <col min="4" max="4" width="5.44140625" style="85" hidden="1" customWidth="1"/>
    <col min="5" max="5" width="14.33203125" style="86" hidden="1" customWidth="1"/>
    <col min="6" max="6" width="14.88671875" style="95" hidden="1" customWidth="1"/>
    <col min="7" max="8" width="11.88671875" style="95" customWidth="1"/>
    <col min="9" max="9" width="12.33203125" style="95" bestFit="1" customWidth="1"/>
    <col min="10" max="10" width="11.88671875" style="95" customWidth="1"/>
    <col min="11" max="11" width="14.44140625" style="95" bestFit="1" customWidth="1"/>
    <col min="12" max="12" width="12.33203125" style="95" bestFit="1" customWidth="1"/>
    <col min="13" max="13" width="14.44140625" style="95" bestFit="1" customWidth="1"/>
    <col min="14" max="14" width="12.33203125" style="95" bestFit="1" customWidth="1"/>
    <col min="15" max="15" width="14.44140625" style="95" bestFit="1" customWidth="1"/>
    <col min="16" max="16" width="11.88671875" style="85" customWidth="1"/>
    <col min="17" max="17" width="78.6640625" style="88" customWidth="1"/>
    <col min="18" max="18" width="11.5546875" style="85" bestFit="1" customWidth="1"/>
    <col min="19" max="20" width="13.33203125" style="85" bestFit="1" customWidth="1"/>
    <col min="21" max="16384" width="9.109375" style="85"/>
  </cols>
  <sheetData>
    <row r="1" spans="1:19" s="86" customFormat="1" x14ac:dyDescent="0.3">
      <c r="A1" s="195" t="s">
        <v>109</v>
      </c>
      <c r="B1" s="195"/>
      <c r="D1" s="196" t="s">
        <v>241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/>
    </row>
    <row r="2" spans="1:19" s="86" customFormat="1" x14ac:dyDescent="0.3">
      <c r="F2" s="95"/>
      <c r="G2" s="87"/>
      <c r="H2" s="87"/>
      <c r="I2" s="87"/>
      <c r="J2" s="87"/>
      <c r="K2" s="87"/>
      <c r="L2" s="87"/>
      <c r="M2" s="87"/>
      <c r="N2" s="87"/>
      <c r="O2" s="87"/>
      <c r="P2" s="87"/>
      <c r="Q2" s="110"/>
    </row>
    <row r="3" spans="1:19" s="94" customFormat="1" ht="44.4" customHeight="1" thickBot="1" x14ac:dyDescent="0.35">
      <c r="A3" s="89" t="s">
        <v>1</v>
      </c>
      <c r="B3" s="89" t="s">
        <v>294</v>
      </c>
      <c r="C3" s="89" t="s">
        <v>2</v>
      </c>
      <c r="D3" s="89" t="s">
        <v>3</v>
      </c>
      <c r="E3" s="89" t="s">
        <v>0</v>
      </c>
      <c r="F3" s="90" t="s">
        <v>4</v>
      </c>
      <c r="G3" s="91" t="s">
        <v>86</v>
      </c>
      <c r="H3" s="92" t="s">
        <v>87</v>
      </c>
      <c r="I3" s="91" t="s">
        <v>88</v>
      </c>
      <c r="J3" s="92" t="s">
        <v>89</v>
      </c>
      <c r="K3" s="91" t="s">
        <v>90</v>
      </c>
      <c r="L3" s="92" t="s">
        <v>91</v>
      </c>
      <c r="M3" s="91" t="s">
        <v>92</v>
      </c>
      <c r="N3" s="92" t="s">
        <v>93</v>
      </c>
      <c r="O3" s="91" t="s">
        <v>169</v>
      </c>
      <c r="P3" s="92" t="s">
        <v>168</v>
      </c>
      <c r="Q3" s="93" t="s">
        <v>39</v>
      </c>
    </row>
    <row r="4" spans="1:19" s="86" customFormat="1" hidden="1" x14ac:dyDescent="0.3">
      <c r="A4" s="94" t="s">
        <v>6</v>
      </c>
      <c r="B4" s="94"/>
      <c r="C4" s="86" t="s">
        <v>7</v>
      </c>
      <c r="D4" s="86" t="s">
        <v>8</v>
      </c>
      <c r="E4" s="86" t="s">
        <v>5</v>
      </c>
      <c r="F4" s="95"/>
      <c r="G4" s="96"/>
      <c r="H4" s="97"/>
      <c r="I4" s="96"/>
      <c r="J4" s="98"/>
      <c r="K4" s="96"/>
      <c r="L4" s="97">
        <v>-14499</v>
      </c>
      <c r="M4" s="96"/>
      <c r="N4" s="97">
        <v>-38664</v>
      </c>
      <c r="O4" s="96"/>
      <c r="P4" s="97">
        <v>-48330</v>
      </c>
      <c r="Q4" s="99" t="s">
        <v>40</v>
      </c>
    </row>
    <row r="5" spans="1:19" s="86" customFormat="1" hidden="1" x14ac:dyDescent="0.3">
      <c r="A5" s="100" t="s">
        <v>12</v>
      </c>
      <c r="B5" s="100"/>
      <c r="C5" s="101" t="s">
        <v>13</v>
      </c>
      <c r="D5" s="101" t="s">
        <v>161</v>
      </c>
      <c r="E5" s="101" t="s">
        <v>11</v>
      </c>
      <c r="F5" s="102">
        <v>-76846</v>
      </c>
      <c r="G5" s="105"/>
      <c r="H5" s="104"/>
      <c r="I5" s="103"/>
      <c r="J5" s="104"/>
      <c r="K5" s="103"/>
      <c r="L5" s="106">
        <f>-40333*0.7</f>
        <v>-28233.1</v>
      </c>
      <c r="M5" s="103"/>
      <c r="N5" s="106">
        <v>-40333</v>
      </c>
      <c r="O5" s="103"/>
      <c r="P5" s="106">
        <v>-40333</v>
      </c>
      <c r="Q5" s="107" t="s">
        <v>41</v>
      </c>
      <c r="R5" s="108"/>
    </row>
    <row r="6" spans="1:19" s="86" customFormat="1" hidden="1" x14ac:dyDescent="0.3">
      <c r="A6" s="94" t="s">
        <v>27</v>
      </c>
      <c r="B6" s="94"/>
      <c r="C6" s="86" t="s">
        <v>28</v>
      </c>
      <c r="D6" s="86" t="s">
        <v>29</v>
      </c>
      <c r="E6" s="86" t="s">
        <v>26</v>
      </c>
      <c r="F6" s="95"/>
      <c r="G6" s="96">
        <v>-102975</v>
      </c>
      <c r="H6" s="97">
        <v>0</v>
      </c>
      <c r="I6" s="96">
        <v>-50326</v>
      </c>
      <c r="J6" s="98"/>
      <c r="K6" s="96">
        <v>-667038</v>
      </c>
      <c r="L6" s="97"/>
      <c r="M6" s="96">
        <v>-1648000</v>
      </c>
      <c r="N6" s="97"/>
      <c r="O6" s="96">
        <v>-2783960</v>
      </c>
      <c r="P6" s="109"/>
      <c r="Q6" s="110" t="s">
        <v>42</v>
      </c>
    </row>
    <row r="7" spans="1:19" s="86" customFormat="1" ht="31.2" hidden="1" x14ac:dyDescent="0.3">
      <c r="A7" s="94" t="s">
        <v>307</v>
      </c>
      <c r="B7" s="94"/>
      <c r="C7" s="86" t="s">
        <v>28</v>
      </c>
      <c r="D7" s="86" t="s">
        <v>29</v>
      </c>
      <c r="E7" s="86" t="s">
        <v>26</v>
      </c>
      <c r="F7" s="95"/>
      <c r="G7" s="96"/>
      <c r="H7" s="97"/>
      <c r="I7" s="174"/>
      <c r="J7" s="98"/>
      <c r="K7" s="96"/>
      <c r="L7" s="97">
        <f>K6*0.36</f>
        <v>-240133.68</v>
      </c>
      <c r="M7" s="96"/>
      <c r="N7" s="97">
        <f>M6*0.36</f>
        <v>-593280</v>
      </c>
      <c r="O7" s="96"/>
      <c r="P7" s="97">
        <f>O6*0.36</f>
        <v>-1002225.6</v>
      </c>
      <c r="Q7" s="110" t="s">
        <v>43</v>
      </c>
    </row>
    <row r="8" spans="1:19" s="86" customFormat="1" ht="31.2" hidden="1" x14ac:dyDescent="0.3">
      <c r="A8" s="94" t="s">
        <v>230</v>
      </c>
      <c r="B8" s="94"/>
      <c r="C8" s="86" t="s">
        <v>28</v>
      </c>
      <c r="D8" s="86" t="s">
        <v>67</v>
      </c>
      <c r="E8" s="86" t="s">
        <v>26</v>
      </c>
      <c r="F8" s="95">
        <v>-973467</v>
      </c>
      <c r="G8" s="111"/>
      <c r="H8" s="112"/>
      <c r="I8" s="111">
        <v>0</v>
      </c>
      <c r="J8" s="112"/>
      <c r="K8" s="111">
        <v>0</v>
      </c>
      <c r="L8" s="112"/>
      <c r="M8" s="111">
        <v>400000</v>
      </c>
      <c r="N8" s="112"/>
      <c r="O8" s="111">
        <v>-882008.09050867404</v>
      </c>
      <c r="P8" s="113"/>
      <c r="Q8" s="99" t="s">
        <v>231</v>
      </c>
      <c r="R8" s="114"/>
    </row>
    <row r="9" spans="1:19" s="86" customFormat="1" ht="46.8" hidden="1" x14ac:dyDescent="0.3">
      <c r="A9" s="100" t="s">
        <v>160</v>
      </c>
      <c r="B9" s="100"/>
      <c r="C9" s="101" t="s">
        <v>16</v>
      </c>
      <c r="D9" s="101" t="s">
        <v>161</v>
      </c>
      <c r="E9" s="101" t="s">
        <v>11</v>
      </c>
      <c r="F9" s="102"/>
      <c r="G9" s="105"/>
      <c r="H9" s="104"/>
      <c r="I9" s="103"/>
      <c r="J9" s="104"/>
      <c r="K9" s="103"/>
      <c r="L9" s="106"/>
      <c r="M9" s="103"/>
      <c r="N9" s="106"/>
      <c r="O9" s="103"/>
      <c r="P9" s="106"/>
      <c r="Q9" s="107" t="s">
        <v>179</v>
      </c>
      <c r="R9" s="108"/>
    </row>
    <row r="10" spans="1:19" s="86" customFormat="1" ht="46.8" hidden="1" x14ac:dyDescent="0.3">
      <c r="A10" s="100" t="s">
        <v>162</v>
      </c>
      <c r="B10" s="100"/>
      <c r="C10" s="101" t="s">
        <v>16</v>
      </c>
      <c r="D10" s="101" t="s">
        <v>161</v>
      </c>
      <c r="E10" s="101" t="s">
        <v>11</v>
      </c>
      <c r="F10" s="102"/>
      <c r="G10" s="105"/>
      <c r="H10" s="104"/>
      <c r="I10" s="103"/>
      <c r="J10" s="104"/>
      <c r="K10" s="103"/>
      <c r="L10" s="106"/>
      <c r="M10" s="103"/>
      <c r="N10" s="106"/>
      <c r="O10" s="103"/>
      <c r="P10" s="106"/>
      <c r="Q10" s="107" t="s">
        <v>179</v>
      </c>
      <c r="R10" s="108"/>
    </row>
    <row r="11" spans="1:19" s="86" customFormat="1" ht="46.8" hidden="1" x14ac:dyDescent="0.3">
      <c r="A11" s="100" t="s">
        <v>163</v>
      </c>
      <c r="B11" s="100"/>
      <c r="C11" s="101" t="s">
        <v>16</v>
      </c>
      <c r="D11" s="101" t="s">
        <v>161</v>
      </c>
      <c r="E11" s="101" t="s">
        <v>11</v>
      </c>
      <c r="F11" s="102">
        <v>-10800</v>
      </c>
      <c r="G11" s="105"/>
      <c r="H11" s="104"/>
      <c r="I11" s="103"/>
      <c r="J11" s="104"/>
      <c r="K11" s="103"/>
      <c r="L11" s="106"/>
      <c r="M11" s="103"/>
      <c r="N11" s="106"/>
      <c r="O11" s="103"/>
      <c r="P11" s="106"/>
      <c r="Q11" s="107" t="s">
        <v>179</v>
      </c>
      <c r="R11" s="108"/>
    </row>
    <row r="12" spans="1:19" s="108" customFormat="1" hidden="1" x14ac:dyDescent="0.3">
      <c r="A12" s="115" t="s">
        <v>202</v>
      </c>
      <c r="B12" s="115"/>
      <c r="C12" s="116" t="s">
        <v>20</v>
      </c>
      <c r="D12" s="116" t="s">
        <v>191</v>
      </c>
      <c r="E12" s="116" t="s">
        <v>11</v>
      </c>
      <c r="F12" s="117">
        <v>-46000</v>
      </c>
      <c r="G12" s="103"/>
      <c r="H12" s="106"/>
      <c r="I12" s="118"/>
      <c r="J12" s="117">
        <v>-11100</v>
      </c>
      <c r="K12" s="118"/>
      <c r="L12" s="117">
        <v>-46000</v>
      </c>
      <c r="M12" s="118"/>
      <c r="N12" s="117">
        <v>-46000</v>
      </c>
      <c r="O12" s="118"/>
      <c r="P12" s="117">
        <v>-46000</v>
      </c>
      <c r="Q12" s="99" t="s">
        <v>182</v>
      </c>
      <c r="R12" s="119"/>
    </row>
    <row r="13" spans="1:19" s="108" customFormat="1" hidden="1" x14ac:dyDescent="0.3">
      <c r="A13" s="120" t="s">
        <v>174</v>
      </c>
      <c r="B13" s="120"/>
      <c r="C13" s="86" t="s">
        <v>7</v>
      </c>
      <c r="D13" s="86" t="s">
        <v>8</v>
      </c>
      <c r="E13" s="86" t="s">
        <v>5</v>
      </c>
      <c r="F13" s="117"/>
      <c r="G13" s="103"/>
      <c r="H13" s="106"/>
      <c r="I13" s="118"/>
      <c r="J13" s="106">
        <v>-12600</v>
      </c>
      <c r="K13" s="118"/>
      <c r="L13" s="106">
        <v>-12600</v>
      </c>
      <c r="M13" s="118"/>
      <c r="N13" s="106">
        <v>-12600</v>
      </c>
      <c r="O13" s="118"/>
      <c r="P13" s="106">
        <v>-12600</v>
      </c>
      <c r="Q13" s="99"/>
      <c r="R13" s="119"/>
    </row>
    <row r="14" spans="1:19" s="108" customFormat="1" hidden="1" x14ac:dyDescent="0.3">
      <c r="A14" s="120" t="s">
        <v>175</v>
      </c>
      <c r="B14" s="120"/>
      <c r="C14" s="86" t="s">
        <v>7</v>
      </c>
      <c r="D14" s="86" t="s">
        <v>8</v>
      </c>
      <c r="E14" s="86" t="s">
        <v>5</v>
      </c>
      <c r="F14" s="117"/>
      <c r="G14" s="103"/>
      <c r="H14" s="106"/>
      <c r="I14" s="118"/>
      <c r="J14" s="106"/>
      <c r="K14" s="118"/>
      <c r="L14" s="106">
        <v>0</v>
      </c>
      <c r="M14" s="118"/>
      <c r="N14" s="106">
        <v>-44239.37</v>
      </c>
      <c r="O14" s="118"/>
      <c r="P14" s="106">
        <v>-44239.37</v>
      </c>
      <c r="Q14" s="99"/>
      <c r="R14" s="119"/>
    </row>
    <row r="15" spans="1:19" s="122" customFormat="1" hidden="1" x14ac:dyDescent="0.3">
      <c r="A15" s="121" t="s">
        <v>35</v>
      </c>
      <c r="B15" s="165"/>
      <c r="C15" s="122" t="s">
        <v>36</v>
      </c>
      <c r="D15" s="122" t="s">
        <v>37</v>
      </c>
      <c r="E15" s="122" t="s">
        <v>38</v>
      </c>
      <c r="F15" s="123">
        <f>(F6+F8)*0.62</f>
        <v>-603549.54</v>
      </c>
      <c r="G15" s="125"/>
      <c r="H15" s="124"/>
      <c r="I15" s="126"/>
      <c r="J15" s="127"/>
      <c r="K15" s="125">
        <f>(K6+K8)*0.63</f>
        <v>-420233.94</v>
      </c>
      <c r="L15" s="124"/>
      <c r="M15" s="125">
        <f>(M6+M8)*0.63</f>
        <v>-786240</v>
      </c>
      <c r="N15" s="124"/>
      <c r="O15" s="125">
        <f>(O6+O8)*0.63</f>
        <v>-2309559.8970204648</v>
      </c>
      <c r="P15" s="128"/>
      <c r="Q15" s="129" t="s">
        <v>44</v>
      </c>
    </row>
    <row r="16" spans="1:19" s="217" customFormat="1" ht="31.2" x14ac:dyDescent="0.3">
      <c r="A16" s="215" t="s">
        <v>159</v>
      </c>
      <c r="B16" s="215" t="s">
        <v>285</v>
      </c>
      <c r="C16" s="216" t="s">
        <v>9</v>
      </c>
      <c r="D16" s="217" t="s">
        <v>10</v>
      </c>
      <c r="E16" s="217" t="s">
        <v>5</v>
      </c>
      <c r="F16" s="169"/>
      <c r="G16" s="222"/>
      <c r="H16" s="227"/>
      <c r="I16" s="222">
        <f>(F16*1.03)</f>
        <v>0</v>
      </c>
      <c r="J16" s="227"/>
      <c r="K16" s="222">
        <f>F16*1.06</f>
        <v>0</v>
      </c>
      <c r="L16" s="227"/>
      <c r="M16" s="222">
        <f>K16*1.03</f>
        <v>0</v>
      </c>
      <c r="N16" s="227"/>
      <c r="O16" s="222">
        <f t="shared" ref="O16:O19" si="0">M16*1.03</f>
        <v>0</v>
      </c>
      <c r="P16" s="223"/>
      <c r="Q16" s="224" t="s">
        <v>286</v>
      </c>
      <c r="R16" s="225"/>
      <c r="S16" s="226"/>
    </row>
    <row r="17" spans="1:19" s="86" customFormat="1" hidden="1" x14ac:dyDescent="0.3">
      <c r="A17" s="94" t="s">
        <v>164</v>
      </c>
      <c r="B17" s="94" t="s">
        <v>247</v>
      </c>
      <c r="C17" s="101" t="s">
        <v>164</v>
      </c>
      <c r="D17" s="86" t="s">
        <v>165</v>
      </c>
      <c r="E17" s="86" t="s">
        <v>11</v>
      </c>
      <c r="F17" s="95">
        <v>100000</v>
      </c>
      <c r="G17" s="96"/>
      <c r="H17" s="97"/>
      <c r="I17" s="96">
        <v>0</v>
      </c>
      <c r="J17" s="97"/>
      <c r="K17" s="96">
        <v>0</v>
      </c>
      <c r="L17" s="97"/>
      <c r="M17" s="96"/>
      <c r="N17" s="97"/>
      <c r="O17" s="96">
        <f t="shared" si="0"/>
        <v>0</v>
      </c>
      <c r="P17" s="109"/>
      <c r="Q17" s="110" t="s">
        <v>280</v>
      </c>
      <c r="R17" s="114"/>
      <c r="S17" s="139"/>
    </row>
    <row r="18" spans="1:19" s="86" customFormat="1" hidden="1" x14ac:dyDescent="0.3">
      <c r="A18" s="94" t="s">
        <v>15</v>
      </c>
      <c r="B18" s="94" t="s">
        <v>248</v>
      </c>
      <c r="C18" s="101" t="s">
        <v>13</v>
      </c>
      <c r="D18" s="86" t="s">
        <v>166</v>
      </c>
      <c r="E18" s="86" t="s">
        <v>11</v>
      </c>
      <c r="F18" s="198">
        <v>114000</v>
      </c>
      <c r="G18" s="96"/>
      <c r="H18" s="97"/>
      <c r="I18" s="96">
        <f>F18*0.53</f>
        <v>60420</v>
      </c>
      <c r="J18" s="97"/>
      <c r="K18" s="96">
        <f>F18*1.06</f>
        <v>120840</v>
      </c>
      <c r="L18" s="97"/>
      <c r="M18" s="96">
        <f>(+F18*1.09)*0.25</f>
        <v>31065.000000000004</v>
      </c>
      <c r="N18" s="97"/>
      <c r="O18" s="96">
        <f t="shared" si="0"/>
        <v>31996.950000000004</v>
      </c>
      <c r="P18" s="109"/>
      <c r="Q18" s="199" t="s">
        <v>308</v>
      </c>
      <c r="R18" s="114"/>
      <c r="S18" s="139"/>
    </row>
    <row r="19" spans="1:19" s="108" customFormat="1" hidden="1" x14ac:dyDescent="0.3">
      <c r="A19" s="94" t="s">
        <v>15</v>
      </c>
      <c r="B19" s="94" t="s">
        <v>249</v>
      </c>
      <c r="C19" s="101" t="s">
        <v>13</v>
      </c>
      <c r="D19" s="86" t="s">
        <v>166</v>
      </c>
      <c r="E19" s="86" t="s">
        <v>11</v>
      </c>
      <c r="F19" s="198">
        <v>102000</v>
      </c>
      <c r="G19" s="96"/>
      <c r="H19" s="97"/>
      <c r="I19" s="96">
        <f>F19*0.53</f>
        <v>54060</v>
      </c>
      <c r="J19" s="97"/>
      <c r="K19" s="96">
        <f>F19*1.06</f>
        <v>108120</v>
      </c>
      <c r="L19" s="97"/>
      <c r="M19" s="96">
        <f>(+F19*1.09)*0.25</f>
        <v>27795.000000000004</v>
      </c>
      <c r="N19" s="97"/>
      <c r="O19" s="96">
        <f t="shared" si="0"/>
        <v>28628.850000000006</v>
      </c>
      <c r="P19" s="109"/>
      <c r="Q19" s="199" t="s">
        <v>308</v>
      </c>
      <c r="R19" s="119"/>
      <c r="S19" s="200"/>
    </row>
    <row r="20" spans="1:19" s="108" customFormat="1" hidden="1" x14ac:dyDescent="0.3">
      <c r="A20" s="94" t="s">
        <v>282</v>
      </c>
      <c r="B20" s="94" t="s">
        <v>283</v>
      </c>
      <c r="C20" s="101" t="s">
        <v>284</v>
      </c>
      <c r="D20" s="86" t="s">
        <v>166</v>
      </c>
      <c r="E20" s="86" t="s">
        <v>11</v>
      </c>
      <c r="F20" s="198">
        <v>100000</v>
      </c>
      <c r="G20" s="96"/>
      <c r="H20" s="97"/>
      <c r="I20" s="96">
        <v>0</v>
      </c>
      <c r="J20" s="97"/>
      <c r="K20" s="96">
        <v>0</v>
      </c>
      <c r="L20" s="97"/>
      <c r="M20" s="96">
        <f>(+F20*1.09)*0.7</f>
        <v>76300</v>
      </c>
      <c r="N20" s="97"/>
      <c r="O20" s="96">
        <f>M20*1.03</f>
        <v>78589</v>
      </c>
      <c r="P20" s="109"/>
      <c r="Q20" s="199" t="s">
        <v>290</v>
      </c>
      <c r="R20" s="119"/>
      <c r="S20" s="200"/>
    </row>
    <row r="21" spans="1:19" s="86" customFormat="1" hidden="1" x14ac:dyDescent="0.3">
      <c r="A21" s="94" t="s">
        <v>101</v>
      </c>
      <c r="B21" s="94" t="s">
        <v>250</v>
      </c>
      <c r="C21" s="101" t="s">
        <v>16</v>
      </c>
      <c r="D21" s="86" t="s">
        <v>14</v>
      </c>
      <c r="E21" s="86" t="s">
        <v>11</v>
      </c>
      <c r="F21" s="95">
        <v>100000</v>
      </c>
      <c r="G21" s="141"/>
      <c r="H21" s="142"/>
      <c r="I21" s="141"/>
      <c r="J21" s="142"/>
      <c r="K21" s="96">
        <f>($F$21*1.06)*0.1</f>
        <v>10600</v>
      </c>
      <c r="L21" s="142"/>
      <c r="M21" s="96">
        <f>(+F21*1.09)</f>
        <v>109000.00000000001</v>
      </c>
      <c r="N21" s="96"/>
      <c r="O21" s="96">
        <f>M21*1.03</f>
        <v>112270.00000000001</v>
      </c>
      <c r="P21" s="109"/>
      <c r="Q21" s="110" t="s">
        <v>318</v>
      </c>
      <c r="R21" s="114"/>
      <c r="S21" s="139"/>
    </row>
    <row r="22" spans="1:19" s="86" customFormat="1" hidden="1" x14ac:dyDescent="0.3">
      <c r="A22" s="94" t="s">
        <v>232</v>
      </c>
      <c r="B22" s="94" t="s">
        <v>303</v>
      </c>
      <c r="C22" s="101" t="s">
        <v>17</v>
      </c>
      <c r="D22" s="86" t="s">
        <v>18</v>
      </c>
      <c r="E22" s="86" t="s">
        <v>11</v>
      </c>
      <c r="F22" s="95">
        <v>63494</v>
      </c>
      <c r="G22" s="141"/>
      <c r="H22" s="142"/>
      <c r="I22" s="103">
        <f>F22</f>
        <v>63494</v>
      </c>
      <c r="J22" s="106"/>
      <c r="K22" s="96">
        <f>F22*1.06</f>
        <v>67303.64</v>
      </c>
      <c r="L22" s="106"/>
      <c r="M22" s="103"/>
      <c r="N22" s="106"/>
      <c r="O22" s="103"/>
      <c r="P22" s="109"/>
      <c r="Q22" s="110" t="s">
        <v>300</v>
      </c>
      <c r="R22" s="114"/>
      <c r="S22" s="139"/>
    </row>
    <row r="23" spans="1:19" s="86" customFormat="1" hidden="1" x14ac:dyDescent="0.3">
      <c r="A23" s="94" t="s">
        <v>170</v>
      </c>
      <c r="B23" s="94" t="s">
        <v>251</v>
      </c>
      <c r="C23" s="101" t="s">
        <v>17</v>
      </c>
      <c r="D23" s="86" t="s">
        <v>18</v>
      </c>
      <c r="E23" s="86" t="s">
        <v>11</v>
      </c>
      <c r="F23" s="95">
        <v>114162</v>
      </c>
      <c r="G23" s="96"/>
      <c r="H23" s="97"/>
      <c r="I23" s="96">
        <v>0</v>
      </c>
      <c r="J23" s="97"/>
      <c r="K23" s="96">
        <v>0</v>
      </c>
      <c r="L23" s="97"/>
      <c r="M23" s="96">
        <f>I23*0.5</f>
        <v>0</v>
      </c>
      <c r="N23" s="97"/>
      <c r="O23" s="96">
        <f>I23*0.25</f>
        <v>0</v>
      </c>
      <c r="P23" s="109"/>
      <c r="Q23" s="199" t="s">
        <v>319</v>
      </c>
      <c r="R23" s="201"/>
      <c r="S23" s="139"/>
    </row>
    <row r="24" spans="1:19" s="86" customFormat="1" hidden="1" x14ac:dyDescent="0.3">
      <c r="A24" s="202" t="s">
        <v>255</v>
      </c>
      <c r="B24" s="94" t="s">
        <v>246</v>
      </c>
      <c r="C24" s="101" t="s">
        <v>17</v>
      </c>
      <c r="D24" s="86" t="s">
        <v>18</v>
      </c>
      <c r="E24" s="86" t="s">
        <v>11</v>
      </c>
      <c r="F24" s="198">
        <v>116000</v>
      </c>
      <c r="G24" s="96"/>
      <c r="H24" s="97"/>
      <c r="I24" s="96">
        <v>0</v>
      </c>
      <c r="J24" s="97"/>
      <c r="K24" s="96">
        <f>(F24*1.06)*0.75</f>
        <v>92220</v>
      </c>
      <c r="L24" s="97"/>
      <c r="M24" s="96">
        <f>F24*1.06</f>
        <v>122960</v>
      </c>
      <c r="N24" s="97"/>
      <c r="O24" s="96">
        <f>M24</f>
        <v>122960</v>
      </c>
      <c r="P24" s="109"/>
      <c r="Q24" s="110" t="s">
        <v>281</v>
      </c>
      <c r="R24" s="114"/>
      <c r="S24" s="139"/>
    </row>
    <row r="25" spans="1:19" s="205" customFormat="1" ht="31.2" hidden="1" x14ac:dyDescent="0.3">
      <c r="A25" s="143" t="s">
        <v>19</v>
      </c>
      <c r="B25" s="143" t="s">
        <v>301</v>
      </c>
      <c r="C25" s="101" t="s">
        <v>17</v>
      </c>
      <c r="D25" s="144" t="s">
        <v>18</v>
      </c>
      <c r="E25" s="144" t="s">
        <v>11</v>
      </c>
      <c r="F25" s="95">
        <v>84800</v>
      </c>
      <c r="G25" s="96"/>
      <c r="H25" s="97"/>
      <c r="I25" s="96">
        <v>0</v>
      </c>
      <c r="J25" s="97"/>
      <c r="K25" s="96"/>
      <c r="L25" s="97"/>
      <c r="M25" s="96"/>
      <c r="N25" s="97"/>
      <c r="O25" s="96"/>
      <c r="P25" s="109"/>
      <c r="Q25" s="110" t="s">
        <v>304</v>
      </c>
      <c r="R25" s="203"/>
      <c r="S25" s="204"/>
    </row>
    <row r="26" spans="1:19" s="116" customFormat="1" ht="31.5" hidden="1" customHeight="1" x14ac:dyDescent="0.3">
      <c r="A26" s="94" t="s">
        <v>299</v>
      </c>
      <c r="B26" s="94" t="s">
        <v>302</v>
      </c>
      <c r="C26" s="101" t="s">
        <v>30</v>
      </c>
      <c r="D26" s="86" t="s">
        <v>31</v>
      </c>
      <c r="E26" s="86" t="s">
        <v>26</v>
      </c>
      <c r="F26" s="95">
        <v>100000</v>
      </c>
      <c r="G26" s="145">
        <f>25000</f>
        <v>25000</v>
      </c>
      <c r="H26" s="206"/>
      <c r="I26" s="96">
        <f>+F26*1.03</f>
        <v>103000</v>
      </c>
      <c r="J26" s="97"/>
      <c r="K26" s="96">
        <f>F26*1.06</f>
        <v>106000</v>
      </c>
      <c r="L26" s="97"/>
      <c r="M26" s="96">
        <f>K26*1.06</f>
        <v>112360</v>
      </c>
      <c r="N26" s="97"/>
      <c r="O26" s="96">
        <f t="shared" ref="O26:O42" si="1">M26*1.03</f>
        <v>115730.8</v>
      </c>
      <c r="P26" s="109"/>
      <c r="Q26" s="110" t="s">
        <v>298</v>
      </c>
      <c r="R26" s="146"/>
    </row>
    <row r="27" spans="1:19" s="116" customFormat="1" hidden="1" x14ac:dyDescent="0.3">
      <c r="A27" s="202" t="s">
        <v>255</v>
      </c>
      <c r="B27" s="202" t="s">
        <v>256</v>
      </c>
      <c r="C27" s="207" t="s">
        <v>17</v>
      </c>
      <c r="D27" s="202" t="s">
        <v>18</v>
      </c>
      <c r="E27" s="202" t="s">
        <v>11</v>
      </c>
      <c r="F27" s="198">
        <f>115000*0.75</f>
        <v>86250</v>
      </c>
      <c r="G27" s="206"/>
      <c r="H27" s="96"/>
      <c r="I27" s="96">
        <v>0</v>
      </c>
      <c r="J27" s="96"/>
      <c r="K27" s="96">
        <f>(F27*1.06)*0.5</f>
        <v>45712.5</v>
      </c>
      <c r="L27" s="96"/>
      <c r="M27" s="96">
        <f>K27*1.06</f>
        <v>48455.25</v>
      </c>
      <c r="N27" s="96"/>
      <c r="O27" s="96">
        <f t="shared" si="1"/>
        <v>49908.907500000001</v>
      </c>
      <c r="P27" s="110"/>
      <c r="Q27" s="199" t="s">
        <v>290</v>
      </c>
    </row>
    <row r="28" spans="1:19" s="116" customFormat="1" ht="15.75" hidden="1" customHeight="1" x14ac:dyDescent="0.3">
      <c r="A28" s="202" t="s">
        <v>257</v>
      </c>
      <c r="B28" s="202" t="s">
        <v>258</v>
      </c>
      <c r="C28" s="207" t="s">
        <v>13</v>
      </c>
      <c r="D28" s="277" t="s">
        <v>333</v>
      </c>
      <c r="E28" s="202" t="s">
        <v>11</v>
      </c>
      <c r="F28" s="198">
        <f>(107000)*0.75</f>
        <v>80250</v>
      </c>
      <c r="G28" s="206"/>
      <c r="H28" s="96"/>
      <c r="I28" s="96">
        <v>0</v>
      </c>
      <c r="J28" s="96"/>
      <c r="K28" s="96">
        <f>(F28*1.06)*0.5</f>
        <v>42532.5</v>
      </c>
      <c r="L28" s="96"/>
      <c r="M28" s="96">
        <f>K28*1.06</f>
        <v>45084.450000000004</v>
      </c>
      <c r="N28" s="96"/>
      <c r="O28" s="96">
        <f t="shared" si="1"/>
        <v>46436.983500000002</v>
      </c>
      <c r="P28" s="110"/>
      <c r="Q28" s="199" t="s">
        <v>290</v>
      </c>
    </row>
    <row r="29" spans="1:19" s="116" customFormat="1" hidden="1" x14ac:dyDescent="0.3">
      <c r="A29" s="202" t="s">
        <v>288</v>
      </c>
      <c r="B29" s="202" t="s">
        <v>289</v>
      </c>
      <c r="C29" s="207" t="s">
        <v>17</v>
      </c>
      <c r="D29" s="202" t="s">
        <v>18</v>
      </c>
      <c r="E29" s="202" t="s">
        <v>11</v>
      </c>
      <c r="F29" s="198">
        <v>100000</v>
      </c>
      <c r="G29" s="206"/>
      <c r="H29" s="96"/>
      <c r="I29" s="96"/>
      <c r="J29" s="96"/>
      <c r="K29" s="96">
        <f>(F29*1.06)*0.5</f>
        <v>53000</v>
      </c>
      <c r="L29" s="96"/>
      <c r="M29" s="96">
        <f>F29*1.06</f>
        <v>106000</v>
      </c>
      <c r="N29" s="96"/>
      <c r="O29" s="96">
        <f>F29*1.06</f>
        <v>106000</v>
      </c>
      <c r="P29" s="110"/>
      <c r="Q29" s="146" t="s">
        <v>297</v>
      </c>
    </row>
    <row r="30" spans="1:19" s="116" customFormat="1" hidden="1" x14ac:dyDescent="0.3">
      <c r="A30" s="202" t="s">
        <v>259</v>
      </c>
      <c r="B30" s="202" t="s">
        <v>260</v>
      </c>
      <c r="C30" s="207" t="s">
        <v>13</v>
      </c>
      <c r="D30" s="202" t="s">
        <v>166</v>
      </c>
      <c r="E30" s="202" t="s">
        <v>11</v>
      </c>
      <c r="F30" s="198">
        <v>150000</v>
      </c>
      <c r="G30" s="206"/>
      <c r="H30" s="96"/>
      <c r="I30" s="96">
        <v>0</v>
      </c>
      <c r="J30" s="96"/>
      <c r="K30" s="96">
        <f>(F30*1.06)*0.1</f>
        <v>15900</v>
      </c>
      <c r="L30" s="96"/>
      <c r="M30" s="96">
        <f>K30*1.06</f>
        <v>16854</v>
      </c>
      <c r="N30" s="96"/>
      <c r="O30" s="96">
        <f t="shared" si="1"/>
        <v>17359.62</v>
      </c>
      <c r="P30" s="110"/>
      <c r="Q30" s="199" t="s">
        <v>309</v>
      </c>
    </row>
    <row r="31" spans="1:19" s="116" customFormat="1" hidden="1" x14ac:dyDescent="0.3">
      <c r="A31" s="208" t="s">
        <v>261</v>
      </c>
      <c r="B31" s="202" t="s">
        <v>262</v>
      </c>
      <c r="C31" s="207" t="s">
        <v>263</v>
      </c>
      <c r="D31" s="202" t="s">
        <v>264</v>
      </c>
      <c r="E31" s="202" t="s">
        <v>26</v>
      </c>
      <c r="F31" s="198">
        <v>70000</v>
      </c>
      <c r="G31" s="206"/>
      <c r="H31" s="96"/>
      <c r="I31" s="96">
        <v>0</v>
      </c>
      <c r="J31" s="96"/>
      <c r="K31" s="96">
        <f>(F31*1.06)</f>
        <v>74200</v>
      </c>
      <c r="L31" s="96"/>
      <c r="M31" s="96">
        <f>K31*1.06</f>
        <v>78652</v>
      </c>
      <c r="N31" s="96"/>
      <c r="O31" s="96">
        <f t="shared" si="1"/>
        <v>81011.56</v>
      </c>
      <c r="P31" s="110"/>
      <c r="Q31" s="199" t="s">
        <v>290</v>
      </c>
    </row>
    <row r="32" spans="1:19" s="116" customFormat="1" hidden="1" x14ac:dyDescent="0.3">
      <c r="A32" s="208" t="s">
        <v>261</v>
      </c>
      <c r="B32" s="202" t="s">
        <v>265</v>
      </c>
      <c r="C32" s="207" t="s">
        <v>263</v>
      </c>
      <c r="D32" s="202" t="s">
        <v>264</v>
      </c>
      <c r="E32" s="202" t="s">
        <v>26</v>
      </c>
      <c r="F32" s="198">
        <v>65000</v>
      </c>
      <c r="G32" s="206"/>
      <c r="H32" s="96"/>
      <c r="I32" s="96">
        <v>0</v>
      </c>
      <c r="J32" s="96"/>
      <c r="K32" s="96">
        <f>(F32*1.06)</f>
        <v>68900</v>
      </c>
      <c r="L32" s="96"/>
      <c r="M32" s="96">
        <v>70967</v>
      </c>
      <c r="N32" s="96"/>
      <c r="O32" s="96">
        <v>73096.009999999995</v>
      </c>
      <c r="P32" s="110"/>
      <c r="Q32" s="199" t="s">
        <v>291</v>
      </c>
    </row>
    <row r="33" spans="1:19" s="116" customFormat="1" hidden="1" x14ac:dyDescent="0.3">
      <c r="A33" s="208" t="s">
        <v>292</v>
      </c>
      <c r="B33" s="202" t="s">
        <v>310</v>
      </c>
      <c r="C33" s="207" t="s">
        <v>263</v>
      </c>
      <c r="D33" s="202" t="s">
        <v>293</v>
      </c>
      <c r="E33" s="202" t="s">
        <v>26</v>
      </c>
      <c r="F33" s="198">
        <v>65000</v>
      </c>
      <c r="G33" s="206"/>
      <c r="H33" s="96"/>
      <c r="I33" s="96"/>
      <c r="J33" s="96"/>
      <c r="K33" s="96"/>
      <c r="L33" s="96"/>
      <c r="M33" s="96"/>
      <c r="N33" s="96"/>
      <c r="O33" s="96">
        <f>F33*1.03</f>
        <v>66950</v>
      </c>
      <c r="P33" s="110"/>
      <c r="Q33" s="199" t="s">
        <v>311</v>
      </c>
    </row>
    <row r="34" spans="1:19" s="116" customFormat="1" hidden="1" x14ac:dyDescent="0.3">
      <c r="A34" s="202" t="s">
        <v>287</v>
      </c>
      <c r="B34" s="202" t="s">
        <v>252</v>
      </c>
      <c r="C34" s="209" t="s">
        <v>266</v>
      </c>
      <c r="D34" s="210" t="s">
        <v>267</v>
      </c>
      <c r="E34" s="202" t="s">
        <v>26</v>
      </c>
      <c r="F34" s="198">
        <v>90000</v>
      </c>
      <c r="G34" s="206"/>
      <c r="H34" s="96"/>
      <c r="I34" s="96">
        <v>0</v>
      </c>
      <c r="J34" s="96"/>
      <c r="K34" s="96">
        <f t="shared" ref="K34" si="2">(F34*1.06)</f>
        <v>95400</v>
      </c>
      <c r="L34" s="96"/>
      <c r="M34" s="96">
        <f>(K34*1.03)*0.2</f>
        <v>19652.400000000001</v>
      </c>
      <c r="N34" s="96"/>
      <c r="O34" s="96">
        <f t="shared" si="1"/>
        <v>20241.972000000002</v>
      </c>
      <c r="P34" s="110"/>
      <c r="Q34" s="146" t="s">
        <v>312</v>
      </c>
    </row>
    <row r="35" spans="1:19" s="116" customFormat="1" hidden="1" x14ac:dyDescent="0.3">
      <c r="A35" s="202" t="s">
        <v>268</v>
      </c>
      <c r="B35" s="202" t="s">
        <v>269</v>
      </c>
      <c r="C35" s="209" t="s">
        <v>266</v>
      </c>
      <c r="D35" s="210" t="s">
        <v>267</v>
      </c>
      <c r="E35" s="202" t="s">
        <v>26</v>
      </c>
      <c r="F35" s="198">
        <f>70000*0.25</f>
        <v>17500</v>
      </c>
      <c r="G35" s="206"/>
      <c r="H35" s="96"/>
      <c r="I35" s="96">
        <v>0</v>
      </c>
      <c r="J35" s="96"/>
      <c r="K35" s="96"/>
      <c r="L35" s="96"/>
      <c r="M35" s="96">
        <f t="shared" ref="M35:M40" si="3">K35*1.03</f>
        <v>0</v>
      </c>
      <c r="N35" s="96"/>
      <c r="O35" s="96">
        <f t="shared" si="1"/>
        <v>0</v>
      </c>
      <c r="P35" s="110"/>
      <c r="Q35" s="199" t="s">
        <v>290</v>
      </c>
    </row>
    <row r="36" spans="1:19" s="116" customFormat="1" hidden="1" x14ac:dyDescent="0.3">
      <c r="A36" s="202" t="s">
        <v>270</v>
      </c>
      <c r="B36" s="202" t="s">
        <v>271</v>
      </c>
      <c r="C36" s="207" t="s">
        <v>263</v>
      </c>
      <c r="D36" s="202" t="s">
        <v>264</v>
      </c>
      <c r="E36" s="202" t="s">
        <v>26</v>
      </c>
      <c r="F36" s="198">
        <v>80000</v>
      </c>
      <c r="G36" s="206"/>
      <c r="H36" s="96"/>
      <c r="I36" s="96">
        <v>0</v>
      </c>
      <c r="J36" s="96"/>
      <c r="K36" s="96">
        <f>(F36*1.06)</f>
        <v>84800</v>
      </c>
      <c r="L36" s="96"/>
      <c r="M36" s="96">
        <f t="shared" si="3"/>
        <v>87344</v>
      </c>
      <c r="N36" s="96"/>
      <c r="O36" s="96">
        <f t="shared" si="1"/>
        <v>89964.32</v>
      </c>
      <c r="P36" s="110"/>
      <c r="Q36" s="199" t="s">
        <v>290</v>
      </c>
    </row>
    <row r="37" spans="1:19" s="170" customFormat="1" x14ac:dyDescent="0.3">
      <c r="A37" s="237" t="s">
        <v>272</v>
      </c>
      <c r="B37" s="237" t="s">
        <v>273</v>
      </c>
      <c r="C37" s="241" t="s">
        <v>9</v>
      </c>
      <c r="D37" s="237" t="s">
        <v>8</v>
      </c>
      <c r="E37" s="237" t="s">
        <v>5</v>
      </c>
      <c r="F37" s="240">
        <f>123900*0.8</f>
        <v>99120</v>
      </c>
      <c r="G37" s="235"/>
      <c r="H37" s="222"/>
      <c r="I37" s="222">
        <v>0</v>
      </c>
      <c r="J37" s="222"/>
      <c r="K37" s="222">
        <f>(F37*1.06)*0.6</f>
        <v>63040.320000000007</v>
      </c>
      <c r="L37" s="222"/>
      <c r="M37" s="222">
        <f t="shared" si="3"/>
        <v>64931.529600000009</v>
      </c>
      <c r="N37" s="222"/>
      <c r="O37" s="222">
        <f t="shared" si="1"/>
        <v>66879.475488000011</v>
      </c>
      <c r="P37" s="224"/>
      <c r="Q37" s="228" t="s">
        <v>313</v>
      </c>
    </row>
    <row r="38" spans="1:19" s="170" customFormat="1" x14ac:dyDescent="0.3">
      <c r="A38" s="237" t="s">
        <v>272</v>
      </c>
      <c r="B38" s="237" t="s">
        <v>274</v>
      </c>
      <c r="C38" s="241" t="s">
        <v>9</v>
      </c>
      <c r="D38" s="237" t="s">
        <v>8</v>
      </c>
      <c r="E38" s="237" t="s">
        <v>5</v>
      </c>
      <c r="F38" s="240">
        <f>94000*0.8</f>
        <v>75200</v>
      </c>
      <c r="G38" s="235"/>
      <c r="H38" s="222"/>
      <c r="I38" s="222">
        <v>0</v>
      </c>
      <c r="J38" s="222"/>
      <c r="K38" s="222">
        <f>(F38*1.06)*0.6</f>
        <v>47827.199999999997</v>
      </c>
      <c r="L38" s="222"/>
      <c r="M38" s="222">
        <f t="shared" si="3"/>
        <v>49262.015999999996</v>
      </c>
      <c r="N38" s="222"/>
      <c r="O38" s="222">
        <f t="shared" si="1"/>
        <v>50739.876479999999</v>
      </c>
      <c r="P38" s="224"/>
      <c r="Q38" s="236" t="s">
        <v>314</v>
      </c>
    </row>
    <row r="39" spans="1:19" s="170" customFormat="1" x14ac:dyDescent="0.3">
      <c r="A39" s="237" t="s">
        <v>275</v>
      </c>
      <c r="B39" s="237" t="s">
        <v>276</v>
      </c>
      <c r="C39" s="241" t="s">
        <v>9</v>
      </c>
      <c r="D39" s="237" t="s">
        <v>8</v>
      </c>
      <c r="E39" s="237" t="s">
        <v>5</v>
      </c>
      <c r="F39" s="240">
        <f>107000*0.75</f>
        <v>80250</v>
      </c>
      <c r="G39" s="235"/>
      <c r="H39" s="222"/>
      <c r="I39" s="222">
        <v>0</v>
      </c>
      <c r="J39" s="222"/>
      <c r="K39" s="222">
        <f>(F39*1.06)*0.5</f>
        <v>42532.5</v>
      </c>
      <c r="L39" s="222"/>
      <c r="M39" s="222">
        <f t="shared" si="3"/>
        <v>43808.474999999999</v>
      </c>
      <c r="N39" s="222"/>
      <c r="O39" s="222">
        <f t="shared" si="1"/>
        <v>45122.729249999997</v>
      </c>
      <c r="P39" s="224"/>
      <c r="Q39" s="228" t="s">
        <v>315</v>
      </c>
    </row>
    <row r="40" spans="1:19" s="116" customFormat="1" hidden="1" x14ac:dyDescent="0.3">
      <c r="A40" s="211" t="s">
        <v>237</v>
      </c>
      <c r="B40" s="207" t="s">
        <v>277</v>
      </c>
      <c r="C40" s="211" t="s">
        <v>278</v>
      </c>
      <c r="D40" s="202" t="s">
        <v>167</v>
      </c>
      <c r="E40" s="202" t="s">
        <v>11</v>
      </c>
      <c r="F40" s="198">
        <v>127800</v>
      </c>
      <c r="G40" s="206"/>
      <c r="H40" s="96"/>
      <c r="I40" s="96">
        <f>(+F40*1.03)*0.25</f>
        <v>32908.5</v>
      </c>
      <c r="J40" s="96"/>
      <c r="K40" s="96">
        <f>F40*1.06</f>
        <v>135468</v>
      </c>
      <c r="L40" s="96"/>
      <c r="M40" s="96">
        <f t="shared" si="3"/>
        <v>139532.04</v>
      </c>
      <c r="N40" s="96"/>
      <c r="O40" s="96">
        <f t="shared" si="1"/>
        <v>143718.0012</v>
      </c>
      <c r="P40" s="110"/>
      <c r="Q40" s="146" t="s">
        <v>295</v>
      </c>
    </row>
    <row r="41" spans="1:19" s="116" customFormat="1" hidden="1" x14ac:dyDescent="0.3">
      <c r="A41" s="211" t="s">
        <v>279</v>
      </c>
      <c r="B41" s="207" t="s">
        <v>244</v>
      </c>
      <c r="C41" s="211" t="s">
        <v>263</v>
      </c>
      <c r="D41" s="202" t="s">
        <v>264</v>
      </c>
      <c r="E41" s="202" t="s">
        <v>26</v>
      </c>
      <c r="F41" s="198">
        <f>70000</f>
        <v>70000</v>
      </c>
      <c r="G41" s="206"/>
      <c r="H41" s="96"/>
      <c r="I41" s="96">
        <v>0</v>
      </c>
      <c r="J41" s="96"/>
      <c r="K41" s="96">
        <v>0</v>
      </c>
      <c r="L41" s="96"/>
      <c r="M41" s="96">
        <f>F41*0.5</f>
        <v>35000</v>
      </c>
      <c r="N41" s="96"/>
      <c r="O41" s="96">
        <f>F41*1.03</f>
        <v>72100</v>
      </c>
      <c r="P41" s="110"/>
      <c r="Q41" s="146" t="s">
        <v>296</v>
      </c>
    </row>
    <row r="42" spans="1:19" s="116" customFormat="1" hidden="1" x14ac:dyDescent="0.3">
      <c r="A42" s="143" t="s">
        <v>32</v>
      </c>
      <c r="B42" s="143" t="s">
        <v>245</v>
      </c>
      <c r="C42" s="101" t="s">
        <v>33</v>
      </c>
      <c r="D42" s="144" t="s">
        <v>34</v>
      </c>
      <c r="E42" s="202" t="s">
        <v>26</v>
      </c>
      <c r="F42" s="145">
        <v>100000</v>
      </c>
      <c r="G42" s="212"/>
      <c r="H42" s="142"/>
      <c r="I42" s="96"/>
      <c r="J42" s="97"/>
      <c r="K42" s="96">
        <v>100000</v>
      </c>
      <c r="L42" s="97"/>
      <c r="M42" s="96">
        <f>(K42*1.03)*0.5</f>
        <v>51500</v>
      </c>
      <c r="N42" s="97"/>
      <c r="O42" s="96">
        <f t="shared" si="1"/>
        <v>53045</v>
      </c>
      <c r="P42" s="109"/>
      <c r="Q42" s="110" t="s">
        <v>240</v>
      </c>
      <c r="R42" s="146"/>
    </row>
    <row r="43" spans="1:19" s="116" customFormat="1" ht="97.5" hidden="1" customHeight="1" x14ac:dyDescent="0.3">
      <c r="A43" s="94" t="s">
        <v>199</v>
      </c>
      <c r="B43" s="94"/>
      <c r="C43" s="101" t="s">
        <v>9</v>
      </c>
      <c r="D43" s="86" t="s">
        <v>10</v>
      </c>
      <c r="E43" s="86" t="s">
        <v>5</v>
      </c>
      <c r="F43" s="95">
        <v>200000</v>
      </c>
      <c r="G43" s="141"/>
      <c r="H43" s="142"/>
      <c r="I43" s="96"/>
      <c r="J43" s="97"/>
      <c r="K43" s="96">
        <v>0</v>
      </c>
      <c r="L43" s="97"/>
      <c r="M43" s="96">
        <v>0</v>
      </c>
      <c r="N43" s="97"/>
      <c r="O43" s="96">
        <v>0</v>
      </c>
      <c r="P43" s="109"/>
      <c r="Q43" s="110" t="s">
        <v>305</v>
      </c>
      <c r="R43" s="146"/>
    </row>
    <row r="44" spans="1:19" s="255" customFormat="1" x14ac:dyDescent="0.3">
      <c r="A44" s="254" t="s">
        <v>35</v>
      </c>
      <c r="B44" s="254"/>
      <c r="C44" s="255" t="s">
        <v>36</v>
      </c>
      <c r="D44" s="255" t="s">
        <v>37</v>
      </c>
      <c r="E44" s="255" t="s">
        <v>38</v>
      </c>
      <c r="F44" s="256">
        <f>(SUM(F16:H43)*0.71)</f>
        <v>1828836.46</v>
      </c>
      <c r="G44" s="257"/>
      <c r="H44" s="258"/>
      <c r="I44" s="259">
        <v>0</v>
      </c>
      <c r="J44" s="260"/>
      <c r="K44" s="259">
        <f>(K37+K38+K39)*0.71</f>
        <v>108914.01420000001</v>
      </c>
      <c r="L44" s="260"/>
      <c r="M44" s="259">
        <f>(M37+M38+M39)*0.71</f>
        <v>112181.434626</v>
      </c>
      <c r="N44" s="260"/>
      <c r="O44" s="259">
        <f>(O37+O38+O39)*0.71</f>
        <v>115546.87766478</v>
      </c>
      <c r="P44" s="261"/>
      <c r="Q44" s="262" t="s">
        <v>45</v>
      </c>
      <c r="R44" s="263"/>
    </row>
    <row r="45" spans="1:19" s="86" customFormat="1" ht="31.2" hidden="1" x14ac:dyDescent="0.3">
      <c r="A45" s="120" t="s">
        <v>21</v>
      </c>
      <c r="B45" s="120"/>
      <c r="C45" s="116" t="s">
        <v>20</v>
      </c>
      <c r="D45" s="116" t="s">
        <v>167</v>
      </c>
      <c r="E45" s="116" t="s">
        <v>11</v>
      </c>
      <c r="F45" s="117">
        <v>363416</v>
      </c>
      <c r="G45" s="103"/>
      <c r="H45" s="106">
        <v>59576</v>
      </c>
      <c r="I45" s="118"/>
      <c r="J45" s="106">
        <v>363416</v>
      </c>
      <c r="K45" s="118"/>
      <c r="L45" s="106">
        <v>363416</v>
      </c>
      <c r="M45" s="118"/>
      <c r="N45" s="106">
        <v>363416</v>
      </c>
      <c r="O45" s="118"/>
      <c r="P45" s="106">
        <v>363416</v>
      </c>
      <c r="Q45" s="99" t="s">
        <v>106</v>
      </c>
      <c r="R45" s="147"/>
      <c r="S45" s="139"/>
    </row>
    <row r="46" spans="1:19" s="86" customFormat="1" ht="31.2" hidden="1" x14ac:dyDescent="0.3">
      <c r="A46" s="120" t="s">
        <v>192</v>
      </c>
      <c r="B46" s="120"/>
      <c r="C46" s="116" t="s">
        <v>20</v>
      </c>
      <c r="D46" s="116" t="s">
        <v>167</v>
      </c>
      <c r="E46" s="116" t="s">
        <v>11</v>
      </c>
      <c r="F46" s="117">
        <v>214900</v>
      </c>
      <c r="G46" s="103"/>
      <c r="H46" s="106"/>
      <c r="I46" s="118"/>
      <c r="J46" s="106">
        <v>53728</v>
      </c>
      <c r="K46" s="118"/>
      <c r="L46" s="106">
        <v>214900</v>
      </c>
      <c r="M46" s="118"/>
      <c r="N46" s="106">
        <f>+L46</f>
        <v>214900</v>
      </c>
      <c r="O46" s="118"/>
      <c r="P46" s="106">
        <f>+N46</f>
        <v>214900</v>
      </c>
      <c r="Q46" s="99" t="s">
        <v>171</v>
      </c>
      <c r="R46" s="108"/>
      <c r="S46" s="139"/>
    </row>
    <row r="47" spans="1:19" s="86" customFormat="1" hidden="1" x14ac:dyDescent="0.3">
      <c r="A47" s="120" t="s">
        <v>193</v>
      </c>
      <c r="B47" s="120"/>
      <c r="C47" s="116" t="s">
        <v>20</v>
      </c>
      <c r="D47" s="116" t="s">
        <v>194</v>
      </c>
      <c r="E47" s="116" t="s">
        <v>11</v>
      </c>
      <c r="F47" s="117">
        <v>164738</v>
      </c>
      <c r="G47" s="103"/>
      <c r="H47" s="106"/>
      <c r="I47" s="118"/>
      <c r="J47" s="106">
        <v>2080</v>
      </c>
      <c r="K47" s="118"/>
      <c r="L47" s="106">
        <v>78208</v>
      </c>
      <c r="M47" s="118"/>
      <c r="N47" s="106">
        <v>164738</v>
      </c>
      <c r="O47" s="118"/>
      <c r="P47" s="106">
        <f>+N47</f>
        <v>164738</v>
      </c>
      <c r="Q47" s="99"/>
      <c r="R47" s="108"/>
      <c r="S47" s="139"/>
    </row>
    <row r="48" spans="1:19" s="86" customFormat="1" hidden="1" x14ac:dyDescent="0.3">
      <c r="A48" s="115" t="s">
        <v>200</v>
      </c>
      <c r="B48" s="115"/>
      <c r="C48" s="116" t="s">
        <v>20</v>
      </c>
      <c r="D48" s="116" t="s">
        <v>167</v>
      </c>
      <c r="E48" s="116" t="s">
        <v>11</v>
      </c>
      <c r="F48" s="117">
        <v>134500</v>
      </c>
      <c r="G48" s="103"/>
      <c r="H48" s="106"/>
      <c r="I48" s="118"/>
      <c r="J48" s="106">
        <v>134500</v>
      </c>
      <c r="K48" s="118"/>
      <c r="L48" s="106">
        <v>134500</v>
      </c>
      <c r="M48" s="106"/>
      <c r="N48" s="106">
        <v>134500</v>
      </c>
      <c r="O48" s="118"/>
      <c r="P48" s="106">
        <v>134500</v>
      </c>
      <c r="Q48" s="99" t="s">
        <v>180</v>
      </c>
      <c r="R48" s="108"/>
      <c r="S48" s="139"/>
    </row>
    <row r="49" spans="1:18" s="108" customFormat="1" hidden="1" x14ac:dyDescent="0.3">
      <c r="A49" s="120" t="s">
        <v>195</v>
      </c>
      <c r="B49" s="120"/>
      <c r="C49" s="116" t="s">
        <v>20</v>
      </c>
      <c r="D49" s="116" t="s">
        <v>161</v>
      </c>
      <c r="E49" s="116" t="s">
        <v>11</v>
      </c>
      <c r="F49" s="117">
        <v>99218</v>
      </c>
      <c r="G49" s="103"/>
      <c r="H49" s="106"/>
      <c r="I49" s="118"/>
      <c r="J49" s="106">
        <v>8978</v>
      </c>
      <c r="K49" s="118"/>
      <c r="L49" s="106">
        <v>88844</v>
      </c>
      <c r="M49" s="118"/>
      <c r="N49" s="106">
        <v>99218</v>
      </c>
      <c r="O49" s="118"/>
      <c r="P49" s="106">
        <f>+F49</f>
        <v>99218</v>
      </c>
      <c r="Q49" s="99"/>
      <c r="R49" s="119"/>
    </row>
    <row r="50" spans="1:18" s="108" customFormat="1" hidden="1" x14ac:dyDescent="0.3">
      <c r="A50" s="120" t="s">
        <v>233</v>
      </c>
      <c r="B50" s="120"/>
      <c r="C50" s="116" t="s">
        <v>20</v>
      </c>
      <c r="D50" s="116" t="s">
        <v>161</v>
      </c>
      <c r="E50" s="116" t="s">
        <v>11</v>
      </c>
      <c r="F50" s="117">
        <v>2173</v>
      </c>
      <c r="G50" s="103"/>
      <c r="H50" s="106"/>
      <c r="I50" s="118"/>
      <c r="J50" s="106"/>
      <c r="K50" s="118"/>
      <c r="L50" s="106">
        <v>380</v>
      </c>
      <c r="M50" s="118"/>
      <c r="N50" s="106">
        <v>1730</v>
      </c>
      <c r="O50" s="118"/>
      <c r="P50" s="106">
        <f>+F50</f>
        <v>2173</v>
      </c>
      <c r="Q50" s="99"/>
      <c r="R50" s="119"/>
    </row>
    <row r="51" spans="1:18" s="108" customFormat="1" hidden="1" x14ac:dyDescent="0.3">
      <c r="A51" s="120" t="s">
        <v>177</v>
      </c>
      <c r="B51" s="120"/>
      <c r="C51" s="116" t="s">
        <v>20</v>
      </c>
      <c r="D51" s="116" t="s">
        <v>176</v>
      </c>
      <c r="E51" s="116" t="s">
        <v>11</v>
      </c>
      <c r="F51" s="117">
        <v>51000</v>
      </c>
      <c r="G51" s="103"/>
      <c r="H51" s="106"/>
      <c r="I51" s="118"/>
      <c r="J51" s="106">
        <v>1050</v>
      </c>
      <c r="K51" s="118"/>
      <c r="L51" s="106">
        <v>1050</v>
      </c>
      <c r="M51" s="118"/>
      <c r="N51" s="106">
        <f>+F51</f>
        <v>51000</v>
      </c>
      <c r="O51" s="118"/>
      <c r="P51" s="106">
        <v>51000</v>
      </c>
      <c r="Q51" s="99" t="s">
        <v>316</v>
      </c>
      <c r="R51" s="119"/>
    </row>
    <row r="52" spans="1:18" s="108" customFormat="1" hidden="1" x14ac:dyDescent="0.3">
      <c r="A52" s="120" t="s">
        <v>178</v>
      </c>
      <c r="B52" s="120"/>
      <c r="C52" s="116" t="s">
        <v>20</v>
      </c>
      <c r="D52" s="116" t="s">
        <v>176</v>
      </c>
      <c r="E52" s="116" t="s">
        <v>11</v>
      </c>
      <c r="F52" s="117">
        <v>19300</v>
      </c>
      <c r="G52" s="103"/>
      <c r="H52" s="106"/>
      <c r="I52" s="118"/>
      <c r="J52" s="106"/>
      <c r="K52" s="118"/>
      <c r="L52" s="106">
        <v>787</v>
      </c>
      <c r="M52" s="118"/>
      <c r="N52" s="106">
        <v>12177</v>
      </c>
      <c r="O52" s="118"/>
      <c r="P52" s="106">
        <v>12177</v>
      </c>
      <c r="Q52" s="99" t="s">
        <v>316</v>
      </c>
      <c r="R52" s="119"/>
    </row>
    <row r="53" spans="1:18" s="108" customFormat="1" hidden="1" x14ac:dyDescent="0.3">
      <c r="A53" s="115" t="s">
        <v>201</v>
      </c>
      <c r="B53" s="115"/>
      <c r="C53" s="116" t="s">
        <v>20</v>
      </c>
      <c r="D53" s="116" t="s">
        <v>191</v>
      </c>
      <c r="E53" s="116" t="s">
        <v>11</v>
      </c>
      <c r="F53" s="106">
        <v>40557</v>
      </c>
      <c r="G53" s="103"/>
      <c r="H53" s="106"/>
      <c r="I53" s="118"/>
      <c r="J53" s="106">
        <v>40557</v>
      </c>
      <c r="K53" s="118"/>
      <c r="L53" s="106">
        <v>40557</v>
      </c>
      <c r="M53" s="106"/>
      <c r="N53" s="106">
        <v>40557</v>
      </c>
      <c r="O53" s="118"/>
      <c r="P53" s="106">
        <v>40557</v>
      </c>
      <c r="Q53" s="99" t="s">
        <v>182</v>
      </c>
      <c r="R53" s="119"/>
    </row>
    <row r="54" spans="1:18" s="108" customFormat="1" hidden="1" x14ac:dyDescent="0.3">
      <c r="A54" s="115" t="s">
        <v>203</v>
      </c>
      <c r="B54" s="115"/>
      <c r="C54" s="116" t="s">
        <v>20</v>
      </c>
      <c r="D54" s="116" t="s">
        <v>191</v>
      </c>
      <c r="E54" s="116" t="s">
        <v>11</v>
      </c>
      <c r="F54" s="117">
        <v>18675</v>
      </c>
      <c r="G54" s="103"/>
      <c r="H54" s="106"/>
      <c r="I54" s="118"/>
      <c r="J54" s="117">
        <v>18675</v>
      </c>
      <c r="K54" s="118"/>
      <c r="L54" s="117">
        <v>18675</v>
      </c>
      <c r="M54" s="118"/>
      <c r="N54" s="117">
        <v>18675</v>
      </c>
      <c r="O54" s="118"/>
      <c r="P54" s="117">
        <v>18675</v>
      </c>
      <c r="Q54" s="99" t="s">
        <v>182</v>
      </c>
      <c r="R54" s="119"/>
    </row>
    <row r="55" spans="1:18" s="108" customFormat="1" hidden="1" x14ac:dyDescent="0.3">
      <c r="A55" s="120" t="s">
        <v>24</v>
      </c>
      <c r="B55" s="120"/>
      <c r="C55" s="116" t="s">
        <v>20</v>
      </c>
      <c r="D55" s="116" t="s">
        <v>161</v>
      </c>
      <c r="E55" s="116" t="s">
        <v>11</v>
      </c>
      <c r="F55" s="117">
        <v>74680</v>
      </c>
      <c r="G55" s="103"/>
      <c r="H55" s="106"/>
      <c r="I55" s="118"/>
      <c r="J55" s="106">
        <v>10440</v>
      </c>
      <c r="K55" s="118"/>
      <c r="L55" s="106">
        <v>71200</v>
      </c>
      <c r="M55" s="118"/>
      <c r="N55" s="106">
        <v>97241</v>
      </c>
      <c r="O55" s="118"/>
      <c r="P55" s="106">
        <v>97805</v>
      </c>
      <c r="Q55" s="99" t="s">
        <v>317</v>
      </c>
      <c r="R55" s="119"/>
    </row>
    <row r="56" spans="1:18" s="108" customFormat="1" ht="46.8" hidden="1" x14ac:dyDescent="0.3">
      <c r="A56" s="120" t="s">
        <v>25</v>
      </c>
      <c r="B56" s="120"/>
      <c r="C56" s="116" t="s">
        <v>20</v>
      </c>
      <c r="D56" s="116" t="s">
        <v>167</v>
      </c>
      <c r="E56" s="116" t="s">
        <v>11</v>
      </c>
      <c r="F56" s="117">
        <v>233484</v>
      </c>
      <c r="G56" s="103"/>
      <c r="H56" s="106">
        <v>38216</v>
      </c>
      <c r="I56" s="118"/>
      <c r="J56" s="106">
        <v>100952</v>
      </c>
      <c r="K56" s="118"/>
      <c r="L56" s="106">
        <f>F56</f>
        <v>233484</v>
      </c>
      <c r="M56" s="118"/>
      <c r="N56" s="106">
        <f>F56</f>
        <v>233484</v>
      </c>
      <c r="O56" s="118"/>
      <c r="P56" s="106">
        <f>F56</f>
        <v>233484</v>
      </c>
      <c r="Q56" s="99" t="s">
        <v>181</v>
      </c>
      <c r="R56" s="119"/>
    </row>
    <row r="57" spans="1:18" s="164" customFormat="1" ht="46.8" x14ac:dyDescent="0.3">
      <c r="A57" s="242" t="s">
        <v>196</v>
      </c>
      <c r="B57" s="242"/>
      <c r="C57" s="216" t="s">
        <v>33</v>
      </c>
      <c r="D57" s="217" t="s">
        <v>34</v>
      </c>
      <c r="E57" s="217" t="s">
        <v>26</v>
      </c>
      <c r="F57" s="243">
        <v>450000</v>
      </c>
      <c r="G57" s="220"/>
      <c r="H57" s="221"/>
      <c r="I57" s="244"/>
      <c r="J57" s="221"/>
      <c r="K57" s="244"/>
      <c r="L57" s="221">
        <f>F57*0.5</f>
        <v>225000</v>
      </c>
      <c r="M57" s="244"/>
      <c r="N57" s="221">
        <f>F57*0.5</f>
        <v>225000</v>
      </c>
      <c r="O57" s="244"/>
      <c r="P57" s="221"/>
      <c r="Q57" s="171" t="s">
        <v>197</v>
      </c>
      <c r="R57" s="163"/>
    </row>
    <row r="58" spans="1:18" s="116" customFormat="1" ht="46.8" hidden="1" x14ac:dyDescent="0.3">
      <c r="A58" s="120" t="s">
        <v>198</v>
      </c>
      <c r="B58" s="120"/>
      <c r="C58" s="116" t="s">
        <v>20</v>
      </c>
      <c r="D58" s="116" t="s">
        <v>167</v>
      </c>
      <c r="E58" s="116" t="s">
        <v>11</v>
      </c>
      <c r="F58" s="117">
        <v>650000</v>
      </c>
      <c r="G58" s="103"/>
      <c r="H58" s="106"/>
      <c r="I58" s="118"/>
      <c r="J58" s="106">
        <v>30000</v>
      </c>
      <c r="K58" s="118"/>
      <c r="L58" s="106">
        <v>180000</v>
      </c>
      <c r="M58" s="118"/>
      <c r="N58" s="106">
        <v>180000</v>
      </c>
      <c r="O58" s="118"/>
      <c r="P58" s="106">
        <v>180000</v>
      </c>
      <c r="Q58" s="99" t="s">
        <v>238</v>
      </c>
      <c r="R58" s="213"/>
    </row>
    <row r="59" spans="1:18" s="86" customFormat="1" ht="16.2" thickBot="1" x14ac:dyDescent="0.35">
      <c r="A59" s="94"/>
      <c r="B59" s="94"/>
      <c r="F59" s="148">
        <f t="shared" ref="F59" si="4">SUM(F4:F58)</f>
        <v>5185640.92</v>
      </c>
      <c r="G59" s="149">
        <v>0</v>
      </c>
      <c r="H59" s="150">
        <f>0</f>
        <v>0</v>
      </c>
      <c r="I59" s="149">
        <f>I44</f>
        <v>0</v>
      </c>
      <c r="J59" s="150">
        <f>0</f>
        <v>0</v>
      </c>
      <c r="K59" s="149">
        <f>K37+K38+K39+K44</f>
        <v>262314.03419999999</v>
      </c>
      <c r="L59" s="150">
        <f>L57</f>
        <v>225000</v>
      </c>
      <c r="M59" s="149">
        <f>M37+M38+M39+M44</f>
        <v>270183.45522600005</v>
      </c>
      <c r="N59" s="150">
        <f>N57</f>
        <v>225000</v>
      </c>
      <c r="O59" s="149">
        <f>O37+O38+O39+O44</f>
        <v>278288.95888277999</v>
      </c>
      <c r="P59" s="150">
        <f>0</f>
        <v>0</v>
      </c>
      <c r="Q59" s="110"/>
    </row>
    <row r="60" spans="1:18" s="86" customFormat="1" x14ac:dyDescent="0.3">
      <c r="A60" s="151"/>
      <c r="B60" s="151"/>
      <c r="F60" s="95"/>
      <c r="G60" s="96"/>
      <c r="H60" s="97"/>
      <c r="I60" s="96"/>
      <c r="J60" s="97"/>
      <c r="K60" s="96"/>
      <c r="L60" s="97"/>
      <c r="M60" s="96"/>
      <c r="N60" s="97"/>
      <c r="O60" s="96"/>
      <c r="P60" s="109"/>
      <c r="Q60" s="110"/>
    </row>
    <row r="61" spans="1:18" s="86" customFormat="1" ht="16.2" thickBot="1" x14ac:dyDescent="0.35">
      <c r="A61" s="94"/>
      <c r="B61" s="94"/>
      <c r="F61" s="152" t="s">
        <v>105</v>
      </c>
      <c r="G61" s="186"/>
      <c r="H61" s="187"/>
      <c r="I61" s="299">
        <f>I59+J59</f>
        <v>0</v>
      </c>
      <c r="J61" s="300"/>
      <c r="K61" s="299">
        <f>K59+L59</f>
        <v>487314.03419999999</v>
      </c>
      <c r="L61" s="300"/>
      <c r="M61" s="299">
        <f>M59+N59</f>
        <v>495183.45522600005</v>
      </c>
      <c r="N61" s="300"/>
      <c r="O61" s="299">
        <f>O59+P59</f>
        <v>278288.95888277999</v>
      </c>
      <c r="P61" s="300"/>
      <c r="Q61" s="214" t="s">
        <v>46</v>
      </c>
    </row>
    <row r="62" spans="1:18" s="86" customFormat="1" ht="16.2" hidden="1" thickTop="1" x14ac:dyDescent="0.3">
      <c r="A62" s="94"/>
      <c r="B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Q62" s="110"/>
    </row>
    <row r="63" spans="1:18" s="86" customFormat="1" hidden="1" x14ac:dyDescent="0.3">
      <c r="A63" s="195" t="s">
        <v>107</v>
      </c>
      <c r="B63" s="195"/>
      <c r="F63" s="95"/>
      <c r="G63" s="95"/>
      <c r="H63" s="95"/>
      <c r="I63" s="95"/>
      <c r="J63" s="95"/>
      <c r="K63" s="95"/>
      <c r="L63" s="95"/>
      <c r="M63" s="95"/>
      <c r="N63" s="95"/>
      <c r="O63" s="95"/>
      <c r="Q63" s="110"/>
    </row>
    <row r="64" spans="1:18" s="94" customFormat="1" ht="16.5" hidden="1" customHeight="1" thickBot="1" x14ac:dyDescent="0.35">
      <c r="A64" s="89" t="s">
        <v>1</v>
      </c>
      <c r="B64" s="89"/>
      <c r="C64" s="89" t="s">
        <v>2</v>
      </c>
      <c r="D64" s="89" t="s">
        <v>3</v>
      </c>
      <c r="E64" s="89" t="s">
        <v>0</v>
      </c>
      <c r="F64" s="154" t="s">
        <v>4</v>
      </c>
      <c r="G64" s="188">
        <v>2017</v>
      </c>
      <c r="H64" s="188"/>
      <c r="I64" s="298">
        <v>2018</v>
      </c>
      <c r="J64" s="298"/>
      <c r="K64" s="298">
        <v>2019</v>
      </c>
      <c r="L64" s="298"/>
      <c r="M64" s="298">
        <v>2020</v>
      </c>
      <c r="N64" s="298"/>
      <c r="O64" s="298">
        <v>2021</v>
      </c>
      <c r="P64" s="298"/>
      <c r="Q64" s="93" t="s">
        <v>39</v>
      </c>
    </row>
    <row r="65" spans="1:18" s="86" customFormat="1" hidden="1" x14ac:dyDescent="0.3">
      <c r="A65" s="94" t="s">
        <v>47</v>
      </c>
      <c r="B65" s="94"/>
      <c r="C65" s="86" t="s">
        <v>9</v>
      </c>
      <c r="D65" s="86" t="s">
        <v>10</v>
      </c>
      <c r="E65" s="86" t="s">
        <v>5</v>
      </c>
      <c r="F65" s="95">
        <v>-148000</v>
      </c>
      <c r="G65" s="111"/>
      <c r="H65" s="111"/>
      <c r="I65" s="111"/>
      <c r="J65" s="111"/>
      <c r="K65" s="111">
        <v>-37000</v>
      </c>
      <c r="L65" s="111"/>
      <c r="M65" s="111">
        <v>-74000</v>
      </c>
      <c r="N65" s="111"/>
      <c r="O65" s="111">
        <v>-37000</v>
      </c>
      <c r="P65" s="155"/>
      <c r="Q65" s="99" t="s">
        <v>48</v>
      </c>
      <c r="R65" s="114"/>
    </row>
    <row r="66" spans="1:18" s="86" customFormat="1" hidden="1" x14ac:dyDescent="0.3">
      <c r="A66" s="86" t="s">
        <v>227</v>
      </c>
      <c r="C66" s="86" t="s">
        <v>9</v>
      </c>
      <c r="D66" s="86" t="s">
        <v>10</v>
      </c>
      <c r="E66" s="86" t="s">
        <v>5</v>
      </c>
      <c r="F66" s="111">
        <v>-87515</v>
      </c>
      <c r="G66" s="111"/>
      <c r="H66" s="111"/>
      <c r="I66" s="111">
        <v>0</v>
      </c>
      <c r="J66" s="111"/>
      <c r="K66" s="111">
        <v>-87515.19</v>
      </c>
      <c r="L66" s="111"/>
      <c r="M66" s="111">
        <v>-240287.94736799999</v>
      </c>
      <c r="N66" s="111"/>
      <c r="O66" s="111">
        <v>-304808.81035290001</v>
      </c>
      <c r="P66" s="156"/>
      <c r="Q66" s="99"/>
      <c r="R66" s="114"/>
    </row>
    <row r="67" spans="1:18" s="86" customFormat="1" hidden="1" x14ac:dyDescent="0.3">
      <c r="A67" s="94" t="s">
        <v>49</v>
      </c>
      <c r="B67" s="94"/>
      <c r="C67" s="86" t="s">
        <v>9</v>
      </c>
      <c r="D67" s="86" t="s">
        <v>10</v>
      </c>
      <c r="E67" s="86" t="s">
        <v>5</v>
      </c>
      <c r="F67" s="95">
        <v>-829895</v>
      </c>
      <c r="G67" s="111"/>
      <c r="H67" s="111"/>
      <c r="I67" s="111">
        <v>0</v>
      </c>
      <c r="J67" s="111"/>
      <c r="K67" s="111">
        <v>-292022.46388064302</v>
      </c>
      <c r="L67" s="111"/>
      <c r="M67" s="111">
        <v>-809875.63316231605</v>
      </c>
      <c r="N67" s="111"/>
      <c r="O67" s="111">
        <v>-1052838.32311101</v>
      </c>
      <c r="P67" s="156"/>
      <c r="Q67" s="99" t="s">
        <v>50</v>
      </c>
      <c r="R67" s="114"/>
    </row>
    <row r="68" spans="1:18" s="86" customFormat="1" hidden="1" x14ac:dyDescent="0.3">
      <c r="A68" s="94" t="s">
        <v>51</v>
      </c>
      <c r="B68" s="94"/>
      <c r="C68" s="86" t="s">
        <v>52</v>
      </c>
      <c r="D68" s="86" t="s">
        <v>53</v>
      </c>
      <c r="E68" s="86" t="s">
        <v>5</v>
      </c>
      <c r="F68" s="95">
        <v>-219451</v>
      </c>
      <c r="G68" s="111"/>
      <c r="H68" s="111"/>
      <c r="I68" s="111">
        <v>0</v>
      </c>
      <c r="J68" s="111"/>
      <c r="K68" s="111">
        <v>-77017.827814686694</v>
      </c>
      <c r="L68" s="111"/>
      <c r="M68" s="111">
        <v>-213596.109139398</v>
      </c>
      <c r="N68" s="111"/>
      <c r="O68" s="111">
        <v>-277674.941881217</v>
      </c>
      <c r="P68" s="156"/>
      <c r="Q68" s="99" t="s">
        <v>54</v>
      </c>
      <c r="R68" s="114"/>
    </row>
    <row r="69" spans="1:18" s="86" customFormat="1" hidden="1" x14ac:dyDescent="0.3">
      <c r="A69" s="94" t="s">
        <v>55</v>
      </c>
      <c r="B69" s="94"/>
      <c r="C69" s="86" t="s">
        <v>52</v>
      </c>
      <c r="D69" s="86" t="s">
        <v>53</v>
      </c>
      <c r="E69" s="86" t="s">
        <v>5</v>
      </c>
      <c r="F69" s="95">
        <v>-248115</v>
      </c>
      <c r="G69" s="111"/>
      <c r="H69" s="111"/>
      <c r="I69" s="111">
        <v>0</v>
      </c>
      <c r="J69" s="111"/>
      <c r="K69" s="111">
        <v>-87077.836984320005</v>
      </c>
      <c r="L69" s="111"/>
      <c r="M69" s="111">
        <v>-241495.867903181</v>
      </c>
      <c r="N69" s="111"/>
      <c r="O69" s="111">
        <v>-313944.628274135</v>
      </c>
      <c r="P69" s="156"/>
      <c r="Q69" s="99" t="s">
        <v>54</v>
      </c>
      <c r="R69" s="114"/>
    </row>
    <row r="70" spans="1:18" s="86" customFormat="1" hidden="1" x14ac:dyDescent="0.3">
      <c r="A70" s="94" t="s">
        <v>56</v>
      </c>
      <c r="B70" s="94"/>
      <c r="C70" s="86" t="s">
        <v>9</v>
      </c>
      <c r="D70" s="86" t="s">
        <v>10</v>
      </c>
      <c r="E70" s="86" t="s">
        <v>5</v>
      </c>
      <c r="F70" s="95">
        <v>-214776</v>
      </c>
      <c r="G70" s="111"/>
      <c r="H70" s="111"/>
      <c r="I70" s="111">
        <v>0</v>
      </c>
      <c r="J70" s="111"/>
      <c r="K70" s="111">
        <v>-103081.204426948</v>
      </c>
      <c r="L70" s="111"/>
      <c r="M70" s="111">
        <v>-285053.89064198802</v>
      </c>
      <c r="N70" s="111"/>
      <c r="O70" s="111">
        <v>-369501.10574467701</v>
      </c>
      <c r="P70" s="156"/>
      <c r="Q70" s="99" t="s">
        <v>57</v>
      </c>
      <c r="R70" s="114"/>
    </row>
    <row r="71" spans="1:18" s="86" customFormat="1" hidden="1" x14ac:dyDescent="0.3">
      <c r="A71" s="143" t="s">
        <v>58</v>
      </c>
      <c r="B71" s="143"/>
      <c r="C71" s="86" t="s">
        <v>52</v>
      </c>
      <c r="D71" s="86" t="s">
        <v>53</v>
      </c>
      <c r="E71" s="86" t="s">
        <v>5</v>
      </c>
      <c r="F71" s="145">
        <v>-2741156</v>
      </c>
      <c r="G71" s="111"/>
      <c r="H71" s="111"/>
      <c r="I71" s="111">
        <v>0</v>
      </c>
      <c r="J71" s="111"/>
      <c r="K71" s="111">
        <v>-1371502.5417571201</v>
      </c>
      <c r="L71" s="111"/>
      <c r="M71" s="111">
        <v>-3813572.7588315499</v>
      </c>
      <c r="N71" s="111"/>
      <c r="O71" s="111">
        <v>-4970971.9407323599</v>
      </c>
      <c r="P71" s="156"/>
      <c r="Q71" s="157" t="s">
        <v>59</v>
      </c>
      <c r="R71" s="114"/>
    </row>
    <row r="72" spans="1:18" s="86" customFormat="1" hidden="1" x14ac:dyDescent="0.3">
      <c r="A72" s="94" t="s">
        <v>60</v>
      </c>
      <c r="B72" s="94"/>
      <c r="C72" s="86" t="s">
        <v>61</v>
      </c>
      <c r="E72" s="86" t="s">
        <v>62</v>
      </c>
      <c r="F72" s="95">
        <v>-1570233</v>
      </c>
      <c r="G72" s="111"/>
      <c r="H72" s="111"/>
      <c r="I72" s="111">
        <v>0</v>
      </c>
      <c r="J72" s="111"/>
      <c r="K72" s="111">
        <v>-390801.84142294701</v>
      </c>
      <c r="L72" s="111"/>
      <c r="M72" s="111">
        <v>-1080697.3588149201</v>
      </c>
      <c r="N72" s="111"/>
      <c r="O72" s="111">
        <v>-1400853.9513638399</v>
      </c>
      <c r="P72" s="156"/>
      <c r="Q72" s="99" t="s">
        <v>63</v>
      </c>
      <c r="R72" s="114"/>
    </row>
    <row r="73" spans="1:18" s="86" customFormat="1" hidden="1" x14ac:dyDescent="0.3">
      <c r="A73" s="94" t="s">
        <v>64</v>
      </c>
      <c r="B73" s="94"/>
      <c r="C73" s="86" t="s">
        <v>61</v>
      </c>
      <c r="E73" s="86" t="s">
        <v>62</v>
      </c>
      <c r="F73" s="95">
        <v>-324081</v>
      </c>
      <c r="G73" s="111">
        <v>-43380.51</v>
      </c>
      <c r="H73" s="116"/>
      <c r="I73" s="111">
        <v>-44681.925300000003</v>
      </c>
      <c r="J73" s="111"/>
      <c r="K73" s="111">
        <v>-112432.05501499699</v>
      </c>
      <c r="L73" s="111"/>
      <c r="M73" s="111">
        <v>-310912.10946813802</v>
      </c>
      <c r="N73" s="111"/>
      <c r="O73" s="111">
        <v>-403019.82189807401</v>
      </c>
      <c r="P73" s="156"/>
      <c r="Q73" s="99" t="s">
        <v>63</v>
      </c>
      <c r="R73" s="114"/>
    </row>
    <row r="74" spans="1:18" s="86" customFormat="1" hidden="1" x14ac:dyDescent="0.3">
      <c r="A74" s="94" t="s">
        <v>69</v>
      </c>
      <c r="B74" s="94"/>
      <c r="C74" s="86" t="s">
        <v>66</v>
      </c>
      <c r="D74" s="86" t="s">
        <v>67</v>
      </c>
      <c r="E74" s="86" t="s">
        <v>26</v>
      </c>
      <c r="F74" s="95">
        <v>-383903</v>
      </c>
      <c r="G74" s="111"/>
      <c r="H74" s="111"/>
      <c r="I74" s="111">
        <v>0</v>
      </c>
      <c r="J74" s="111"/>
      <c r="K74" s="111">
        <v>-140325.36064097899</v>
      </c>
      <c r="L74" s="111"/>
      <c r="M74" s="111">
        <v>-389281.26046616299</v>
      </c>
      <c r="N74" s="111"/>
      <c r="O74" s="111">
        <v>-506211.619078686</v>
      </c>
      <c r="P74" s="156"/>
      <c r="Q74" s="99" t="s">
        <v>68</v>
      </c>
      <c r="R74" s="114"/>
    </row>
    <row r="75" spans="1:18" s="86" customFormat="1" hidden="1" x14ac:dyDescent="0.3">
      <c r="A75" s="94" t="s">
        <v>70</v>
      </c>
      <c r="B75" s="94"/>
      <c r="C75" s="86" t="s">
        <v>66</v>
      </c>
      <c r="D75" s="86" t="s">
        <v>67</v>
      </c>
      <c r="E75" s="86" t="s">
        <v>26</v>
      </c>
      <c r="F75" s="95">
        <v>-193781</v>
      </c>
      <c r="G75" s="111"/>
      <c r="H75" s="111"/>
      <c r="I75" s="111">
        <v>0</v>
      </c>
      <c r="J75" s="111"/>
      <c r="K75" s="111">
        <v>-70831.3684610239</v>
      </c>
      <c r="L75" s="111"/>
      <c r="M75" s="111">
        <v>-196495.66029334199</v>
      </c>
      <c r="N75" s="111"/>
      <c r="O75" s="111">
        <v>-255518.04425395399</v>
      </c>
      <c r="P75" s="156"/>
      <c r="Q75" s="99" t="s">
        <v>68</v>
      </c>
      <c r="R75" s="114"/>
    </row>
    <row r="76" spans="1:18" s="86" customFormat="1" hidden="1" x14ac:dyDescent="0.3">
      <c r="A76" s="94" t="s">
        <v>71</v>
      </c>
      <c r="B76" s="94"/>
      <c r="C76" s="86" t="s">
        <v>66</v>
      </c>
      <c r="D76" s="86" t="s">
        <v>67</v>
      </c>
      <c r="E76" s="86" t="s">
        <v>26</v>
      </c>
      <c r="F76" s="95">
        <v>-95334</v>
      </c>
      <c r="G76" s="111"/>
      <c r="H76" s="111"/>
      <c r="I76" s="111">
        <v>0</v>
      </c>
      <c r="J76" s="111"/>
      <c r="K76" s="111">
        <v>-41714.2515680836</v>
      </c>
      <c r="L76" s="111"/>
      <c r="M76" s="111">
        <v>-112350.38422337201</v>
      </c>
      <c r="N76" s="111"/>
      <c r="O76" s="111">
        <v>-141842.36008200701</v>
      </c>
      <c r="P76" s="156"/>
      <c r="Q76" s="99" t="s">
        <v>68</v>
      </c>
      <c r="R76" s="114"/>
    </row>
    <row r="77" spans="1:18" s="86" customFormat="1" hidden="1" x14ac:dyDescent="0.3">
      <c r="A77" s="94" t="s">
        <v>72</v>
      </c>
      <c r="B77" s="94"/>
      <c r="C77" s="86" t="s">
        <v>66</v>
      </c>
      <c r="D77" s="86" t="s">
        <v>67</v>
      </c>
      <c r="E77" s="86" t="s">
        <v>26</v>
      </c>
      <c r="F77" s="95">
        <v>-48454</v>
      </c>
      <c r="G77" s="111"/>
      <c r="H77" s="111"/>
      <c r="I77" s="111">
        <v>0</v>
      </c>
      <c r="J77" s="111"/>
      <c r="K77" s="111">
        <v>-17711.024019385601</v>
      </c>
      <c r="L77" s="111"/>
      <c r="M77" s="111">
        <v>-49132.7420996449</v>
      </c>
      <c r="N77" s="111"/>
      <c r="O77" s="111">
        <v>-63890.989507825798</v>
      </c>
      <c r="P77" s="156"/>
      <c r="Q77" s="99" t="s">
        <v>68</v>
      </c>
      <c r="R77" s="114"/>
    </row>
    <row r="78" spans="1:18" s="86" customFormat="1" hidden="1" x14ac:dyDescent="0.3">
      <c r="A78" s="94" t="s">
        <v>73</v>
      </c>
      <c r="B78" s="94"/>
      <c r="C78" s="86" t="s">
        <v>66</v>
      </c>
      <c r="D78" s="86" t="s">
        <v>67</v>
      </c>
      <c r="E78" s="86" t="s">
        <v>26</v>
      </c>
      <c r="F78" s="95">
        <v>-102647</v>
      </c>
      <c r="G78" s="111"/>
      <c r="H78" s="111"/>
      <c r="I78" s="111">
        <v>0</v>
      </c>
      <c r="J78" s="111"/>
      <c r="K78" s="111">
        <v>-36024.6675374775</v>
      </c>
      <c r="L78" s="111"/>
      <c r="M78" s="111">
        <v>-99908.411303937493</v>
      </c>
      <c r="N78" s="111"/>
      <c r="O78" s="111">
        <v>-129880.93469511899</v>
      </c>
      <c r="P78" s="156"/>
      <c r="Q78" s="99" t="s">
        <v>68</v>
      </c>
      <c r="R78" s="114"/>
    </row>
    <row r="79" spans="1:18" s="144" customFormat="1" hidden="1" x14ac:dyDescent="0.3">
      <c r="A79" s="143" t="s">
        <v>74</v>
      </c>
      <c r="B79" s="143"/>
      <c r="C79" s="144" t="s">
        <v>66</v>
      </c>
      <c r="D79" s="144" t="s">
        <v>67</v>
      </c>
      <c r="E79" s="144" t="s">
        <v>26</v>
      </c>
      <c r="F79" s="145">
        <v>-156882</v>
      </c>
      <c r="G79" s="111"/>
      <c r="H79" s="111"/>
      <c r="I79" s="111">
        <v>0</v>
      </c>
      <c r="J79" s="111"/>
      <c r="K79" s="111">
        <v>-55058.783625644799</v>
      </c>
      <c r="L79" s="111"/>
      <c r="M79" s="111">
        <v>-152696.35992178801</v>
      </c>
      <c r="N79" s="111"/>
      <c r="O79" s="111">
        <v>-198505.26789832499</v>
      </c>
      <c r="P79" s="156"/>
      <c r="Q79" s="107" t="s">
        <v>75</v>
      </c>
      <c r="R79" s="158"/>
    </row>
    <row r="80" spans="1:18" s="86" customFormat="1" hidden="1" x14ac:dyDescent="0.3">
      <c r="A80" s="94" t="s">
        <v>76</v>
      </c>
      <c r="B80" s="94"/>
      <c r="C80" s="86" t="s">
        <v>77</v>
      </c>
      <c r="D80" s="86" t="s">
        <v>78</v>
      </c>
      <c r="E80" s="86" t="s">
        <v>79</v>
      </c>
      <c r="F80" s="95">
        <f>114700/3</f>
        <v>38233.333333333336</v>
      </c>
      <c r="G80" s="111"/>
      <c r="H80" s="111"/>
      <c r="I80" s="111">
        <v>38233</v>
      </c>
      <c r="J80" s="111"/>
      <c r="K80" s="111">
        <v>38233</v>
      </c>
      <c r="L80" s="111"/>
      <c r="M80" s="111">
        <v>38233</v>
      </c>
      <c r="N80" s="111"/>
      <c r="O80" s="111">
        <v>38233</v>
      </c>
      <c r="P80" s="156"/>
      <c r="Q80" s="99" t="s">
        <v>80</v>
      </c>
      <c r="R80" s="114"/>
    </row>
    <row r="81" spans="1:18" s="86" customFormat="1" hidden="1" x14ac:dyDescent="0.3">
      <c r="A81" s="94" t="s">
        <v>81</v>
      </c>
      <c r="B81" s="94"/>
      <c r="C81" s="86" t="s">
        <v>82</v>
      </c>
      <c r="D81" s="86" t="s">
        <v>83</v>
      </c>
      <c r="E81" s="86" t="s">
        <v>38</v>
      </c>
      <c r="F81" s="95">
        <v>1240000</v>
      </c>
      <c r="G81" s="111"/>
      <c r="H81" s="111"/>
      <c r="I81" s="111">
        <v>1240000</v>
      </c>
      <c r="J81" s="111"/>
      <c r="K81" s="111">
        <v>1240000</v>
      </c>
      <c r="L81" s="111"/>
      <c r="M81" s="111">
        <v>1240000</v>
      </c>
      <c r="N81" s="111"/>
      <c r="O81" s="111">
        <v>1240000</v>
      </c>
      <c r="P81" s="159"/>
      <c r="Q81" s="110" t="s">
        <v>84</v>
      </c>
      <c r="R81" s="114"/>
    </row>
    <row r="82" spans="1:18" s="86" customFormat="1" ht="16.2" hidden="1" thickBot="1" x14ac:dyDescent="0.35">
      <c r="A82" s="94"/>
      <c r="B82" s="94"/>
      <c r="F82" s="95"/>
      <c r="G82" s="160"/>
      <c r="H82" s="160">
        <f>SUM(G65:H81)</f>
        <v>-43380.51</v>
      </c>
      <c r="I82" s="161">
        <f>SUM(I65:J81)</f>
        <v>1233551.0747</v>
      </c>
      <c r="J82" s="162"/>
      <c r="K82" s="161">
        <f>SUM(K65:L81)</f>
        <v>-1641883.4171542558</v>
      </c>
      <c r="L82" s="162"/>
      <c r="M82" s="161">
        <f>SUM(M65:N81)</f>
        <v>-6791123.4936377378</v>
      </c>
      <c r="N82" s="162"/>
      <c r="O82" s="161">
        <f>SUM(O65:P81)</f>
        <v>-9148229.73887413</v>
      </c>
      <c r="P82" s="162"/>
      <c r="Q82" s="153" t="s">
        <v>85</v>
      </c>
      <c r="R82" s="114"/>
    </row>
    <row r="83" spans="1:18" s="86" customFormat="1" ht="16.2" hidden="1" thickTop="1" x14ac:dyDescent="0.3">
      <c r="A83" s="151"/>
      <c r="B83" s="151"/>
      <c r="F83" s="95"/>
      <c r="G83" s="95"/>
      <c r="H83" s="95"/>
      <c r="J83" s="95"/>
      <c r="L83" s="95"/>
      <c r="N83" s="95"/>
      <c r="P83" s="95"/>
      <c r="Q83" s="110"/>
      <c r="R83" s="114"/>
    </row>
    <row r="84" spans="1:18" s="86" customFormat="1" hidden="1" x14ac:dyDescent="0.3">
      <c r="A84" s="86" t="s">
        <v>183</v>
      </c>
      <c r="F84" s="95"/>
      <c r="G84" s="95"/>
      <c r="H84" s="95"/>
      <c r="J84" s="95"/>
      <c r="L84" s="95"/>
      <c r="N84" s="95"/>
      <c r="P84" s="95"/>
      <c r="Q84" s="110"/>
      <c r="R84" s="114"/>
    </row>
    <row r="85" spans="1:18" hidden="1" x14ac:dyDescent="0.3">
      <c r="A85" s="85" t="s">
        <v>184</v>
      </c>
    </row>
    <row r="86" spans="1:18" hidden="1" x14ac:dyDescent="0.3">
      <c r="A86" s="85" t="s">
        <v>185</v>
      </c>
    </row>
    <row r="87" spans="1:18" hidden="1" x14ac:dyDescent="0.3"/>
    <row r="88" spans="1:18" hidden="1" x14ac:dyDescent="0.3">
      <c r="A88" s="85" t="s">
        <v>186</v>
      </c>
    </row>
    <row r="89" spans="1:18" hidden="1" x14ac:dyDescent="0.3">
      <c r="A89" s="85" t="s">
        <v>187</v>
      </c>
    </row>
    <row r="90" spans="1:18" hidden="1" x14ac:dyDescent="0.3">
      <c r="A90" s="85" t="s">
        <v>239</v>
      </c>
    </row>
    <row r="91" spans="1:18" hidden="1" x14ac:dyDescent="0.3"/>
    <row r="92" spans="1:18" hidden="1" x14ac:dyDescent="0.3">
      <c r="A92" s="85" t="s">
        <v>188</v>
      </c>
    </row>
    <row r="93" spans="1:18" hidden="1" x14ac:dyDescent="0.3">
      <c r="A93" s="85" t="s">
        <v>189</v>
      </c>
    </row>
    <row r="94" spans="1:18" hidden="1" x14ac:dyDescent="0.3">
      <c r="A94" s="85" t="s">
        <v>190</v>
      </c>
    </row>
    <row r="95" spans="1:18" hidden="1" x14ac:dyDescent="0.3"/>
    <row r="96" spans="1:18" hidden="1" x14ac:dyDescent="0.3"/>
    <row r="97" ht="16.2" thickTop="1" x14ac:dyDescent="0.3"/>
  </sheetData>
  <mergeCells count="8">
    <mergeCell ref="I61:J61"/>
    <mergeCell ref="K61:L61"/>
    <mergeCell ref="M61:N61"/>
    <mergeCell ref="O61:P61"/>
    <mergeCell ref="I64:J64"/>
    <mergeCell ref="K64:L64"/>
    <mergeCell ref="M64:N64"/>
    <mergeCell ref="O64:P64"/>
  </mergeCells>
  <printOptions horizontalCentered="1"/>
  <pageMargins left="0.25" right="0.25" top="0.5" bottom="0.5" header="0.3" footer="0.3"/>
  <pageSetup paperSize="17" scale="65" orientation="landscape" r:id="rId1"/>
  <headerFooter>
    <oddFooter>&amp;R&amp;F;  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FEF0-3D9C-40E5-826C-D4F8565EC13D}">
  <sheetPr>
    <tabColor rgb="FFE8D3A2"/>
  </sheetPr>
  <dimension ref="A1:H13"/>
  <sheetViews>
    <sheetView workbookViewId="0">
      <selection activeCell="D13" sqref="D13"/>
    </sheetView>
  </sheetViews>
  <sheetFormatPr defaultRowHeight="13.2" x14ac:dyDescent="0.25"/>
  <cols>
    <col min="1" max="1" width="17.44140625" customWidth="1"/>
    <col min="2" max="3" width="12.109375" bestFit="1" customWidth="1"/>
    <col min="4" max="4" width="12.88671875" customWidth="1"/>
    <col min="5" max="5" width="13.6640625" bestFit="1" customWidth="1"/>
    <col min="6" max="7" width="14.6640625" bestFit="1" customWidth="1"/>
    <col min="8" max="8" width="13.6640625" bestFit="1" customWidth="1"/>
  </cols>
  <sheetData>
    <row r="1" spans="1:8" x14ac:dyDescent="0.25">
      <c r="A1" s="268" t="s">
        <v>243</v>
      </c>
      <c r="B1" s="268">
        <v>2015</v>
      </c>
      <c r="C1" s="268">
        <v>2016</v>
      </c>
      <c r="D1" s="268">
        <v>2017</v>
      </c>
      <c r="E1" s="268">
        <v>2018</v>
      </c>
      <c r="F1" s="268">
        <v>2019</v>
      </c>
      <c r="G1" s="268">
        <v>2020</v>
      </c>
      <c r="H1" s="268">
        <v>2021</v>
      </c>
    </row>
    <row r="2" spans="1:8" x14ac:dyDescent="0.25">
      <c r="A2" s="268" t="s">
        <v>320</v>
      </c>
      <c r="B2" s="269">
        <v>328100.39999999997</v>
      </c>
      <c r="C2" s="269">
        <v>374671.49300000002</v>
      </c>
      <c r="D2" s="269">
        <v>839877.15000000014</v>
      </c>
      <c r="E2" s="269">
        <v>9161928.1600000001</v>
      </c>
      <c r="F2" s="269">
        <v>43843094.739999995</v>
      </c>
      <c r="G2" s="269">
        <v>28496488.300245259</v>
      </c>
      <c r="H2" s="269">
        <v>2299448.1323249619</v>
      </c>
    </row>
    <row r="3" spans="1:8" x14ac:dyDescent="0.25">
      <c r="A3" s="268" t="s">
        <v>321</v>
      </c>
      <c r="B3" s="271">
        <f>B2</f>
        <v>328100.39999999997</v>
      </c>
      <c r="C3" s="271">
        <f t="shared" ref="C3:H3" si="0">B3+C2</f>
        <v>702771.89299999992</v>
      </c>
      <c r="D3" s="271">
        <f t="shared" si="0"/>
        <v>1542649.0430000001</v>
      </c>
      <c r="E3" s="271">
        <f t="shared" si="0"/>
        <v>10704577.203</v>
      </c>
      <c r="F3" s="271">
        <f t="shared" si="0"/>
        <v>54547671.942999996</v>
      </c>
      <c r="G3" s="271">
        <f t="shared" si="0"/>
        <v>83044160.243245259</v>
      </c>
      <c r="H3" s="271">
        <f t="shared" si="0"/>
        <v>85343608.375570223</v>
      </c>
    </row>
    <row r="13" spans="1:8" ht="13.8" x14ac:dyDescent="0.25">
      <c r="D13" s="27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63C74"/>
    <pageSetUpPr fitToPage="1"/>
  </sheetPr>
  <dimension ref="A1:S96"/>
  <sheetViews>
    <sheetView zoomScale="80" zoomScaleNormal="80" zoomScaleSheetLayoutView="80" workbookViewId="0">
      <pane xSplit="1" ySplit="3" topLeftCell="B4" activePane="bottomRight" state="frozen"/>
      <selection activeCell="H112" sqref="H112"/>
      <selection pane="topRight" activeCell="H112" sqref="H112"/>
      <selection pane="bottomLeft" activeCell="H112" sqref="H112"/>
      <selection pane="bottomRight" activeCell="J111" sqref="J111"/>
    </sheetView>
  </sheetViews>
  <sheetFormatPr defaultColWidth="9.109375" defaultRowHeight="15.6" x14ac:dyDescent="0.3"/>
  <cols>
    <col min="1" max="1" width="39.5546875" style="85" customWidth="1"/>
    <col min="2" max="2" width="21" style="85" customWidth="1"/>
    <col min="3" max="3" width="23.109375" style="85" customWidth="1"/>
    <col min="4" max="4" width="5.44140625" style="85" hidden="1" customWidth="1"/>
    <col min="5" max="5" width="14.33203125" style="86" hidden="1" customWidth="1"/>
    <col min="6" max="6" width="14.88671875" style="95" hidden="1" customWidth="1"/>
    <col min="7" max="8" width="11.88671875" style="95" customWidth="1"/>
    <col min="9" max="9" width="12.33203125" style="95" bestFit="1" customWidth="1"/>
    <col min="10" max="10" width="11.88671875" style="95" customWidth="1"/>
    <col min="11" max="11" width="14.44140625" style="95" bestFit="1" customWidth="1"/>
    <col min="12" max="12" width="12.33203125" style="95" bestFit="1" customWidth="1"/>
    <col min="13" max="13" width="14.44140625" style="95" bestFit="1" customWidth="1"/>
    <col min="14" max="14" width="12.33203125" style="95" bestFit="1" customWidth="1"/>
    <col min="15" max="15" width="14.44140625" style="95" bestFit="1" customWidth="1"/>
    <col min="16" max="16" width="11.88671875" style="85" customWidth="1"/>
    <col min="17" max="17" width="78.6640625" style="88" customWidth="1"/>
    <col min="18" max="18" width="11.5546875" style="85" bestFit="1" customWidth="1"/>
    <col min="19" max="20" width="13.33203125" style="85" bestFit="1" customWidth="1"/>
    <col min="21" max="16384" width="9.109375" style="85"/>
  </cols>
  <sheetData>
    <row r="1" spans="1:19" s="86" customFormat="1" x14ac:dyDescent="0.3">
      <c r="A1" s="195" t="s">
        <v>109</v>
      </c>
      <c r="B1" s="195"/>
      <c r="D1" s="196" t="s">
        <v>241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/>
    </row>
    <row r="2" spans="1:19" s="86" customFormat="1" x14ac:dyDescent="0.3">
      <c r="F2" s="95"/>
      <c r="G2" s="87"/>
      <c r="H2" s="87"/>
      <c r="I2" s="87"/>
      <c r="J2" s="87"/>
      <c r="K2" s="87"/>
      <c r="L2" s="87"/>
      <c r="M2" s="87"/>
      <c r="N2" s="87"/>
      <c r="O2" s="87"/>
      <c r="P2" s="87"/>
      <c r="Q2" s="110"/>
    </row>
    <row r="3" spans="1:19" s="94" customFormat="1" ht="44.4" customHeight="1" thickBot="1" x14ac:dyDescent="0.35">
      <c r="A3" s="89" t="s">
        <v>1</v>
      </c>
      <c r="B3" s="89" t="s">
        <v>294</v>
      </c>
      <c r="C3" s="89" t="s">
        <v>2</v>
      </c>
      <c r="D3" s="89" t="s">
        <v>3</v>
      </c>
      <c r="E3" s="89" t="s">
        <v>0</v>
      </c>
      <c r="F3" s="90" t="s">
        <v>4</v>
      </c>
      <c r="G3" s="91" t="s">
        <v>86</v>
      </c>
      <c r="H3" s="92" t="s">
        <v>87</v>
      </c>
      <c r="I3" s="91" t="s">
        <v>88</v>
      </c>
      <c r="J3" s="92" t="s">
        <v>89</v>
      </c>
      <c r="K3" s="91" t="s">
        <v>90</v>
      </c>
      <c r="L3" s="92" t="s">
        <v>91</v>
      </c>
      <c r="M3" s="91" t="s">
        <v>92</v>
      </c>
      <c r="N3" s="92" t="s">
        <v>93</v>
      </c>
      <c r="O3" s="91" t="s">
        <v>169</v>
      </c>
      <c r="P3" s="92" t="s">
        <v>168</v>
      </c>
      <c r="Q3" s="93" t="s">
        <v>39</v>
      </c>
    </row>
    <row r="4" spans="1:19" s="86" customFormat="1" hidden="1" x14ac:dyDescent="0.3">
      <c r="A4" s="94" t="s">
        <v>6</v>
      </c>
      <c r="B4" s="94"/>
      <c r="C4" s="86" t="s">
        <v>7</v>
      </c>
      <c r="D4" s="86" t="s">
        <v>8</v>
      </c>
      <c r="E4" s="86" t="s">
        <v>5</v>
      </c>
      <c r="F4" s="95"/>
      <c r="G4" s="96"/>
      <c r="H4" s="97"/>
      <c r="I4" s="96"/>
      <c r="J4" s="98"/>
      <c r="K4" s="96"/>
      <c r="L4" s="97">
        <v>-14499</v>
      </c>
      <c r="M4" s="96"/>
      <c r="N4" s="97">
        <v>-38664</v>
      </c>
      <c r="O4" s="96"/>
      <c r="P4" s="97">
        <v>-48330</v>
      </c>
      <c r="Q4" s="99" t="s">
        <v>40</v>
      </c>
    </row>
    <row r="5" spans="1:19" s="86" customFormat="1" hidden="1" x14ac:dyDescent="0.3">
      <c r="A5" s="100" t="s">
        <v>12</v>
      </c>
      <c r="B5" s="100"/>
      <c r="C5" s="101" t="s">
        <v>13</v>
      </c>
      <c r="D5" s="101" t="s">
        <v>161</v>
      </c>
      <c r="E5" s="101" t="s">
        <v>11</v>
      </c>
      <c r="F5" s="102">
        <v>-76846</v>
      </c>
      <c r="G5" s="105"/>
      <c r="H5" s="104"/>
      <c r="I5" s="103"/>
      <c r="J5" s="104"/>
      <c r="K5" s="103"/>
      <c r="L5" s="106">
        <f>-40333*0.7</f>
        <v>-28233.1</v>
      </c>
      <c r="M5" s="103"/>
      <c r="N5" s="106">
        <v>-40333</v>
      </c>
      <c r="O5" s="103"/>
      <c r="P5" s="106">
        <v>-40333</v>
      </c>
      <c r="Q5" s="107" t="s">
        <v>41</v>
      </c>
      <c r="R5" s="108"/>
    </row>
    <row r="6" spans="1:19" s="86" customFormat="1" hidden="1" x14ac:dyDescent="0.3">
      <c r="A6" s="94" t="s">
        <v>27</v>
      </c>
      <c r="B6" s="94"/>
      <c r="C6" s="86" t="s">
        <v>28</v>
      </c>
      <c r="D6" s="86" t="s">
        <v>29</v>
      </c>
      <c r="E6" s="86" t="s">
        <v>26</v>
      </c>
      <c r="F6" s="95"/>
      <c r="G6" s="96">
        <v>-102975</v>
      </c>
      <c r="H6" s="97">
        <v>0</v>
      </c>
      <c r="I6" s="96">
        <v>-50326</v>
      </c>
      <c r="J6" s="98"/>
      <c r="K6" s="96">
        <v>-667038</v>
      </c>
      <c r="L6" s="97"/>
      <c r="M6" s="96">
        <v>-1648000</v>
      </c>
      <c r="N6" s="97"/>
      <c r="O6" s="96">
        <v>-2783960</v>
      </c>
      <c r="P6" s="109"/>
      <c r="Q6" s="110" t="s">
        <v>42</v>
      </c>
    </row>
    <row r="7" spans="1:19" s="86" customFormat="1" ht="31.2" hidden="1" x14ac:dyDescent="0.3">
      <c r="A7" s="94" t="s">
        <v>307</v>
      </c>
      <c r="B7" s="94"/>
      <c r="C7" s="86" t="s">
        <v>28</v>
      </c>
      <c r="D7" s="86" t="s">
        <v>29</v>
      </c>
      <c r="E7" s="86" t="s">
        <v>26</v>
      </c>
      <c r="F7" s="95"/>
      <c r="G7" s="96"/>
      <c r="H7" s="97"/>
      <c r="I7" s="174"/>
      <c r="J7" s="98"/>
      <c r="K7" s="96"/>
      <c r="L7" s="97">
        <f>K6*0.36</f>
        <v>-240133.68</v>
      </c>
      <c r="M7" s="96"/>
      <c r="N7" s="97">
        <f>M6*0.36</f>
        <v>-593280</v>
      </c>
      <c r="O7" s="96"/>
      <c r="P7" s="97">
        <f>O6*0.36</f>
        <v>-1002225.6</v>
      </c>
      <c r="Q7" s="110" t="s">
        <v>43</v>
      </c>
    </row>
    <row r="8" spans="1:19" s="86" customFormat="1" ht="31.2" hidden="1" x14ac:dyDescent="0.3">
      <c r="A8" s="94" t="s">
        <v>230</v>
      </c>
      <c r="B8" s="94"/>
      <c r="C8" s="86" t="s">
        <v>28</v>
      </c>
      <c r="D8" s="86" t="s">
        <v>67</v>
      </c>
      <c r="E8" s="86" t="s">
        <v>26</v>
      </c>
      <c r="F8" s="95">
        <v>-973467</v>
      </c>
      <c r="G8" s="111"/>
      <c r="H8" s="112"/>
      <c r="I8" s="111">
        <v>0</v>
      </c>
      <c r="J8" s="112"/>
      <c r="K8" s="111">
        <v>0</v>
      </c>
      <c r="L8" s="112"/>
      <c r="M8" s="111">
        <v>400000</v>
      </c>
      <c r="N8" s="112"/>
      <c r="O8" s="111">
        <v>-882008.09050867404</v>
      </c>
      <c r="P8" s="113"/>
      <c r="Q8" s="99" t="s">
        <v>231</v>
      </c>
      <c r="R8" s="114"/>
    </row>
    <row r="9" spans="1:19" s="86" customFormat="1" ht="46.8" hidden="1" x14ac:dyDescent="0.3">
      <c r="A9" s="100" t="s">
        <v>160</v>
      </c>
      <c r="B9" s="100"/>
      <c r="C9" s="101" t="s">
        <v>16</v>
      </c>
      <c r="D9" s="101" t="s">
        <v>161</v>
      </c>
      <c r="E9" s="101" t="s">
        <v>11</v>
      </c>
      <c r="F9" s="102"/>
      <c r="G9" s="105"/>
      <c r="H9" s="104"/>
      <c r="I9" s="103"/>
      <c r="J9" s="104"/>
      <c r="K9" s="103"/>
      <c r="L9" s="106"/>
      <c r="M9" s="103"/>
      <c r="N9" s="106"/>
      <c r="O9" s="103"/>
      <c r="P9" s="106"/>
      <c r="Q9" s="107" t="s">
        <v>179</v>
      </c>
      <c r="R9" s="108"/>
    </row>
    <row r="10" spans="1:19" s="86" customFormat="1" ht="46.8" hidden="1" x14ac:dyDescent="0.3">
      <c r="A10" s="100" t="s">
        <v>162</v>
      </c>
      <c r="B10" s="100"/>
      <c r="C10" s="101" t="s">
        <v>16</v>
      </c>
      <c r="D10" s="101" t="s">
        <v>161</v>
      </c>
      <c r="E10" s="101" t="s">
        <v>11</v>
      </c>
      <c r="F10" s="102"/>
      <c r="G10" s="105"/>
      <c r="H10" s="104"/>
      <c r="I10" s="103"/>
      <c r="J10" s="104"/>
      <c r="K10" s="103"/>
      <c r="L10" s="106"/>
      <c r="M10" s="103"/>
      <c r="N10" s="106"/>
      <c r="O10" s="103"/>
      <c r="P10" s="106"/>
      <c r="Q10" s="107" t="s">
        <v>179</v>
      </c>
      <c r="R10" s="108"/>
    </row>
    <row r="11" spans="1:19" s="86" customFormat="1" ht="46.8" hidden="1" x14ac:dyDescent="0.3">
      <c r="A11" s="100" t="s">
        <v>163</v>
      </c>
      <c r="B11" s="100"/>
      <c r="C11" s="101" t="s">
        <v>16</v>
      </c>
      <c r="D11" s="101" t="s">
        <v>161</v>
      </c>
      <c r="E11" s="101" t="s">
        <v>11</v>
      </c>
      <c r="F11" s="102">
        <v>-10800</v>
      </c>
      <c r="G11" s="105"/>
      <c r="H11" s="104"/>
      <c r="I11" s="103"/>
      <c r="J11" s="104"/>
      <c r="K11" s="103"/>
      <c r="L11" s="106"/>
      <c r="M11" s="103"/>
      <c r="N11" s="106"/>
      <c r="O11" s="103"/>
      <c r="P11" s="106"/>
      <c r="Q11" s="107" t="s">
        <v>179</v>
      </c>
      <c r="R11" s="108"/>
    </row>
    <row r="12" spans="1:19" s="108" customFormat="1" hidden="1" x14ac:dyDescent="0.3">
      <c r="A12" s="115" t="s">
        <v>202</v>
      </c>
      <c r="B12" s="115"/>
      <c r="C12" s="116" t="s">
        <v>20</v>
      </c>
      <c r="D12" s="116" t="s">
        <v>191</v>
      </c>
      <c r="E12" s="116" t="s">
        <v>11</v>
      </c>
      <c r="F12" s="117">
        <v>-46000</v>
      </c>
      <c r="G12" s="103"/>
      <c r="H12" s="106"/>
      <c r="I12" s="118"/>
      <c r="J12" s="117">
        <v>-11100</v>
      </c>
      <c r="K12" s="118"/>
      <c r="L12" s="117">
        <v>-46000</v>
      </c>
      <c r="M12" s="118"/>
      <c r="N12" s="117">
        <v>-46000</v>
      </c>
      <c r="O12" s="118"/>
      <c r="P12" s="117">
        <v>-46000</v>
      </c>
      <c r="Q12" s="99" t="s">
        <v>182</v>
      </c>
      <c r="R12" s="119"/>
    </row>
    <row r="13" spans="1:19" s="108" customFormat="1" hidden="1" x14ac:dyDescent="0.3">
      <c r="A13" s="120" t="s">
        <v>174</v>
      </c>
      <c r="B13" s="120"/>
      <c r="C13" s="86" t="s">
        <v>7</v>
      </c>
      <c r="D13" s="86" t="s">
        <v>8</v>
      </c>
      <c r="E13" s="86" t="s">
        <v>5</v>
      </c>
      <c r="F13" s="117"/>
      <c r="G13" s="103"/>
      <c r="H13" s="106"/>
      <c r="I13" s="118"/>
      <c r="J13" s="106">
        <v>-12600</v>
      </c>
      <c r="K13" s="118"/>
      <c r="L13" s="106">
        <v>-12600</v>
      </c>
      <c r="M13" s="118"/>
      <c r="N13" s="106">
        <v>-12600</v>
      </c>
      <c r="O13" s="118"/>
      <c r="P13" s="106">
        <v>-12600</v>
      </c>
      <c r="Q13" s="99"/>
      <c r="R13" s="119"/>
    </row>
    <row r="14" spans="1:19" s="108" customFormat="1" hidden="1" x14ac:dyDescent="0.3">
      <c r="A14" s="120" t="s">
        <v>175</v>
      </c>
      <c r="B14" s="120"/>
      <c r="C14" s="86" t="s">
        <v>7</v>
      </c>
      <c r="D14" s="86" t="s">
        <v>8</v>
      </c>
      <c r="E14" s="86" t="s">
        <v>5</v>
      </c>
      <c r="F14" s="117"/>
      <c r="G14" s="103"/>
      <c r="H14" s="106"/>
      <c r="I14" s="118"/>
      <c r="J14" s="106"/>
      <c r="K14" s="118"/>
      <c r="L14" s="106">
        <v>0</v>
      </c>
      <c r="M14" s="118"/>
      <c r="N14" s="106">
        <v>-44239.37</v>
      </c>
      <c r="O14" s="118"/>
      <c r="P14" s="106">
        <v>-44239.37</v>
      </c>
      <c r="Q14" s="99"/>
      <c r="R14" s="119"/>
    </row>
    <row r="15" spans="1:19" s="122" customFormat="1" hidden="1" x14ac:dyDescent="0.3">
      <c r="A15" s="121" t="s">
        <v>35</v>
      </c>
      <c r="B15" s="165"/>
      <c r="C15" s="122" t="s">
        <v>36</v>
      </c>
      <c r="D15" s="122" t="s">
        <v>37</v>
      </c>
      <c r="E15" s="122" t="s">
        <v>38</v>
      </c>
      <c r="F15" s="123">
        <f>(F6+F8)*0.62</f>
        <v>-603549.54</v>
      </c>
      <c r="G15" s="125"/>
      <c r="H15" s="124"/>
      <c r="I15" s="126"/>
      <c r="J15" s="127"/>
      <c r="K15" s="125">
        <f>(K6+K8)*0.63</f>
        <v>-420233.94</v>
      </c>
      <c r="L15" s="124"/>
      <c r="M15" s="125">
        <f>(M6+M8)*0.63</f>
        <v>-786240</v>
      </c>
      <c r="N15" s="124"/>
      <c r="O15" s="125">
        <f>(O6+O8)*0.63</f>
        <v>-2309559.8970204648</v>
      </c>
      <c r="P15" s="128"/>
      <c r="Q15" s="129" t="s">
        <v>44</v>
      </c>
    </row>
    <row r="16" spans="1:19" s="86" customFormat="1" ht="31.2" hidden="1" x14ac:dyDescent="0.3">
      <c r="A16" s="94" t="s">
        <v>159</v>
      </c>
      <c r="B16" s="94" t="s">
        <v>285</v>
      </c>
      <c r="C16" s="101" t="s">
        <v>9</v>
      </c>
      <c r="D16" s="86" t="s">
        <v>10</v>
      </c>
      <c r="E16" s="86" t="s">
        <v>5</v>
      </c>
      <c r="F16" s="95"/>
      <c r="G16" s="96"/>
      <c r="H16" s="97"/>
      <c r="I16" s="96">
        <f>(F16*1.03)</f>
        <v>0</v>
      </c>
      <c r="J16" s="97"/>
      <c r="K16" s="96">
        <f>F16*1.06</f>
        <v>0</v>
      </c>
      <c r="L16" s="97"/>
      <c r="M16" s="96">
        <f>K16*1.03</f>
        <v>0</v>
      </c>
      <c r="N16" s="97"/>
      <c r="O16" s="96">
        <f t="shared" ref="O16:O19" si="0">M16*1.03</f>
        <v>0</v>
      </c>
      <c r="P16" s="109"/>
      <c r="Q16" s="110" t="s">
        <v>286</v>
      </c>
      <c r="R16" s="114"/>
      <c r="S16" s="139"/>
    </row>
    <row r="17" spans="1:19" s="86" customFormat="1" hidden="1" x14ac:dyDescent="0.3">
      <c r="A17" s="94" t="s">
        <v>164</v>
      </c>
      <c r="B17" s="94" t="s">
        <v>247</v>
      </c>
      <c r="C17" s="101" t="s">
        <v>164</v>
      </c>
      <c r="D17" s="86" t="s">
        <v>165</v>
      </c>
      <c r="E17" s="86" t="s">
        <v>11</v>
      </c>
      <c r="F17" s="95">
        <v>100000</v>
      </c>
      <c r="G17" s="96"/>
      <c r="H17" s="97"/>
      <c r="I17" s="96">
        <v>0</v>
      </c>
      <c r="J17" s="97"/>
      <c r="K17" s="96">
        <v>0</v>
      </c>
      <c r="L17" s="97"/>
      <c r="M17" s="96"/>
      <c r="N17" s="97"/>
      <c r="O17" s="96">
        <f t="shared" si="0"/>
        <v>0</v>
      </c>
      <c r="P17" s="109"/>
      <c r="Q17" s="110" t="s">
        <v>280</v>
      </c>
      <c r="R17" s="114"/>
      <c r="S17" s="139"/>
    </row>
    <row r="18" spans="1:19" s="86" customFormat="1" hidden="1" x14ac:dyDescent="0.3">
      <c r="A18" s="94" t="s">
        <v>15</v>
      </c>
      <c r="B18" s="94" t="s">
        <v>248</v>
      </c>
      <c r="C18" s="101" t="s">
        <v>13</v>
      </c>
      <c r="D18" s="86" t="s">
        <v>166</v>
      </c>
      <c r="E18" s="86" t="s">
        <v>11</v>
      </c>
      <c r="F18" s="198">
        <v>114000</v>
      </c>
      <c r="G18" s="96"/>
      <c r="H18" s="97"/>
      <c r="I18" s="96">
        <f>F18*0.53</f>
        <v>60420</v>
      </c>
      <c r="J18" s="97"/>
      <c r="K18" s="96">
        <f>F18*1.06</f>
        <v>120840</v>
      </c>
      <c r="L18" s="97"/>
      <c r="M18" s="96">
        <f>(+F18*1.09)*0.25</f>
        <v>31065.000000000004</v>
      </c>
      <c r="N18" s="97"/>
      <c r="O18" s="96">
        <f t="shared" si="0"/>
        <v>31996.950000000004</v>
      </c>
      <c r="P18" s="109"/>
      <c r="Q18" s="199" t="s">
        <v>308</v>
      </c>
      <c r="R18" s="114"/>
      <c r="S18" s="139"/>
    </row>
    <row r="19" spans="1:19" s="108" customFormat="1" hidden="1" x14ac:dyDescent="0.3">
      <c r="A19" s="94" t="s">
        <v>15</v>
      </c>
      <c r="B19" s="94" t="s">
        <v>249</v>
      </c>
      <c r="C19" s="101" t="s">
        <v>13</v>
      </c>
      <c r="D19" s="86" t="s">
        <v>166</v>
      </c>
      <c r="E19" s="86" t="s">
        <v>11</v>
      </c>
      <c r="F19" s="198">
        <v>102000</v>
      </c>
      <c r="G19" s="96"/>
      <c r="H19" s="97"/>
      <c r="I19" s="96">
        <f>F19*0.53</f>
        <v>54060</v>
      </c>
      <c r="J19" s="97"/>
      <c r="K19" s="96">
        <f>F19*1.06</f>
        <v>108120</v>
      </c>
      <c r="L19" s="97"/>
      <c r="M19" s="96">
        <f>(+F19*1.09)*0.25</f>
        <v>27795.000000000004</v>
      </c>
      <c r="N19" s="97"/>
      <c r="O19" s="96">
        <f t="shared" si="0"/>
        <v>28628.850000000006</v>
      </c>
      <c r="P19" s="109"/>
      <c r="Q19" s="199" t="s">
        <v>308</v>
      </c>
      <c r="R19" s="119"/>
      <c r="S19" s="200"/>
    </row>
    <row r="20" spans="1:19" s="108" customFormat="1" hidden="1" x14ac:dyDescent="0.3">
      <c r="A20" s="94" t="s">
        <v>282</v>
      </c>
      <c r="B20" s="94" t="s">
        <v>283</v>
      </c>
      <c r="C20" s="101" t="s">
        <v>284</v>
      </c>
      <c r="D20" s="86" t="s">
        <v>166</v>
      </c>
      <c r="E20" s="86" t="s">
        <v>11</v>
      </c>
      <c r="F20" s="198">
        <v>100000</v>
      </c>
      <c r="G20" s="96"/>
      <c r="H20" s="97"/>
      <c r="I20" s="96">
        <v>0</v>
      </c>
      <c r="J20" s="97"/>
      <c r="K20" s="96">
        <v>0</v>
      </c>
      <c r="L20" s="97"/>
      <c r="M20" s="96">
        <f>(+F20*1.09)*0.7</f>
        <v>76300</v>
      </c>
      <c r="N20" s="97"/>
      <c r="O20" s="96">
        <f>M20*1.03</f>
        <v>78589</v>
      </c>
      <c r="P20" s="109"/>
      <c r="Q20" s="199" t="s">
        <v>290</v>
      </c>
      <c r="R20" s="119"/>
      <c r="S20" s="200"/>
    </row>
    <row r="21" spans="1:19" s="86" customFormat="1" hidden="1" x14ac:dyDescent="0.3">
      <c r="A21" s="94" t="s">
        <v>101</v>
      </c>
      <c r="B21" s="94" t="s">
        <v>250</v>
      </c>
      <c r="C21" s="101" t="s">
        <v>16</v>
      </c>
      <c r="D21" s="86" t="s">
        <v>14</v>
      </c>
      <c r="E21" s="86" t="s">
        <v>11</v>
      </c>
      <c r="F21" s="95">
        <v>100000</v>
      </c>
      <c r="G21" s="141"/>
      <c r="H21" s="142"/>
      <c r="I21" s="141"/>
      <c r="J21" s="142"/>
      <c r="K21" s="96">
        <f>($F$21*1.06)*0.1</f>
        <v>10600</v>
      </c>
      <c r="L21" s="142"/>
      <c r="M21" s="96">
        <f>(+F21*1.09)</f>
        <v>109000.00000000001</v>
      </c>
      <c r="N21" s="96"/>
      <c r="O21" s="96">
        <f>M21*1.03</f>
        <v>112270.00000000001</v>
      </c>
      <c r="P21" s="109"/>
      <c r="Q21" s="110" t="s">
        <v>318</v>
      </c>
      <c r="R21" s="114"/>
      <c r="S21" s="139"/>
    </row>
    <row r="22" spans="1:19" s="86" customFormat="1" hidden="1" x14ac:dyDescent="0.3">
      <c r="A22" s="94" t="s">
        <v>232</v>
      </c>
      <c r="B22" s="94" t="s">
        <v>303</v>
      </c>
      <c r="C22" s="101" t="s">
        <v>17</v>
      </c>
      <c r="D22" s="86" t="s">
        <v>18</v>
      </c>
      <c r="E22" s="86" t="s">
        <v>11</v>
      </c>
      <c r="F22" s="95">
        <v>63494</v>
      </c>
      <c r="G22" s="141"/>
      <c r="H22" s="142"/>
      <c r="I22" s="103">
        <f>F22</f>
        <v>63494</v>
      </c>
      <c r="J22" s="106"/>
      <c r="K22" s="96">
        <f>F22*1.06</f>
        <v>67303.64</v>
      </c>
      <c r="L22" s="106"/>
      <c r="M22" s="103"/>
      <c r="N22" s="106"/>
      <c r="O22" s="103"/>
      <c r="P22" s="109"/>
      <c r="Q22" s="110" t="s">
        <v>300</v>
      </c>
      <c r="R22" s="114"/>
      <c r="S22" s="139"/>
    </row>
    <row r="23" spans="1:19" s="86" customFormat="1" hidden="1" x14ac:dyDescent="0.3">
      <c r="A23" s="94" t="s">
        <v>170</v>
      </c>
      <c r="B23" s="94" t="s">
        <v>251</v>
      </c>
      <c r="C23" s="101" t="s">
        <v>17</v>
      </c>
      <c r="D23" s="86" t="s">
        <v>18</v>
      </c>
      <c r="E23" s="86" t="s">
        <v>11</v>
      </c>
      <c r="F23" s="95">
        <v>114162</v>
      </c>
      <c r="G23" s="96"/>
      <c r="H23" s="97"/>
      <c r="I23" s="96">
        <v>0</v>
      </c>
      <c r="J23" s="97"/>
      <c r="K23" s="96">
        <v>0</v>
      </c>
      <c r="L23" s="97"/>
      <c r="M23" s="96">
        <f>I23*0.5</f>
        <v>0</v>
      </c>
      <c r="N23" s="97"/>
      <c r="O23" s="96">
        <f>I23*0.25</f>
        <v>0</v>
      </c>
      <c r="P23" s="109"/>
      <c r="Q23" s="199" t="s">
        <v>319</v>
      </c>
      <c r="R23" s="201"/>
      <c r="S23" s="139"/>
    </row>
    <row r="24" spans="1:19" s="86" customFormat="1" hidden="1" x14ac:dyDescent="0.3">
      <c r="A24" s="202" t="s">
        <v>255</v>
      </c>
      <c r="B24" s="94" t="s">
        <v>246</v>
      </c>
      <c r="C24" s="101" t="s">
        <v>17</v>
      </c>
      <c r="D24" s="86" t="s">
        <v>18</v>
      </c>
      <c r="E24" s="86" t="s">
        <v>11</v>
      </c>
      <c r="F24" s="198">
        <v>116000</v>
      </c>
      <c r="G24" s="96"/>
      <c r="H24" s="97"/>
      <c r="I24" s="96">
        <v>0</v>
      </c>
      <c r="J24" s="97"/>
      <c r="K24" s="96">
        <f>(F24*1.06)*0.75</f>
        <v>92220</v>
      </c>
      <c r="L24" s="97"/>
      <c r="M24" s="96">
        <f>F24*1.06</f>
        <v>122960</v>
      </c>
      <c r="N24" s="97"/>
      <c r="O24" s="96">
        <f>M24</f>
        <v>122960</v>
      </c>
      <c r="P24" s="109"/>
      <c r="Q24" s="110" t="s">
        <v>281</v>
      </c>
      <c r="R24" s="114"/>
      <c r="S24" s="139"/>
    </row>
    <row r="25" spans="1:19" s="205" customFormat="1" ht="31.2" hidden="1" x14ac:dyDescent="0.3">
      <c r="A25" s="143" t="s">
        <v>19</v>
      </c>
      <c r="B25" s="143" t="s">
        <v>301</v>
      </c>
      <c r="C25" s="101" t="s">
        <v>17</v>
      </c>
      <c r="D25" s="144" t="s">
        <v>18</v>
      </c>
      <c r="E25" s="144" t="s">
        <v>11</v>
      </c>
      <c r="F25" s="95">
        <v>84800</v>
      </c>
      <c r="G25" s="96"/>
      <c r="H25" s="97"/>
      <c r="I25" s="96">
        <v>0</v>
      </c>
      <c r="J25" s="97"/>
      <c r="K25" s="96"/>
      <c r="L25" s="97"/>
      <c r="M25" s="96"/>
      <c r="N25" s="97"/>
      <c r="O25" s="96"/>
      <c r="P25" s="109"/>
      <c r="Q25" s="110" t="s">
        <v>304</v>
      </c>
      <c r="R25" s="203"/>
      <c r="S25" s="204"/>
    </row>
    <row r="26" spans="1:19" s="116" customFormat="1" ht="31.5" hidden="1" customHeight="1" x14ac:dyDescent="0.3">
      <c r="A26" s="94" t="s">
        <v>299</v>
      </c>
      <c r="B26" s="94" t="s">
        <v>302</v>
      </c>
      <c r="C26" s="101" t="s">
        <v>30</v>
      </c>
      <c r="D26" s="86" t="s">
        <v>31</v>
      </c>
      <c r="E26" s="86" t="s">
        <v>26</v>
      </c>
      <c r="F26" s="95">
        <v>100000</v>
      </c>
      <c r="G26" s="145">
        <f>25000</f>
        <v>25000</v>
      </c>
      <c r="H26" s="206"/>
      <c r="I26" s="96">
        <f>+F26*1.03</f>
        <v>103000</v>
      </c>
      <c r="J26" s="97"/>
      <c r="K26" s="96">
        <f>F26*1.06</f>
        <v>106000</v>
      </c>
      <c r="L26" s="97"/>
      <c r="M26" s="96">
        <f>K26*1.06</f>
        <v>112360</v>
      </c>
      <c r="N26" s="97"/>
      <c r="O26" s="96">
        <f t="shared" ref="O26:O42" si="1">M26*1.03</f>
        <v>115730.8</v>
      </c>
      <c r="P26" s="109"/>
      <c r="Q26" s="110" t="s">
        <v>298</v>
      </c>
      <c r="R26" s="146"/>
    </row>
    <row r="27" spans="1:19" s="116" customFormat="1" hidden="1" x14ac:dyDescent="0.3">
      <c r="A27" s="202" t="s">
        <v>255</v>
      </c>
      <c r="B27" s="202" t="s">
        <v>256</v>
      </c>
      <c r="C27" s="207" t="s">
        <v>17</v>
      </c>
      <c r="D27" s="202" t="s">
        <v>18</v>
      </c>
      <c r="E27" s="202" t="s">
        <v>11</v>
      </c>
      <c r="F27" s="198">
        <f>115000*0.75</f>
        <v>86250</v>
      </c>
      <c r="G27" s="206"/>
      <c r="H27" s="96"/>
      <c r="I27" s="96">
        <v>0</v>
      </c>
      <c r="J27" s="96"/>
      <c r="K27" s="96">
        <f>(F27*1.06)*0.5</f>
        <v>45712.5</v>
      </c>
      <c r="L27" s="96"/>
      <c r="M27" s="96">
        <f>K27*1.06</f>
        <v>48455.25</v>
      </c>
      <c r="N27" s="96"/>
      <c r="O27" s="96">
        <f t="shared" si="1"/>
        <v>49908.907500000001</v>
      </c>
      <c r="P27" s="110"/>
      <c r="Q27" s="199" t="s">
        <v>290</v>
      </c>
    </row>
    <row r="28" spans="1:19" s="116" customFormat="1" ht="15.75" hidden="1" customHeight="1" x14ac:dyDescent="0.3">
      <c r="A28" s="202" t="s">
        <v>257</v>
      </c>
      <c r="B28" s="202" t="s">
        <v>258</v>
      </c>
      <c r="C28" s="207" t="s">
        <v>13</v>
      </c>
      <c r="D28" s="277" t="s">
        <v>333</v>
      </c>
      <c r="E28" s="202" t="s">
        <v>11</v>
      </c>
      <c r="F28" s="198">
        <f>(107000)*0.75</f>
        <v>80250</v>
      </c>
      <c r="G28" s="206"/>
      <c r="H28" s="96"/>
      <c r="I28" s="96">
        <v>0</v>
      </c>
      <c r="J28" s="96"/>
      <c r="K28" s="96">
        <f>(F28*1.06)*0.5</f>
        <v>42532.5</v>
      </c>
      <c r="L28" s="96"/>
      <c r="M28" s="96">
        <f>K28*1.06</f>
        <v>45084.450000000004</v>
      </c>
      <c r="N28" s="96"/>
      <c r="O28" s="96">
        <f t="shared" si="1"/>
        <v>46436.983500000002</v>
      </c>
      <c r="P28" s="110"/>
      <c r="Q28" s="199" t="s">
        <v>290</v>
      </c>
    </row>
    <row r="29" spans="1:19" s="170" customFormat="1" x14ac:dyDescent="0.3">
      <c r="A29" s="237" t="s">
        <v>288</v>
      </c>
      <c r="B29" s="237" t="s">
        <v>289</v>
      </c>
      <c r="C29" s="241" t="s">
        <v>17</v>
      </c>
      <c r="D29" s="237" t="s">
        <v>18</v>
      </c>
      <c r="E29" s="237" t="s">
        <v>11</v>
      </c>
      <c r="F29" s="240">
        <v>100000</v>
      </c>
      <c r="G29" s="235"/>
      <c r="H29" s="222"/>
      <c r="I29" s="222"/>
      <c r="J29" s="222"/>
      <c r="K29" s="222">
        <f>(F29*1.06)*0.5</f>
        <v>53000</v>
      </c>
      <c r="L29" s="222"/>
      <c r="M29" s="222">
        <f>F29*1.06</f>
        <v>106000</v>
      </c>
      <c r="N29" s="222"/>
      <c r="O29" s="222">
        <f>F29*1.06</f>
        <v>106000</v>
      </c>
      <c r="P29" s="224"/>
      <c r="Q29" s="236" t="s">
        <v>297</v>
      </c>
    </row>
    <row r="30" spans="1:19" s="116" customFormat="1" hidden="1" x14ac:dyDescent="0.3">
      <c r="A30" s="202" t="s">
        <v>259</v>
      </c>
      <c r="B30" s="202" t="s">
        <v>260</v>
      </c>
      <c r="C30" s="207" t="s">
        <v>13</v>
      </c>
      <c r="D30" s="202" t="s">
        <v>166</v>
      </c>
      <c r="E30" s="202" t="s">
        <v>11</v>
      </c>
      <c r="F30" s="198">
        <v>150000</v>
      </c>
      <c r="G30" s="206"/>
      <c r="H30" s="96"/>
      <c r="I30" s="96">
        <v>0</v>
      </c>
      <c r="J30" s="96"/>
      <c r="K30" s="96">
        <f>(F30*1.06)*0.1</f>
        <v>15900</v>
      </c>
      <c r="L30" s="96"/>
      <c r="M30" s="96">
        <f>K30*1.06</f>
        <v>16854</v>
      </c>
      <c r="N30" s="96"/>
      <c r="O30" s="96">
        <f t="shared" si="1"/>
        <v>17359.62</v>
      </c>
      <c r="P30" s="110"/>
      <c r="Q30" s="199" t="s">
        <v>309</v>
      </c>
    </row>
    <row r="31" spans="1:19" s="116" customFormat="1" hidden="1" x14ac:dyDescent="0.3">
      <c r="A31" s="208" t="s">
        <v>261</v>
      </c>
      <c r="B31" s="202" t="s">
        <v>262</v>
      </c>
      <c r="C31" s="207" t="s">
        <v>263</v>
      </c>
      <c r="D31" s="202" t="s">
        <v>264</v>
      </c>
      <c r="E31" s="202" t="s">
        <v>26</v>
      </c>
      <c r="F31" s="198">
        <v>70000</v>
      </c>
      <c r="G31" s="206"/>
      <c r="H31" s="96"/>
      <c r="I31" s="96">
        <v>0</v>
      </c>
      <c r="J31" s="96"/>
      <c r="K31" s="96">
        <f>(F31*1.06)</f>
        <v>74200</v>
      </c>
      <c r="L31" s="96"/>
      <c r="M31" s="96">
        <f>K31*1.06</f>
        <v>78652</v>
      </c>
      <c r="N31" s="96"/>
      <c r="O31" s="96">
        <f t="shared" si="1"/>
        <v>81011.56</v>
      </c>
      <c r="P31" s="110"/>
      <c r="Q31" s="199" t="s">
        <v>290</v>
      </c>
    </row>
    <row r="32" spans="1:19" s="116" customFormat="1" hidden="1" x14ac:dyDescent="0.3">
      <c r="A32" s="208" t="s">
        <v>261</v>
      </c>
      <c r="B32" s="202" t="s">
        <v>265</v>
      </c>
      <c r="C32" s="207" t="s">
        <v>263</v>
      </c>
      <c r="D32" s="202" t="s">
        <v>264</v>
      </c>
      <c r="E32" s="202" t="s">
        <v>26</v>
      </c>
      <c r="F32" s="198">
        <v>65000</v>
      </c>
      <c r="G32" s="206"/>
      <c r="H32" s="96"/>
      <c r="I32" s="96">
        <v>0</v>
      </c>
      <c r="J32" s="96"/>
      <c r="K32" s="96">
        <f>(F32*1.06)</f>
        <v>68900</v>
      </c>
      <c r="L32" s="96"/>
      <c r="M32" s="96">
        <v>70967</v>
      </c>
      <c r="N32" s="96"/>
      <c r="O32" s="96">
        <v>73096.009999999995</v>
      </c>
      <c r="P32" s="110"/>
      <c r="Q32" s="199" t="s">
        <v>291</v>
      </c>
    </row>
    <row r="33" spans="1:19" s="116" customFormat="1" hidden="1" x14ac:dyDescent="0.3">
      <c r="A33" s="208" t="s">
        <v>292</v>
      </c>
      <c r="B33" s="202" t="s">
        <v>310</v>
      </c>
      <c r="C33" s="207" t="s">
        <v>263</v>
      </c>
      <c r="D33" s="202" t="s">
        <v>293</v>
      </c>
      <c r="E33" s="202" t="s">
        <v>26</v>
      </c>
      <c r="F33" s="198">
        <v>65000</v>
      </c>
      <c r="G33" s="206"/>
      <c r="H33" s="96"/>
      <c r="I33" s="96"/>
      <c r="J33" s="96"/>
      <c r="K33" s="96"/>
      <c r="L33" s="96"/>
      <c r="M33" s="96"/>
      <c r="N33" s="96"/>
      <c r="O33" s="96">
        <f>F33*1.03</f>
        <v>66950</v>
      </c>
      <c r="P33" s="110"/>
      <c r="Q33" s="199" t="s">
        <v>311</v>
      </c>
    </row>
    <row r="34" spans="1:19" s="116" customFormat="1" hidden="1" x14ac:dyDescent="0.3">
      <c r="A34" s="202" t="s">
        <v>287</v>
      </c>
      <c r="B34" s="202" t="s">
        <v>252</v>
      </c>
      <c r="C34" s="209" t="s">
        <v>266</v>
      </c>
      <c r="D34" s="210" t="s">
        <v>267</v>
      </c>
      <c r="E34" s="202" t="s">
        <v>26</v>
      </c>
      <c r="F34" s="198">
        <v>90000</v>
      </c>
      <c r="G34" s="206"/>
      <c r="H34" s="96"/>
      <c r="I34" s="96">
        <v>0</v>
      </c>
      <c r="J34" s="96"/>
      <c r="K34" s="96">
        <f t="shared" ref="K34" si="2">(F34*1.06)</f>
        <v>95400</v>
      </c>
      <c r="L34" s="96"/>
      <c r="M34" s="96">
        <f>(K34*1.03)*0.2</f>
        <v>19652.400000000001</v>
      </c>
      <c r="N34" s="96"/>
      <c r="O34" s="96">
        <f t="shared" si="1"/>
        <v>20241.972000000002</v>
      </c>
      <c r="P34" s="110"/>
      <c r="Q34" s="146" t="s">
        <v>312</v>
      </c>
    </row>
    <row r="35" spans="1:19" s="116" customFormat="1" hidden="1" x14ac:dyDescent="0.3">
      <c r="A35" s="202" t="s">
        <v>268</v>
      </c>
      <c r="B35" s="202" t="s">
        <v>269</v>
      </c>
      <c r="C35" s="209" t="s">
        <v>266</v>
      </c>
      <c r="D35" s="210" t="s">
        <v>267</v>
      </c>
      <c r="E35" s="202" t="s">
        <v>26</v>
      </c>
      <c r="F35" s="198">
        <f>70000*0.25</f>
        <v>17500</v>
      </c>
      <c r="G35" s="206"/>
      <c r="H35" s="96"/>
      <c r="I35" s="96">
        <v>0</v>
      </c>
      <c r="J35" s="96"/>
      <c r="K35" s="96"/>
      <c r="L35" s="96"/>
      <c r="M35" s="96">
        <f t="shared" ref="M35:M40" si="3">K35*1.03</f>
        <v>0</v>
      </c>
      <c r="N35" s="96"/>
      <c r="O35" s="96">
        <f t="shared" si="1"/>
        <v>0</v>
      </c>
      <c r="P35" s="110"/>
      <c r="Q35" s="199" t="s">
        <v>290</v>
      </c>
    </row>
    <row r="36" spans="1:19" s="116" customFormat="1" hidden="1" x14ac:dyDescent="0.3">
      <c r="A36" s="202" t="s">
        <v>270</v>
      </c>
      <c r="B36" s="202" t="s">
        <v>271</v>
      </c>
      <c r="C36" s="207" t="s">
        <v>263</v>
      </c>
      <c r="D36" s="202" t="s">
        <v>264</v>
      </c>
      <c r="E36" s="202" t="s">
        <v>26</v>
      </c>
      <c r="F36" s="198">
        <v>80000</v>
      </c>
      <c r="G36" s="206"/>
      <c r="H36" s="96"/>
      <c r="I36" s="96">
        <v>0</v>
      </c>
      <c r="J36" s="96"/>
      <c r="K36" s="96">
        <f>(F36*1.06)</f>
        <v>84800</v>
      </c>
      <c r="L36" s="96"/>
      <c r="M36" s="96">
        <f t="shared" si="3"/>
        <v>87344</v>
      </c>
      <c r="N36" s="96"/>
      <c r="O36" s="96">
        <f t="shared" si="1"/>
        <v>89964.32</v>
      </c>
      <c r="P36" s="110"/>
      <c r="Q36" s="199" t="s">
        <v>290</v>
      </c>
    </row>
    <row r="37" spans="1:19" s="116" customFormat="1" hidden="1" x14ac:dyDescent="0.3">
      <c r="A37" s="202" t="s">
        <v>272</v>
      </c>
      <c r="B37" s="202" t="s">
        <v>273</v>
      </c>
      <c r="C37" s="207" t="s">
        <v>9</v>
      </c>
      <c r="D37" s="202" t="s">
        <v>8</v>
      </c>
      <c r="E37" s="202" t="s">
        <v>5</v>
      </c>
      <c r="F37" s="198">
        <f>123900*0.8</f>
        <v>99120</v>
      </c>
      <c r="G37" s="206"/>
      <c r="H37" s="96"/>
      <c r="I37" s="96">
        <v>0</v>
      </c>
      <c r="J37" s="96"/>
      <c r="K37" s="96">
        <f>(F37*1.06)*0.6</f>
        <v>63040.320000000007</v>
      </c>
      <c r="L37" s="96"/>
      <c r="M37" s="96">
        <f t="shared" si="3"/>
        <v>64931.529600000009</v>
      </c>
      <c r="N37" s="96"/>
      <c r="O37" s="96">
        <f t="shared" si="1"/>
        <v>66879.475488000011</v>
      </c>
      <c r="P37" s="110"/>
      <c r="Q37" s="199" t="s">
        <v>313</v>
      </c>
    </row>
    <row r="38" spans="1:19" s="116" customFormat="1" hidden="1" x14ac:dyDescent="0.3">
      <c r="A38" s="202" t="s">
        <v>272</v>
      </c>
      <c r="B38" s="202" t="s">
        <v>274</v>
      </c>
      <c r="C38" s="207" t="s">
        <v>9</v>
      </c>
      <c r="D38" s="202" t="s">
        <v>8</v>
      </c>
      <c r="E38" s="202" t="s">
        <v>5</v>
      </c>
      <c r="F38" s="198">
        <f>94000*0.8</f>
        <v>75200</v>
      </c>
      <c r="G38" s="206"/>
      <c r="H38" s="96"/>
      <c r="I38" s="96">
        <v>0</v>
      </c>
      <c r="J38" s="96"/>
      <c r="K38" s="96">
        <f>(F38*1.06)*0.6</f>
        <v>47827.199999999997</v>
      </c>
      <c r="L38" s="96"/>
      <c r="M38" s="96">
        <f t="shared" si="3"/>
        <v>49262.015999999996</v>
      </c>
      <c r="N38" s="96"/>
      <c r="O38" s="96">
        <f t="shared" si="1"/>
        <v>50739.876479999999</v>
      </c>
      <c r="P38" s="110"/>
      <c r="Q38" s="146" t="s">
        <v>314</v>
      </c>
    </row>
    <row r="39" spans="1:19" s="116" customFormat="1" hidden="1" x14ac:dyDescent="0.3">
      <c r="A39" s="202" t="s">
        <v>275</v>
      </c>
      <c r="B39" s="202" t="s">
        <v>276</v>
      </c>
      <c r="C39" s="207" t="s">
        <v>9</v>
      </c>
      <c r="D39" s="202" t="s">
        <v>8</v>
      </c>
      <c r="E39" s="202" t="s">
        <v>5</v>
      </c>
      <c r="F39" s="198">
        <f>107000*0.75</f>
        <v>80250</v>
      </c>
      <c r="G39" s="206"/>
      <c r="H39" s="96"/>
      <c r="I39" s="96">
        <v>0</v>
      </c>
      <c r="J39" s="96"/>
      <c r="K39" s="96">
        <f>(F39*1.06)*0.5</f>
        <v>42532.5</v>
      </c>
      <c r="L39" s="96"/>
      <c r="M39" s="96">
        <f t="shared" si="3"/>
        <v>43808.474999999999</v>
      </c>
      <c r="N39" s="96"/>
      <c r="O39" s="96">
        <f t="shared" si="1"/>
        <v>45122.729249999997</v>
      </c>
      <c r="P39" s="110"/>
      <c r="Q39" s="199" t="s">
        <v>315</v>
      </c>
    </row>
    <row r="40" spans="1:19" s="116" customFormat="1" hidden="1" x14ac:dyDescent="0.3">
      <c r="A40" s="211" t="s">
        <v>237</v>
      </c>
      <c r="B40" s="207" t="s">
        <v>277</v>
      </c>
      <c r="C40" s="211" t="s">
        <v>278</v>
      </c>
      <c r="D40" s="202" t="s">
        <v>167</v>
      </c>
      <c r="E40" s="202" t="s">
        <v>11</v>
      </c>
      <c r="F40" s="198">
        <v>127800</v>
      </c>
      <c r="G40" s="206"/>
      <c r="H40" s="96"/>
      <c r="I40" s="96">
        <f>(+F40*1.03)*0.25</f>
        <v>32908.5</v>
      </c>
      <c r="J40" s="96"/>
      <c r="K40" s="96">
        <f>F40*1.06</f>
        <v>135468</v>
      </c>
      <c r="L40" s="96"/>
      <c r="M40" s="96">
        <f t="shared" si="3"/>
        <v>139532.04</v>
      </c>
      <c r="N40" s="96"/>
      <c r="O40" s="96">
        <f t="shared" si="1"/>
        <v>143718.0012</v>
      </c>
      <c r="P40" s="110"/>
      <c r="Q40" s="146" t="s">
        <v>295</v>
      </c>
    </row>
    <row r="41" spans="1:19" s="116" customFormat="1" hidden="1" x14ac:dyDescent="0.3">
      <c r="A41" s="211" t="s">
        <v>279</v>
      </c>
      <c r="B41" s="207" t="s">
        <v>244</v>
      </c>
      <c r="C41" s="211" t="s">
        <v>263</v>
      </c>
      <c r="D41" s="202" t="s">
        <v>264</v>
      </c>
      <c r="E41" s="202" t="s">
        <v>26</v>
      </c>
      <c r="F41" s="198">
        <f>70000</f>
        <v>70000</v>
      </c>
      <c r="G41" s="206"/>
      <c r="H41" s="96"/>
      <c r="I41" s="96">
        <v>0</v>
      </c>
      <c r="J41" s="96"/>
      <c r="K41" s="96">
        <v>0</v>
      </c>
      <c r="L41" s="96"/>
      <c r="M41" s="96">
        <f>F41*0.5</f>
        <v>35000</v>
      </c>
      <c r="N41" s="96"/>
      <c r="O41" s="96">
        <f>F41*1.03</f>
        <v>72100</v>
      </c>
      <c r="P41" s="110"/>
      <c r="Q41" s="146" t="s">
        <v>296</v>
      </c>
    </row>
    <row r="42" spans="1:19" s="170" customFormat="1" x14ac:dyDescent="0.3">
      <c r="A42" s="229" t="s">
        <v>32</v>
      </c>
      <c r="B42" s="229" t="s">
        <v>245</v>
      </c>
      <c r="C42" s="216" t="s">
        <v>33</v>
      </c>
      <c r="D42" s="230" t="s">
        <v>34</v>
      </c>
      <c r="E42" s="237" t="s">
        <v>26</v>
      </c>
      <c r="F42" s="234">
        <v>100000</v>
      </c>
      <c r="G42" s="264"/>
      <c r="H42" s="219"/>
      <c r="I42" s="222"/>
      <c r="J42" s="227"/>
      <c r="K42" s="222">
        <v>100000</v>
      </c>
      <c r="L42" s="227"/>
      <c r="M42" s="222">
        <f>(K42*1.03)*0.5</f>
        <v>51500</v>
      </c>
      <c r="N42" s="227"/>
      <c r="O42" s="222">
        <f t="shared" si="1"/>
        <v>53045</v>
      </c>
      <c r="P42" s="223"/>
      <c r="Q42" s="224" t="s">
        <v>240</v>
      </c>
      <c r="R42" s="236"/>
    </row>
    <row r="43" spans="1:19" s="116" customFormat="1" ht="97.5" hidden="1" customHeight="1" x14ac:dyDescent="0.3">
      <c r="A43" s="94" t="s">
        <v>199</v>
      </c>
      <c r="B43" s="94"/>
      <c r="C43" s="101" t="s">
        <v>9</v>
      </c>
      <c r="D43" s="86" t="s">
        <v>10</v>
      </c>
      <c r="E43" s="86" t="s">
        <v>5</v>
      </c>
      <c r="F43" s="95">
        <v>200000</v>
      </c>
      <c r="G43" s="141"/>
      <c r="H43" s="142"/>
      <c r="I43" s="96"/>
      <c r="J43" s="97"/>
      <c r="K43" s="96">
        <v>0</v>
      </c>
      <c r="L43" s="97"/>
      <c r="M43" s="96">
        <v>0</v>
      </c>
      <c r="N43" s="97"/>
      <c r="O43" s="96">
        <v>0</v>
      </c>
      <c r="P43" s="109"/>
      <c r="Q43" s="110" t="s">
        <v>305</v>
      </c>
      <c r="R43" s="146"/>
    </row>
    <row r="44" spans="1:19" s="255" customFormat="1" x14ac:dyDescent="0.3">
      <c r="A44" s="254" t="s">
        <v>35</v>
      </c>
      <c r="B44" s="254"/>
      <c r="C44" s="255" t="s">
        <v>36</v>
      </c>
      <c r="D44" s="255" t="s">
        <v>37</v>
      </c>
      <c r="E44" s="255" t="s">
        <v>38</v>
      </c>
      <c r="F44" s="256">
        <f>(SUM(F16:H43)*0.71)</f>
        <v>1828836.46</v>
      </c>
      <c r="G44" s="257"/>
      <c r="H44" s="258"/>
      <c r="I44" s="259">
        <f>0</f>
        <v>0</v>
      </c>
      <c r="J44" s="260"/>
      <c r="K44" s="259">
        <f>(K29+K42)*0.71</f>
        <v>108630</v>
      </c>
      <c r="L44" s="260"/>
      <c r="M44" s="259">
        <f>(M29+M42)*0.71</f>
        <v>111825</v>
      </c>
      <c r="N44" s="260"/>
      <c r="O44" s="259">
        <f>(O29+O42)*0.71</f>
        <v>112921.95</v>
      </c>
      <c r="P44" s="261"/>
      <c r="Q44" s="262" t="s">
        <v>45</v>
      </c>
      <c r="R44" s="263"/>
    </row>
    <row r="45" spans="1:19" s="86" customFormat="1" ht="31.2" hidden="1" x14ac:dyDescent="0.3">
      <c r="A45" s="120" t="s">
        <v>21</v>
      </c>
      <c r="B45" s="120"/>
      <c r="C45" s="116" t="s">
        <v>20</v>
      </c>
      <c r="D45" s="116" t="s">
        <v>167</v>
      </c>
      <c r="E45" s="116" t="s">
        <v>11</v>
      </c>
      <c r="F45" s="117">
        <v>363416</v>
      </c>
      <c r="G45" s="103"/>
      <c r="H45" s="106">
        <v>59576</v>
      </c>
      <c r="I45" s="118"/>
      <c r="J45" s="106">
        <v>363416</v>
      </c>
      <c r="K45" s="118"/>
      <c r="L45" s="106">
        <v>363416</v>
      </c>
      <c r="M45" s="118"/>
      <c r="N45" s="106">
        <v>363416</v>
      </c>
      <c r="O45" s="118"/>
      <c r="P45" s="106">
        <v>363416</v>
      </c>
      <c r="Q45" s="99" t="s">
        <v>106</v>
      </c>
      <c r="R45" s="147"/>
      <c r="S45" s="139"/>
    </row>
    <row r="46" spans="1:19" s="86" customFormat="1" ht="31.2" hidden="1" x14ac:dyDescent="0.3">
      <c r="A46" s="120" t="s">
        <v>192</v>
      </c>
      <c r="B46" s="120"/>
      <c r="C46" s="116" t="s">
        <v>20</v>
      </c>
      <c r="D46" s="116" t="s">
        <v>167</v>
      </c>
      <c r="E46" s="116" t="s">
        <v>11</v>
      </c>
      <c r="F46" s="117">
        <v>214900</v>
      </c>
      <c r="G46" s="103"/>
      <c r="H46" s="106"/>
      <c r="I46" s="118"/>
      <c r="J46" s="106">
        <v>53728</v>
      </c>
      <c r="K46" s="118"/>
      <c r="L46" s="106">
        <v>214900</v>
      </c>
      <c r="M46" s="118"/>
      <c r="N46" s="106">
        <f>+L46</f>
        <v>214900</v>
      </c>
      <c r="O46" s="118"/>
      <c r="P46" s="106">
        <f>+N46</f>
        <v>214900</v>
      </c>
      <c r="Q46" s="99" t="s">
        <v>171</v>
      </c>
      <c r="R46" s="108"/>
      <c r="S46" s="139"/>
    </row>
    <row r="47" spans="1:19" s="86" customFormat="1" hidden="1" x14ac:dyDescent="0.3">
      <c r="A47" s="120" t="s">
        <v>193</v>
      </c>
      <c r="B47" s="120"/>
      <c r="C47" s="116" t="s">
        <v>20</v>
      </c>
      <c r="D47" s="116" t="s">
        <v>194</v>
      </c>
      <c r="E47" s="116" t="s">
        <v>11</v>
      </c>
      <c r="F47" s="117">
        <v>164738</v>
      </c>
      <c r="G47" s="103"/>
      <c r="H47" s="106"/>
      <c r="I47" s="118"/>
      <c r="J47" s="106">
        <v>2080</v>
      </c>
      <c r="K47" s="118"/>
      <c r="L47" s="106">
        <v>78208</v>
      </c>
      <c r="M47" s="118"/>
      <c r="N47" s="106">
        <v>164738</v>
      </c>
      <c r="O47" s="118"/>
      <c r="P47" s="106">
        <f>+N47</f>
        <v>164738</v>
      </c>
      <c r="Q47" s="99"/>
      <c r="R47" s="108"/>
      <c r="S47" s="139"/>
    </row>
    <row r="48" spans="1:19" s="86" customFormat="1" hidden="1" x14ac:dyDescent="0.3">
      <c r="A48" s="115" t="s">
        <v>200</v>
      </c>
      <c r="B48" s="115"/>
      <c r="C48" s="116" t="s">
        <v>20</v>
      </c>
      <c r="D48" s="116" t="s">
        <v>167</v>
      </c>
      <c r="E48" s="116" t="s">
        <v>11</v>
      </c>
      <c r="F48" s="117">
        <v>134500</v>
      </c>
      <c r="G48" s="103"/>
      <c r="H48" s="106"/>
      <c r="I48" s="118"/>
      <c r="J48" s="106">
        <v>134500</v>
      </c>
      <c r="K48" s="118"/>
      <c r="L48" s="106">
        <v>134500</v>
      </c>
      <c r="M48" s="106"/>
      <c r="N48" s="106">
        <v>134500</v>
      </c>
      <c r="O48" s="118"/>
      <c r="P48" s="106">
        <v>134500</v>
      </c>
      <c r="Q48" s="99" t="s">
        <v>180</v>
      </c>
      <c r="R48" s="108"/>
      <c r="S48" s="139"/>
    </row>
    <row r="49" spans="1:18" s="108" customFormat="1" hidden="1" x14ac:dyDescent="0.3">
      <c r="A49" s="120" t="s">
        <v>195</v>
      </c>
      <c r="B49" s="120"/>
      <c r="C49" s="116" t="s">
        <v>20</v>
      </c>
      <c r="D49" s="116" t="s">
        <v>161</v>
      </c>
      <c r="E49" s="116" t="s">
        <v>11</v>
      </c>
      <c r="F49" s="117">
        <v>99218</v>
      </c>
      <c r="G49" s="103"/>
      <c r="H49" s="106"/>
      <c r="I49" s="118"/>
      <c r="J49" s="106">
        <v>8978</v>
      </c>
      <c r="K49" s="118"/>
      <c r="L49" s="106">
        <v>88844</v>
      </c>
      <c r="M49" s="118"/>
      <c r="N49" s="106">
        <v>99218</v>
      </c>
      <c r="O49" s="118"/>
      <c r="P49" s="106">
        <f>+F49</f>
        <v>99218</v>
      </c>
      <c r="Q49" s="99"/>
      <c r="R49" s="119"/>
    </row>
    <row r="50" spans="1:18" s="108" customFormat="1" hidden="1" x14ac:dyDescent="0.3">
      <c r="A50" s="120" t="s">
        <v>233</v>
      </c>
      <c r="B50" s="120"/>
      <c r="C50" s="116" t="s">
        <v>20</v>
      </c>
      <c r="D50" s="116" t="s">
        <v>161</v>
      </c>
      <c r="E50" s="116" t="s">
        <v>11</v>
      </c>
      <c r="F50" s="117">
        <v>2173</v>
      </c>
      <c r="G50" s="103"/>
      <c r="H50" s="106"/>
      <c r="I50" s="118"/>
      <c r="J50" s="106"/>
      <c r="K50" s="118"/>
      <c r="L50" s="106">
        <v>380</v>
      </c>
      <c r="M50" s="118"/>
      <c r="N50" s="106">
        <v>1730</v>
      </c>
      <c r="O50" s="118"/>
      <c r="P50" s="106">
        <f>+F50</f>
        <v>2173</v>
      </c>
      <c r="Q50" s="99"/>
      <c r="R50" s="119"/>
    </row>
    <row r="51" spans="1:18" s="108" customFormat="1" hidden="1" x14ac:dyDescent="0.3">
      <c r="A51" s="120" t="s">
        <v>177</v>
      </c>
      <c r="B51" s="120"/>
      <c r="C51" s="116" t="s">
        <v>20</v>
      </c>
      <c r="D51" s="116" t="s">
        <v>176</v>
      </c>
      <c r="E51" s="116" t="s">
        <v>11</v>
      </c>
      <c r="F51" s="117">
        <v>51000</v>
      </c>
      <c r="G51" s="103"/>
      <c r="H51" s="106"/>
      <c r="I51" s="118"/>
      <c r="J51" s="106">
        <v>1050</v>
      </c>
      <c r="K51" s="118"/>
      <c r="L51" s="106">
        <v>1050</v>
      </c>
      <c r="M51" s="118"/>
      <c r="N51" s="106">
        <f>+F51</f>
        <v>51000</v>
      </c>
      <c r="O51" s="118"/>
      <c r="P51" s="106">
        <v>51000</v>
      </c>
      <c r="Q51" s="99" t="s">
        <v>316</v>
      </c>
      <c r="R51" s="119"/>
    </row>
    <row r="52" spans="1:18" s="108" customFormat="1" hidden="1" x14ac:dyDescent="0.3">
      <c r="A52" s="120" t="s">
        <v>178</v>
      </c>
      <c r="B52" s="120"/>
      <c r="C52" s="116" t="s">
        <v>20</v>
      </c>
      <c r="D52" s="116" t="s">
        <v>176</v>
      </c>
      <c r="E52" s="116" t="s">
        <v>11</v>
      </c>
      <c r="F52" s="117">
        <v>19300</v>
      </c>
      <c r="G52" s="103"/>
      <c r="H52" s="106"/>
      <c r="I52" s="118"/>
      <c r="J52" s="106"/>
      <c r="K52" s="118"/>
      <c r="L52" s="106">
        <v>787</v>
      </c>
      <c r="M52" s="118"/>
      <c r="N52" s="106">
        <v>12177</v>
      </c>
      <c r="O52" s="118"/>
      <c r="P52" s="106">
        <v>12177</v>
      </c>
      <c r="Q52" s="99" t="s">
        <v>316</v>
      </c>
      <c r="R52" s="119"/>
    </row>
    <row r="53" spans="1:18" s="108" customFormat="1" hidden="1" x14ac:dyDescent="0.3">
      <c r="A53" s="115" t="s">
        <v>201</v>
      </c>
      <c r="B53" s="115"/>
      <c r="C53" s="116" t="s">
        <v>20</v>
      </c>
      <c r="D53" s="116" t="s">
        <v>191</v>
      </c>
      <c r="E53" s="116" t="s">
        <v>11</v>
      </c>
      <c r="F53" s="106">
        <v>40557</v>
      </c>
      <c r="G53" s="103"/>
      <c r="H53" s="106"/>
      <c r="I53" s="118"/>
      <c r="J53" s="106">
        <v>40557</v>
      </c>
      <c r="K53" s="118"/>
      <c r="L53" s="106">
        <v>40557</v>
      </c>
      <c r="M53" s="106"/>
      <c r="N53" s="106">
        <v>40557</v>
      </c>
      <c r="O53" s="118"/>
      <c r="P53" s="106">
        <v>40557</v>
      </c>
      <c r="Q53" s="99" t="s">
        <v>182</v>
      </c>
      <c r="R53" s="119"/>
    </row>
    <row r="54" spans="1:18" s="108" customFormat="1" hidden="1" x14ac:dyDescent="0.3">
      <c r="A54" s="115" t="s">
        <v>203</v>
      </c>
      <c r="B54" s="115"/>
      <c r="C54" s="116" t="s">
        <v>20</v>
      </c>
      <c r="D54" s="116" t="s">
        <v>191</v>
      </c>
      <c r="E54" s="116" t="s">
        <v>11</v>
      </c>
      <c r="F54" s="117">
        <v>18675</v>
      </c>
      <c r="G54" s="103"/>
      <c r="H54" s="106"/>
      <c r="I54" s="118"/>
      <c r="J54" s="117">
        <v>18675</v>
      </c>
      <c r="K54" s="118"/>
      <c r="L54" s="117">
        <v>18675</v>
      </c>
      <c r="M54" s="118"/>
      <c r="N54" s="117">
        <v>18675</v>
      </c>
      <c r="O54" s="118"/>
      <c r="P54" s="117">
        <v>18675</v>
      </c>
      <c r="Q54" s="99" t="s">
        <v>182</v>
      </c>
      <c r="R54" s="119"/>
    </row>
    <row r="55" spans="1:18" s="108" customFormat="1" hidden="1" x14ac:dyDescent="0.3">
      <c r="A55" s="120" t="s">
        <v>24</v>
      </c>
      <c r="B55" s="120"/>
      <c r="C55" s="116" t="s">
        <v>20</v>
      </c>
      <c r="D55" s="116" t="s">
        <v>161</v>
      </c>
      <c r="E55" s="116" t="s">
        <v>11</v>
      </c>
      <c r="F55" s="117">
        <v>74680</v>
      </c>
      <c r="G55" s="103"/>
      <c r="H55" s="106"/>
      <c r="I55" s="118"/>
      <c r="J55" s="106">
        <v>10440</v>
      </c>
      <c r="K55" s="118"/>
      <c r="L55" s="106">
        <v>71200</v>
      </c>
      <c r="M55" s="118"/>
      <c r="N55" s="106">
        <v>97241</v>
      </c>
      <c r="O55" s="118"/>
      <c r="P55" s="106">
        <v>97805</v>
      </c>
      <c r="Q55" s="99" t="s">
        <v>317</v>
      </c>
      <c r="R55" s="119"/>
    </row>
    <row r="56" spans="1:18" s="164" customFormat="1" ht="46.8" x14ac:dyDescent="0.3">
      <c r="A56" s="242" t="s">
        <v>25</v>
      </c>
      <c r="B56" s="242"/>
      <c r="C56" s="170" t="s">
        <v>20</v>
      </c>
      <c r="D56" s="170" t="s">
        <v>167</v>
      </c>
      <c r="E56" s="170" t="s">
        <v>11</v>
      </c>
      <c r="F56" s="243">
        <v>233484</v>
      </c>
      <c r="G56" s="220"/>
      <c r="H56" s="221">
        <v>38216</v>
      </c>
      <c r="I56" s="244"/>
      <c r="J56" s="221">
        <v>100952</v>
      </c>
      <c r="K56" s="244"/>
      <c r="L56" s="221">
        <f>F56</f>
        <v>233484</v>
      </c>
      <c r="M56" s="244"/>
      <c r="N56" s="221">
        <f>F56</f>
        <v>233484</v>
      </c>
      <c r="O56" s="244"/>
      <c r="P56" s="221">
        <f>F56</f>
        <v>233484</v>
      </c>
      <c r="Q56" s="171" t="s">
        <v>181</v>
      </c>
      <c r="R56" s="163"/>
    </row>
    <row r="57" spans="1:18" s="108" customFormat="1" ht="46.8" hidden="1" x14ac:dyDescent="0.3">
      <c r="A57" s="120" t="s">
        <v>196</v>
      </c>
      <c r="B57" s="120"/>
      <c r="C57" s="101" t="s">
        <v>33</v>
      </c>
      <c r="D57" s="86" t="s">
        <v>34</v>
      </c>
      <c r="E57" s="86" t="s">
        <v>26</v>
      </c>
      <c r="F57" s="117">
        <v>450000</v>
      </c>
      <c r="G57" s="103"/>
      <c r="H57" s="106"/>
      <c r="I57" s="118"/>
      <c r="J57" s="106"/>
      <c r="K57" s="118"/>
      <c r="L57" s="106">
        <f>F57*0.5</f>
        <v>225000</v>
      </c>
      <c r="M57" s="118"/>
      <c r="N57" s="106">
        <f>F57*0.5</f>
        <v>225000</v>
      </c>
      <c r="O57" s="118"/>
      <c r="P57" s="106"/>
      <c r="Q57" s="99" t="s">
        <v>197</v>
      </c>
      <c r="R57" s="119"/>
    </row>
    <row r="58" spans="1:18" s="170" customFormat="1" ht="46.8" x14ac:dyDescent="0.3">
      <c r="A58" s="242" t="s">
        <v>198</v>
      </c>
      <c r="B58" s="242"/>
      <c r="C58" s="170" t="s">
        <v>20</v>
      </c>
      <c r="D58" s="170" t="s">
        <v>167</v>
      </c>
      <c r="E58" s="170" t="s">
        <v>11</v>
      </c>
      <c r="F58" s="243">
        <v>650000</v>
      </c>
      <c r="G58" s="220"/>
      <c r="H58" s="221"/>
      <c r="I58" s="244"/>
      <c r="J58" s="221">
        <v>30000</v>
      </c>
      <c r="K58" s="244"/>
      <c r="L58" s="221">
        <v>180000</v>
      </c>
      <c r="M58" s="244"/>
      <c r="N58" s="221">
        <v>180000</v>
      </c>
      <c r="O58" s="244"/>
      <c r="P58" s="221">
        <v>180000</v>
      </c>
      <c r="Q58" s="171" t="s">
        <v>238</v>
      </c>
      <c r="R58" s="265"/>
    </row>
    <row r="59" spans="1:18" s="86" customFormat="1" ht="16.2" thickBot="1" x14ac:dyDescent="0.35">
      <c r="A59" s="94"/>
      <c r="B59" s="94"/>
      <c r="F59" s="148">
        <f t="shared" ref="F59" si="4">SUM(F4:F58)</f>
        <v>5185640.92</v>
      </c>
      <c r="G59" s="149">
        <v>0</v>
      </c>
      <c r="H59" s="150">
        <f>H56</f>
        <v>38216</v>
      </c>
      <c r="I59" s="149">
        <v>0</v>
      </c>
      <c r="J59" s="150">
        <f>J56+J58</f>
        <v>130952</v>
      </c>
      <c r="K59" s="149">
        <f>K29+K42+K44</f>
        <v>261630</v>
      </c>
      <c r="L59" s="150">
        <f>L56+L58</f>
        <v>413484</v>
      </c>
      <c r="M59" s="149">
        <f>M29+M42+M44</f>
        <v>269325</v>
      </c>
      <c r="N59" s="150">
        <f>N56+N58</f>
        <v>413484</v>
      </c>
      <c r="O59" s="149">
        <f>O29+O42+O44</f>
        <v>271966.95</v>
      </c>
      <c r="P59" s="150">
        <f>P56+P58</f>
        <v>413484</v>
      </c>
      <c r="Q59" s="110"/>
    </row>
    <row r="60" spans="1:18" s="86" customFormat="1" x14ac:dyDescent="0.3">
      <c r="A60" s="151"/>
      <c r="B60" s="151"/>
      <c r="F60" s="95"/>
      <c r="G60" s="96"/>
      <c r="H60" s="97"/>
      <c r="I60" s="96"/>
      <c r="J60" s="97"/>
      <c r="K60" s="96"/>
      <c r="L60" s="97"/>
      <c r="M60" s="96"/>
      <c r="N60" s="97"/>
      <c r="O60" s="96"/>
      <c r="P60" s="109"/>
      <c r="Q60" s="110"/>
    </row>
    <row r="61" spans="1:18" s="86" customFormat="1" ht="16.2" thickBot="1" x14ac:dyDescent="0.35">
      <c r="A61" s="94"/>
      <c r="B61" s="94"/>
      <c r="F61" s="152" t="s">
        <v>105</v>
      </c>
      <c r="G61" s="186"/>
      <c r="H61" s="187">
        <f>G59+H59</f>
        <v>38216</v>
      </c>
      <c r="I61" s="272"/>
      <c r="J61" s="272">
        <f>I59+J59</f>
        <v>130952</v>
      </c>
      <c r="K61" s="273"/>
      <c r="L61" s="272">
        <f>K59+L59</f>
        <v>675114</v>
      </c>
      <c r="M61" s="273"/>
      <c r="N61" s="272">
        <f>M59+N59</f>
        <v>682809</v>
      </c>
      <c r="O61" s="273"/>
      <c r="P61" s="272">
        <f>O59+P59</f>
        <v>685450.95</v>
      </c>
      <c r="Q61" s="214" t="s">
        <v>46</v>
      </c>
    </row>
    <row r="62" spans="1:18" s="86" customFormat="1" ht="16.2" thickTop="1" x14ac:dyDescent="0.3">
      <c r="A62" s="94"/>
      <c r="B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Q62" s="110"/>
    </row>
    <row r="63" spans="1:18" s="86" customFormat="1" hidden="1" x14ac:dyDescent="0.3">
      <c r="A63" s="195" t="s">
        <v>107</v>
      </c>
      <c r="B63" s="195"/>
      <c r="F63" s="95"/>
      <c r="G63" s="95"/>
      <c r="H63" s="95"/>
      <c r="I63" s="95"/>
      <c r="J63" s="95"/>
      <c r="K63" s="95"/>
      <c r="L63" s="95"/>
      <c r="M63" s="95"/>
      <c r="N63" s="95"/>
      <c r="O63" s="95"/>
      <c r="Q63" s="110"/>
    </row>
    <row r="64" spans="1:18" s="94" customFormat="1" ht="16.5" hidden="1" customHeight="1" thickBot="1" x14ac:dyDescent="0.35">
      <c r="A64" s="89" t="s">
        <v>1</v>
      </c>
      <c r="B64" s="89"/>
      <c r="C64" s="89" t="s">
        <v>2</v>
      </c>
      <c r="D64" s="89" t="s">
        <v>3</v>
      </c>
      <c r="E64" s="89" t="s">
        <v>0</v>
      </c>
      <c r="F64" s="154" t="s">
        <v>4</v>
      </c>
      <c r="G64" s="188">
        <v>2017</v>
      </c>
      <c r="H64" s="188"/>
      <c r="I64" s="298">
        <v>2018</v>
      </c>
      <c r="J64" s="298"/>
      <c r="K64" s="298">
        <v>2019</v>
      </c>
      <c r="L64" s="298"/>
      <c r="M64" s="298">
        <v>2020</v>
      </c>
      <c r="N64" s="298"/>
      <c r="O64" s="298">
        <v>2021</v>
      </c>
      <c r="P64" s="298"/>
      <c r="Q64" s="93" t="s">
        <v>39</v>
      </c>
    </row>
    <row r="65" spans="1:18" s="86" customFormat="1" hidden="1" x14ac:dyDescent="0.3">
      <c r="A65" s="94" t="s">
        <v>47</v>
      </c>
      <c r="B65" s="94"/>
      <c r="C65" s="86" t="s">
        <v>9</v>
      </c>
      <c r="D65" s="86" t="s">
        <v>10</v>
      </c>
      <c r="E65" s="86" t="s">
        <v>5</v>
      </c>
      <c r="F65" s="95">
        <v>-148000</v>
      </c>
      <c r="G65" s="111"/>
      <c r="H65" s="111"/>
      <c r="I65" s="111"/>
      <c r="J65" s="111"/>
      <c r="K65" s="111">
        <v>-37000</v>
      </c>
      <c r="L65" s="111"/>
      <c r="M65" s="111">
        <v>-74000</v>
      </c>
      <c r="N65" s="111"/>
      <c r="O65" s="111">
        <v>-37000</v>
      </c>
      <c r="P65" s="155"/>
      <c r="Q65" s="99" t="s">
        <v>48</v>
      </c>
      <c r="R65" s="114"/>
    </row>
    <row r="66" spans="1:18" s="86" customFormat="1" hidden="1" x14ac:dyDescent="0.3">
      <c r="A66" s="86" t="s">
        <v>227</v>
      </c>
      <c r="C66" s="86" t="s">
        <v>9</v>
      </c>
      <c r="D66" s="86" t="s">
        <v>10</v>
      </c>
      <c r="E66" s="86" t="s">
        <v>5</v>
      </c>
      <c r="F66" s="111">
        <v>-87515</v>
      </c>
      <c r="G66" s="111"/>
      <c r="H66" s="111"/>
      <c r="I66" s="111">
        <v>0</v>
      </c>
      <c r="J66" s="111"/>
      <c r="K66" s="111">
        <v>-87515.19</v>
      </c>
      <c r="L66" s="111"/>
      <c r="M66" s="111">
        <v>-240287.94736799999</v>
      </c>
      <c r="N66" s="111"/>
      <c r="O66" s="111">
        <v>-304808.81035290001</v>
      </c>
      <c r="P66" s="156"/>
      <c r="Q66" s="99"/>
      <c r="R66" s="114"/>
    </row>
    <row r="67" spans="1:18" s="86" customFormat="1" hidden="1" x14ac:dyDescent="0.3">
      <c r="A67" s="94" t="s">
        <v>49</v>
      </c>
      <c r="B67" s="94"/>
      <c r="C67" s="86" t="s">
        <v>9</v>
      </c>
      <c r="D67" s="86" t="s">
        <v>10</v>
      </c>
      <c r="E67" s="86" t="s">
        <v>5</v>
      </c>
      <c r="F67" s="95">
        <v>-829895</v>
      </c>
      <c r="G67" s="111"/>
      <c r="H67" s="111"/>
      <c r="I67" s="111">
        <v>0</v>
      </c>
      <c r="J67" s="111"/>
      <c r="K67" s="111">
        <v>-292022.46388064302</v>
      </c>
      <c r="L67" s="111"/>
      <c r="M67" s="111">
        <v>-809875.63316231605</v>
      </c>
      <c r="N67" s="111"/>
      <c r="O67" s="111">
        <v>-1052838.32311101</v>
      </c>
      <c r="P67" s="156"/>
      <c r="Q67" s="99" t="s">
        <v>50</v>
      </c>
      <c r="R67" s="114"/>
    </row>
    <row r="68" spans="1:18" s="86" customFormat="1" hidden="1" x14ac:dyDescent="0.3">
      <c r="A68" s="94" t="s">
        <v>51</v>
      </c>
      <c r="B68" s="94"/>
      <c r="C68" s="86" t="s">
        <v>52</v>
      </c>
      <c r="D68" s="86" t="s">
        <v>53</v>
      </c>
      <c r="E68" s="86" t="s">
        <v>5</v>
      </c>
      <c r="F68" s="95">
        <v>-219451</v>
      </c>
      <c r="G68" s="111"/>
      <c r="H68" s="111"/>
      <c r="I68" s="111">
        <v>0</v>
      </c>
      <c r="J68" s="111"/>
      <c r="K68" s="111">
        <v>-77017.827814686694</v>
      </c>
      <c r="L68" s="111"/>
      <c r="M68" s="111">
        <v>-213596.109139398</v>
      </c>
      <c r="N68" s="111"/>
      <c r="O68" s="111">
        <v>-277674.941881217</v>
      </c>
      <c r="P68" s="156"/>
      <c r="Q68" s="99" t="s">
        <v>54</v>
      </c>
      <c r="R68" s="114"/>
    </row>
    <row r="69" spans="1:18" s="86" customFormat="1" hidden="1" x14ac:dyDescent="0.3">
      <c r="A69" s="94" t="s">
        <v>55</v>
      </c>
      <c r="B69" s="94"/>
      <c r="C69" s="86" t="s">
        <v>52</v>
      </c>
      <c r="D69" s="86" t="s">
        <v>53</v>
      </c>
      <c r="E69" s="86" t="s">
        <v>5</v>
      </c>
      <c r="F69" s="95">
        <v>-248115</v>
      </c>
      <c r="G69" s="111"/>
      <c r="H69" s="111"/>
      <c r="I69" s="111">
        <v>0</v>
      </c>
      <c r="J69" s="111"/>
      <c r="K69" s="111">
        <v>-87077.836984320005</v>
      </c>
      <c r="L69" s="111"/>
      <c r="M69" s="111">
        <v>-241495.867903181</v>
      </c>
      <c r="N69" s="111"/>
      <c r="O69" s="111">
        <v>-313944.628274135</v>
      </c>
      <c r="P69" s="156"/>
      <c r="Q69" s="99" t="s">
        <v>54</v>
      </c>
      <c r="R69" s="114"/>
    </row>
    <row r="70" spans="1:18" s="86" customFormat="1" hidden="1" x14ac:dyDescent="0.3">
      <c r="A70" s="94" t="s">
        <v>56</v>
      </c>
      <c r="B70" s="94"/>
      <c r="C70" s="86" t="s">
        <v>9</v>
      </c>
      <c r="D70" s="86" t="s">
        <v>10</v>
      </c>
      <c r="E70" s="86" t="s">
        <v>5</v>
      </c>
      <c r="F70" s="95">
        <v>-214776</v>
      </c>
      <c r="G70" s="111"/>
      <c r="H70" s="111"/>
      <c r="I70" s="111">
        <v>0</v>
      </c>
      <c r="J70" s="111"/>
      <c r="K70" s="111">
        <v>-103081.204426948</v>
      </c>
      <c r="L70" s="111"/>
      <c r="M70" s="111">
        <v>-285053.89064198802</v>
      </c>
      <c r="N70" s="111"/>
      <c r="O70" s="111">
        <v>-369501.10574467701</v>
      </c>
      <c r="P70" s="156"/>
      <c r="Q70" s="99" t="s">
        <v>57</v>
      </c>
      <c r="R70" s="114"/>
    </row>
    <row r="71" spans="1:18" s="86" customFormat="1" hidden="1" x14ac:dyDescent="0.3">
      <c r="A71" s="143" t="s">
        <v>58</v>
      </c>
      <c r="B71" s="143"/>
      <c r="C71" s="86" t="s">
        <v>52</v>
      </c>
      <c r="D71" s="86" t="s">
        <v>53</v>
      </c>
      <c r="E71" s="86" t="s">
        <v>5</v>
      </c>
      <c r="F71" s="145">
        <v>-2741156</v>
      </c>
      <c r="G71" s="111"/>
      <c r="H71" s="111"/>
      <c r="I71" s="111">
        <v>0</v>
      </c>
      <c r="J71" s="111"/>
      <c r="K71" s="111">
        <v>-1371502.5417571201</v>
      </c>
      <c r="L71" s="111"/>
      <c r="M71" s="111">
        <v>-3813572.7588315499</v>
      </c>
      <c r="N71" s="111"/>
      <c r="O71" s="111">
        <v>-4970971.9407323599</v>
      </c>
      <c r="P71" s="156"/>
      <c r="Q71" s="157" t="s">
        <v>59</v>
      </c>
      <c r="R71" s="114"/>
    </row>
    <row r="72" spans="1:18" s="86" customFormat="1" hidden="1" x14ac:dyDescent="0.3">
      <c r="A72" s="94" t="s">
        <v>60</v>
      </c>
      <c r="B72" s="94"/>
      <c r="C72" s="86" t="s">
        <v>61</v>
      </c>
      <c r="E72" s="86" t="s">
        <v>62</v>
      </c>
      <c r="F72" s="95">
        <v>-1570233</v>
      </c>
      <c r="G72" s="111"/>
      <c r="H72" s="111"/>
      <c r="I72" s="111">
        <v>0</v>
      </c>
      <c r="J72" s="111"/>
      <c r="K72" s="111">
        <v>-390801.84142294701</v>
      </c>
      <c r="L72" s="111"/>
      <c r="M72" s="111">
        <v>-1080697.3588149201</v>
      </c>
      <c r="N72" s="111"/>
      <c r="O72" s="111">
        <v>-1400853.9513638399</v>
      </c>
      <c r="P72" s="156"/>
      <c r="Q72" s="99" t="s">
        <v>63</v>
      </c>
      <c r="R72" s="114"/>
    </row>
    <row r="73" spans="1:18" s="86" customFormat="1" hidden="1" x14ac:dyDescent="0.3">
      <c r="A73" s="94" t="s">
        <v>64</v>
      </c>
      <c r="B73" s="94"/>
      <c r="C73" s="86" t="s">
        <v>61</v>
      </c>
      <c r="E73" s="86" t="s">
        <v>62</v>
      </c>
      <c r="F73" s="95">
        <v>-324081</v>
      </c>
      <c r="G73" s="111">
        <v>-43380.51</v>
      </c>
      <c r="H73" s="116"/>
      <c r="I73" s="111">
        <v>-44681.925300000003</v>
      </c>
      <c r="J73" s="111"/>
      <c r="K73" s="111">
        <v>-112432.05501499699</v>
      </c>
      <c r="L73" s="111"/>
      <c r="M73" s="111">
        <v>-310912.10946813802</v>
      </c>
      <c r="N73" s="111"/>
      <c r="O73" s="111">
        <v>-403019.82189807401</v>
      </c>
      <c r="P73" s="156"/>
      <c r="Q73" s="99" t="s">
        <v>63</v>
      </c>
      <c r="R73" s="114"/>
    </row>
    <row r="74" spans="1:18" s="86" customFormat="1" hidden="1" x14ac:dyDescent="0.3">
      <c r="A74" s="94" t="s">
        <v>69</v>
      </c>
      <c r="B74" s="94"/>
      <c r="C74" s="86" t="s">
        <v>66</v>
      </c>
      <c r="D74" s="86" t="s">
        <v>67</v>
      </c>
      <c r="E74" s="86" t="s">
        <v>26</v>
      </c>
      <c r="F74" s="95">
        <v>-383903</v>
      </c>
      <c r="G74" s="111"/>
      <c r="H74" s="111"/>
      <c r="I74" s="111">
        <v>0</v>
      </c>
      <c r="J74" s="111"/>
      <c r="K74" s="111">
        <v>-140325.36064097899</v>
      </c>
      <c r="L74" s="111"/>
      <c r="M74" s="111">
        <v>-389281.26046616299</v>
      </c>
      <c r="N74" s="111"/>
      <c r="O74" s="111">
        <v>-506211.619078686</v>
      </c>
      <c r="P74" s="156"/>
      <c r="Q74" s="99" t="s">
        <v>68</v>
      </c>
      <c r="R74" s="114"/>
    </row>
    <row r="75" spans="1:18" s="86" customFormat="1" hidden="1" x14ac:dyDescent="0.3">
      <c r="A75" s="94" t="s">
        <v>70</v>
      </c>
      <c r="B75" s="94"/>
      <c r="C75" s="86" t="s">
        <v>66</v>
      </c>
      <c r="D75" s="86" t="s">
        <v>67</v>
      </c>
      <c r="E75" s="86" t="s">
        <v>26</v>
      </c>
      <c r="F75" s="95">
        <v>-193781</v>
      </c>
      <c r="G75" s="111"/>
      <c r="H75" s="111"/>
      <c r="I75" s="111">
        <v>0</v>
      </c>
      <c r="J75" s="111"/>
      <c r="K75" s="111">
        <v>-70831.3684610239</v>
      </c>
      <c r="L75" s="111"/>
      <c r="M75" s="111">
        <v>-196495.66029334199</v>
      </c>
      <c r="N75" s="111"/>
      <c r="O75" s="111">
        <v>-255518.04425395399</v>
      </c>
      <c r="P75" s="156"/>
      <c r="Q75" s="99" t="s">
        <v>68</v>
      </c>
      <c r="R75" s="114"/>
    </row>
    <row r="76" spans="1:18" s="86" customFormat="1" hidden="1" x14ac:dyDescent="0.3">
      <c r="A76" s="94" t="s">
        <v>71</v>
      </c>
      <c r="B76" s="94"/>
      <c r="C76" s="86" t="s">
        <v>66</v>
      </c>
      <c r="D76" s="86" t="s">
        <v>67</v>
      </c>
      <c r="E76" s="86" t="s">
        <v>26</v>
      </c>
      <c r="F76" s="95">
        <v>-95334</v>
      </c>
      <c r="G76" s="111"/>
      <c r="H76" s="111"/>
      <c r="I76" s="111">
        <v>0</v>
      </c>
      <c r="J76" s="111"/>
      <c r="K76" s="111">
        <v>-41714.2515680836</v>
      </c>
      <c r="L76" s="111"/>
      <c r="M76" s="111">
        <v>-112350.38422337201</v>
      </c>
      <c r="N76" s="111"/>
      <c r="O76" s="111">
        <v>-141842.36008200701</v>
      </c>
      <c r="P76" s="156"/>
      <c r="Q76" s="99" t="s">
        <v>68</v>
      </c>
      <c r="R76" s="114"/>
    </row>
    <row r="77" spans="1:18" s="86" customFormat="1" hidden="1" x14ac:dyDescent="0.3">
      <c r="A77" s="94" t="s">
        <v>72</v>
      </c>
      <c r="B77" s="94"/>
      <c r="C77" s="86" t="s">
        <v>66</v>
      </c>
      <c r="D77" s="86" t="s">
        <v>67</v>
      </c>
      <c r="E77" s="86" t="s">
        <v>26</v>
      </c>
      <c r="F77" s="95">
        <v>-48454</v>
      </c>
      <c r="G77" s="111"/>
      <c r="H77" s="111"/>
      <c r="I77" s="111">
        <v>0</v>
      </c>
      <c r="J77" s="111"/>
      <c r="K77" s="111">
        <v>-17711.024019385601</v>
      </c>
      <c r="L77" s="111"/>
      <c r="M77" s="111">
        <v>-49132.7420996449</v>
      </c>
      <c r="N77" s="111"/>
      <c r="O77" s="111">
        <v>-63890.989507825798</v>
      </c>
      <c r="P77" s="156"/>
      <c r="Q77" s="99" t="s">
        <v>68</v>
      </c>
      <c r="R77" s="114"/>
    </row>
    <row r="78" spans="1:18" s="86" customFormat="1" hidden="1" x14ac:dyDescent="0.3">
      <c r="A78" s="94" t="s">
        <v>73</v>
      </c>
      <c r="B78" s="94"/>
      <c r="C78" s="86" t="s">
        <v>66</v>
      </c>
      <c r="D78" s="86" t="s">
        <v>67</v>
      </c>
      <c r="E78" s="86" t="s">
        <v>26</v>
      </c>
      <c r="F78" s="95">
        <v>-102647</v>
      </c>
      <c r="G78" s="111"/>
      <c r="H78" s="111"/>
      <c r="I78" s="111">
        <v>0</v>
      </c>
      <c r="J78" s="111"/>
      <c r="K78" s="111">
        <v>-36024.6675374775</v>
      </c>
      <c r="L78" s="111"/>
      <c r="M78" s="111">
        <v>-99908.411303937493</v>
      </c>
      <c r="N78" s="111"/>
      <c r="O78" s="111">
        <v>-129880.93469511899</v>
      </c>
      <c r="P78" s="156"/>
      <c r="Q78" s="99" t="s">
        <v>68</v>
      </c>
      <c r="R78" s="114"/>
    </row>
    <row r="79" spans="1:18" s="144" customFormat="1" hidden="1" x14ac:dyDescent="0.3">
      <c r="A79" s="143" t="s">
        <v>74</v>
      </c>
      <c r="B79" s="143"/>
      <c r="C79" s="144" t="s">
        <v>66</v>
      </c>
      <c r="D79" s="144" t="s">
        <v>67</v>
      </c>
      <c r="E79" s="144" t="s">
        <v>26</v>
      </c>
      <c r="F79" s="145">
        <v>-156882</v>
      </c>
      <c r="G79" s="111"/>
      <c r="H79" s="111"/>
      <c r="I79" s="111">
        <v>0</v>
      </c>
      <c r="J79" s="111"/>
      <c r="K79" s="111">
        <v>-55058.783625644799</v>
      </c>
      <c r="L79" s="111"/>
      <c r="M79" s="111">
        <v>-152696.35992178801</v>
      </c>
      <c r="N79" s="111"/>
      <c r="O79" s="111">
        <v>-198505.26789832499</v>
      </c>
      <c r="P79" s="156"/>
      <c r="Q79" s="107" t="s">
        <v>75</v>
      </c>
      <c r="R79" s="158"/>
    </row>
    <row r="80" spans="1:18" s="86" customFormat="1" hidden="1" x14ac:dyDescent="0.3">
      <c r="A80" s="94" t="s">
        <v>76</v>
      </c>
      <c r="B80" s="94"/>
      <c r="C80" s="86" t="s">
        <v>77</v>
      </c>
      <c r="D80" s="86" t="s">
        <v>78</v>
      </c>
      <c r="E80" s="86" t="s">
        <v>79</v>
      </c>
      <c r="F80" s="95">
        <f>114700/3</f>
        <v>38233.333333333336</v>
      </c>
      <c r="G80" s="111"/>
      <c r="H80" s="111"/>
      <c r="I80" s="111">
        <v>38233</v>
      </c>
      <c r="J80" s="111"/>
      <c r="K80" s="111">
        <v>38233</v>
      </c>
      <c r="L80" s="111"/>
      <c r="M80" s="111">
        <v>38233</v>
      </c>
      <c r="N80" s="111"/>
      <c r="O80" s="111">
        <v>38233</v>
      </c>
      <c r="P80" s="156"/>
      <c r="Q80" s="99" t="s">
        <v>80</v>
      </c>
      <c r="R80" s="114"/>
    </row>
    <row r="81" spans="1:18" s="86" customFormat="1" hidden="1" x14ac:dyDescent="0.3">
      <c r="A81" s="94" t="s">
        <v>81</v>
      </c>
      <c r="B81" s="94"/>
      <c r="C81" s="86" t="s">
        <v>82</v>
      </c>
      <c r="D81" s="86" t="s">
        <v>83</v>
      </c>
      <c r="E81" s="86" t="s">
        <v>38</v>
      </c>
      <c r="F81" s="95">
        <v>1240000</v>
      </c>
      <c r="G81" s="111"/>
      <c r="H81" s="111"/>
      <c r="I81" s="111">
        <v>1240000</v>
      </c>
      <c r="J81" s="111"/>
      <c r="K81" s="111">
        <v>1240000</v>
      </c>
      <c r="L81" s="111"/>
      <c r="M81" s="111">
        <v>1240000</v>
      </c>
      <c r="N81" s="111"/>
      <c r="O81" s="111">
        <v>1240000</v>
      </c>
      <c r="P81" s="159"/>
      <c r="Q81" s="110" t="s">
        <v>84</v>
      </c>
      <c r="R81" s="114"/>
    </row>
    <row r="82" spans="1:18" s="86" customFormat="1" ht="16.2" hidden="1" thickBot="1" x14ac:dyDescent="0.35">
      <c r="A82" s="94"/>
      <c r="B82" s="94"/>
      <c r="F82" s="95"/>
      <c r="G82" s="160"/>
      <c r="H82" s="160">
        <f>SUM(G65:H81)</f>
        <v>-43380.51</v>
      </c>
      <c r="I82" s="161">
        <f>SUM(I65:J81)</f>
        <v>1233551.0747</v>
      </c>
      <c r="J82" s="162"/>
      <c r="K82" s="161">
        <f>SUM(K65:L81)</f>
        <v>-1641883.4171542558</v>
      </c>
      <c r="L82" s="162"/>
      <c r="M82" s="161">
        <f>SUM(M65:N81)</f>
        <v>-6791123.4936377378</v>
      </c>
      <c r="N82" s="162"/>
      <c r="O82" s="161">
        <f>SUM(O65:P81)</f>
        <v>-9148229.73887413</v>
      </c>
      <c r="P82" s="162"/>
      <c r="Q82" s="214" t="s">
        <v>85</v>
      </c>
      <c r="R82" s="114"/>
    </row>
    <row r="83" spans="1:18" s="86" customFormat="1" ht="16.2" hidden="1" thickTop="1" x14ac:dyDescent="0.3">
      <c r="A83" s="151"/>
      <c r="B83" s="151"/>
      <c r="F83" s="95"/>
      <c r="G83" s="95"/>
      <c r="H83" s="95"/>
      <c r="J83" s="95"/>
      <c r="L83" s="95"/>
      <c r="N83" s="95"/>
      <c r="P83" s="95"/>
      <c r="Q83" s="110"/>
      <c r="R83" s="114"/>
    </row>
    <row r="84" spans="1:18" s="86" customFormat="1" hidden="1" x14ac:dyDescent="0.3">
      <c r="A84" s="86" t="s">
        <v>183</v>
      </c>
      <c r="F84" s="95"/>
      <c r="G84" s="95"/>
      <c r="H84" s="95"/>
      <c r="J84" s="95"/>
      <c r="L84" s="95"/>
      <c r="N84" s="95"/>
      <c r="P84" s="95"/>
      <c r="Q84" s="110"/>
      <c r="R84" s="114"/>
    </row>
    <row r="85" spans="1:18" hidden="1" x14ac:dyDescent="0.3">
      <c r="A85" s="85" t="s">
        <v>184</v>
      </c>
    </row>
    <row r="86" spans="1:18" hidden="1" x14ac:dyDescent="0.3">
      <c r="A86" s="85" t="s">
        <v>185</v>
      </c>
    </row>
    <row r="87" spans="1:18" hidden="1" x14ac:dyDescent="0.3"/>
    <row r="88" spans="1:18" hidden="1" x14ac:dyDescent="0.3">
      <c r="A88" s="85" t="s">
        <v>186</v>
      </c>
    </row>
    <row r="89" spans="1:18" hidden="1" x14ac:dyDescent="0.3">
      <c r="A89" s="85" t="s">
        <v>187</v>
      </c>
    </row>
    <row r="90" spans="1:18" hidden="1" x14ac:dyDescent="0.3">
      <c r="A90" s="85" t="s">
        <v>239</v>
      </c>
    </row>
    <row r="91" spans="1:18" hidden="1" x14ac:dyDescent="0.3"/>
    <row r="92" spans="1:18" hidden="1" x14ac:dyDescent="0.3">
      <c r="A92" s="85" t="s">
        <v>188</v>
      </c>
    </row>
    <row r="93" spans="1:18" hidden="1" x14ac:dyDescent="0.3">
      <c r="A93" s="85" t="s">
        <v>189</v>
      </c>
    </row>
    <row r="94" spans="1:18" hidden="1" x14ac:dyDescent="0.3">
      <c r="A94" s="85" t="s">
        <v>190</v>
      </c>
    </row>
    <row r="95" spans="1:18" hidden="1" x14ac:dyDescent="0.3"/>
    <row r="96" spans="1:18" hidden="1" x14ac:dyDescent="0.3"/>
  </sheetData>
  <mergeCells count="4">
    <mergeCell ref="I64:J64"/>
    <mergeCell ref="K64:L64"/>
    <mergeCell ref="M64:N64"/>
    <mergeCell ref="O64:P64"/>
  </mergeCells>
  <printOptions horizontalCentered="1"/>
  <pageMargins left="0.25" right="0.25" top="0.5" bottom="0.5" header="0.3" footer="0.3"/>
  <pageSetup paperSize="17" scale="65" orientation="landscape" r:id="rId1"/>
  <headerFooter>
    <oddFooter>&amp;R&amp;F;  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0FDA-024E-4C59-A2F8-49B3BA8D7D4C}">
  <sheetPr>
    <tabColor rgb="FFE8D3A2"/>
  </sheetPr>
  <dimension ref="A1:H13"/>
  <sheetViews>
    <sheetView workbookViewId="0">
      <selection activeCell="D13" sqref="D13"/>
    </sheetView>
  </sheetViews>
  <sheetFormatPr defaultRowHeight="13.2" x14ac:dyDescent="0.25"/>
  <cols>
    <col min="1" max="1" width="19.44140625" customWidth="1"/>
    <col min="3" max="3" width="13.6640625" bestFit="1" customWidth="1"/>
    <col min="4" max="7" width="12.109375" bestFit="1" customWidth="1"/>
  </cols>
  <sheetData>
    <row r="1" spans="1:8" x14ac:dyDescent="0.25">
      <c r="A1" s="267" t="s">
        <v>243</v>
      </c>
      <c r="B1" s="267">
        <v>2015</v>
      </c>
      <c r="C1" s="267">
        <v>2016</v>
      </c>
      <c r="D1" s="267">
        <v>2017</v>
      </c>
      <c r="E1" s="267">
        <v>2018</v>
      </c>
      <c r="F1" s="267">
        <v>2019</v>
      </c>
      <c r="G1" s="267">
        <v>2020</v>
      </c>
      <c r="H1" s="267">
        <v>2021</v>
      </c>
    </row>
    <row r="2" spans="1:8" x14ac:dyDescent="0.25">
      <c r="A2" s="267" t="s">
        <v>320</v>
      </c>
      <c r="C2" s="266">
        <v>1658510.77</v>
      </c>
      <c r="D2" s="266">
        <v>740683.10747711267</v>
      </c>
      <c r="E2" s="266">
        <v>909286.3600000001</v>
      </c>
      <c r="F2" s="266">
        <v>949403.31999999983</v>
      </c>
      <c r="G2" s="266">
        <v>501039</v>
      </c>
    </row>
    <row r="3" spans="1:8" x14ac:dyDescent="0.25">
      <c r="A3" s="267" t="s">
        <v>321</v>
      </c>
      <c r="C3" s="68">
        <f>C2</f>
        <v>1658510.77</v>
      </c>
      <c r="D3" s="68">
        <f>C3+D2</f>
        <v>2399193.8774771127</v>
      </c>
      <c r="E3" s="68">
        <f>D3+E2</f>
        <v>3308480.2374771126</v>
      </c>
      <c r="F3" s="68">
        <f>E3+F2</f>
        <v>4257883.5574771129</v>
      </c>
      <c r="G3" s="68">
        <f>F3+G2</f>
        <v>4758922.5574771129</v>
      </c>
    </row>
    <row r="5" spans="1:8" x14ac:dyDescent="0.25">
      <c r="D5" s="266"/>
      <c r="E5" s="266"/>
      <c r="F5" s="266"/>
      <c r="G5" s="266"/>
    </row>
    <row r="6" spans="1:8" x14ac:dyDescent="0.25">
      <c r="D6" s="266"/>
      <c r="E6" s="266"/>
      <c r="F6" s="266"/>
      <c r="G6" s="266"/>
    </row>
    <row r="7" spans="1:8" x14ac:dyDescent="0.25">
      <c r="C7" s="266"/>
      <c r="D7" s="266"/>
      <c r="E7" s="266"/>
      <c r="F7" s="266"/>
      <c r="G7" s="266"/>
    </row>
    <row r="9" spans="1:8" x14ac:dyDescent="0.25">
      <c r="C9" s="68"/>
      <c r="D9" s="68"/>
      <c r="E9" s="68"/>
      <c r="F9" s="68"/>
      <c r="G9" s="68"/>
    </row>
    <row r="13" spans="1:8" ht="13.8" x14ac:dyDescent="0.25">
      <c r="D13" s="27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3"/>
  <sheetViews>
    <sheetView topLeftCell="A10" workbookViewId="0">
      <selection activeCell="K25" sqref="K25"/>
    </sheetView>
  </sheetViews>
  <sheetFormatPr defaultRowHeight="13.2" x14ac:dyDescent="0.25"/>
  <cols>
    <col min="1" max="1" width="26.109375" customWidth="1"/>
    <col min="2" max="3" width="11.6640625" bestFit="1" customWidth="1"/>
    <col min="4" max="4" width="13.6640625" bestFit="1" customWidth="1"/>
    <col min="5" max="5" width="12.44140625" bestFit="1" customWidth="1"/>
    <col min="6" max="6" width="14.6640625" bestFit="1" customWidth="1"/>
    <col min="7" max="7" width="13.5546875" bestFit="1" customWidth="1"/>
    <col min="8" max="8" width="14.6640625" bestFit="1" customWidth="1"/>
    <col min="9" max="9" width="12.6640625" bestFit="1" customWidth="1"/>
    <col min="10" max="10" width="15.109375" bestFit="1" customWidth="1"/>
    <col min="11" max="11" width="13.5546875" bestFit="1" customWidth="1"/>
  </cols>
  <sheetData>
    <row r="2" spans="1:11" ht="13.8" thickBot="1" x14ac:dyDescent="0.3"/>
    <row r="3" spans="1:11" ht="13.8" thickBot="1" x14ac:dyDescent="0.3">
      <c r="B3" s="65">
        <v>2017</v>
      </c>
      <c r="C3" s="66"/>
      <c r="D3" s="65">
        <v>2018</v>
      </c>
      <c r="E3" s="66"/>
      <c r="F3" s="65">
        <v>2019</v>
      </c>
      <c r="G3" s="66"/>
      <c r="H3" s="65">
        <v>2020</v>
      </c>
      <c r="I3" s="66"/>
      <c r="J3" s="65">
        <v>2021</v>
      </c>
      <c r="K3" s="66"/>
    </row>
    <row r="4" spans="1:11" ht="13.8" thickBot="1" x14ac:dyDescent="0.3">
      <c r="A4" s="58" t="s">
        <v>236</v>
      </c>
      <c r="B4" s="58" t="s">
        <v>120</v>
      </c>
      <c r="C4" s="59" t="s">
        <v>235</v>
      </c>
      <c r="D4" s="58" t="s">
        <v>120</v>
      </c>
      <c r="E4" s="59" t="s">
        <v>235</v>
      </c>
      <c r="F4" s="58" t="s">
        <v>120</v>
      </c>
      <c r="G4" s="59" t="s">
        <v>235</v>
      </c>
      <c r="H4" s="58" t="s">
        <v>120</v>
      </c>
      <c r="I4" s="59" t="s">
        <v>235</v>
      </c>
      <c r="J4" s="58" t="s">
        <v>120</v>
      </c>
      <c r="K4" s="59" t="s">
        <v>235</v>
      </c>
    </row>
    <row r="5" spans="1:11" x14ac:dyDescent="0.25">
      <c r="A5" s="60" t="s">
        <v>5</v>
      </c>
      <c r="B5" s="57"/>
      <c r="C5" s="55"/>
      <c r="D5" s="57">
        <f t="shared" ref="D5:K5" si="0">D15-B15</f>
        <v>35000</v>
      </c>
      <c r="E5" s="55">
        <f t="shared" si="0"/>
        <v>-12600</v>
      </c>
      <c r="F5" s="57">
        <f t="shared" si="0"/>
        <v>286000</v>
      </c>
      <c r="G5" s="55">
        <f t="shared" si="0"/>
        <v>-58738.369999999995</v>
      </c>
      <c r="H5" s="57">
        <f t="shared" si="0"/>
        <v>108180</v>
      </c>
      <c r="I5" s="55">
        <f t="shared" si="0"/>
        <v>-24165</v>
      </c>
      <c r="J5" s="57">
        <f t="shared" si="0"/>
        <v>14275.400000000023</v>
      </c>
      <c r="K5" s="55">
        <f t="shared" si="0"/>
        <v>-9666</v>
      </c>
    </row>
    <row r="6" spans="1:11" x14ac:dyDescent="0.25">
      <c r="A6" s="60" t="s">
        <v>11</v>
      </c>
      <c r="B6" s="57"/>
      <c r="C6" s="55">
        <v>97792</v>
      </c>
      <c r="D6" s="57">
        <f t="shared" ref="D6:D8" si="1">D16-B16</f>
        <v>533214</v>
      </c>
      <c r="E6" s="55">
        <f t="shared" ref="E6:E8" si="2">E16-C16</f>
        <v>655484</v>
      </c>
      <c r="F6" s="57">
        <f t="shared" ref="F6:F8" si="3">F16-D16</f>
        <v>99026</v>
      </c>
      <c r="G6" s="55">
        <f t="shared" ref="G6:G8" si="4">G16-E16</f>
        <v>612121.89999999991</v>
      </c>
      <c r="H6" s="57">
        <f t="shared" ref="H6:H8" si="5">H16-F16</f>
        <v>124434</v>
      </c>
      <c r="I6" s="55">
        <f t="shared" ref="I6:I8" si="6">I16-G16</f>
        <v>137344.10000000009</v>
      </c>
      <c r="J6" s="57">
        <f t="shared" ref="J6:J8" si="7">J16-H16</f>
        <v>24894</v>
      </c>
      <c r="K6" s="55">
        <f t="shared" ref="K6:K8" si="8">K16-I16</f>
        <v>443</v>
      </c>
    </row>
    <row r="7" spans="1:11" x14ac:dyDescent="0.25">
      <c r="A7" s="60" t="s">
        <v>26</v>
      </c>
      <c r="B7" s="57">
        <v>25000.000000000047</v>
      </c>
      <c r="C7" s="55"/>
      <c r="D7" s="57">
        <f t="shared" si="1"/>
        <v>232499.99999999994</v>
      </c>
      <c r="E7" s="55">
        <f t="shared" si="2"/>
        <v>0</v>
      </c>
      <c r="F7" s="57">
        <f t="shared" si="3"/>
        <v>-1136662.4368493438</v>
      </c>
      <c r="G7" s="55">
        <f t="shared" si="4"/>
        <v>-207428</v>
      </c>
      <c r="H7" s="57">
        <f t="shared" si="5"/>
        <v>-2107068.6141555514</v>
      </c>
      <c r="I7" s="55">
        <f t="shared" si="6"/>
        <v>-764900</v>
      </c>
      <c r="J7" s="57">
        <f t="shared" si="7"/>
        <v>-982007.11975069251</v>
      </c>
      <c r="K7" s="55">
        <f t="shared" si="8"/>
        <v>-581698</v>
      </c>
    </row>
    <row r="8" spans="1:11" ht="13.8" thickBot="1" x14ac:dyDescent="0.3">
      <c r="A8" s="61" t="s">
        <v>38</v>
      </c>
      <c r="B8" s="56"/>
      <c r="C8" s="54"/>
      <c r="D8" s="57">
        <f t="shared" si="1"/>
        <v>586256.93999999994</v>
      </c>
      <c r="E8" s="55">
        <f t="shared" si="2"/>
        <v>0</v>
      </c>
      <c r="F8" s="57">
        <f t="shared" si="3"/>
        <v>-438128.87521508662</v>
      </c>
      <c r="G8" s="55">
        <f t="shared" si="4"/>
        <v>0</v>
      </c>
      <c r="H8" s="57">
        <f t="shared" si="5"/>
        <v>-1161541.2869179973</v>
      </c>
      <c r="I8" s="55">
        <f t="shared" si="6"/>
        <v>0</v>
      </c>
      <c r="J8" s="57">
        <f t="shared" si="7"/>
        <v>-590075.53144293604</v>
      </c>
      <c r="K8" s="55">
        <f t="shared" si="8"/>
        <v>0</v>
      </c>
    </row>
    <row r="9" spans="1:11" ht="13.8" thickBot="1" x14ac:dyDescent="0.3">
      <c r="A9" s="62" t="s">
        <v>253</v>
      </c>
      <c r="B9" s="63">
        <f>SUM(B5:B8)</f>
        <v>25000.000000000047</v>
      </c>
      <c r="C9" s="64">
        <f t="shared" ref="C9:K9" si="9">SUM(C5:C8)</f>
        <v>97792</v>
      </c>
      <c r="D9" s="63">
        <f t="shared" si="9"/>
        <v>1386970.94</v>
      </c>
      <c r="E9" s="64">
        <f t="shared" si="9"/>
        <v>642884</v>
      </c>
      <c r="F9" s="63">
        <f t="shared" si="9"/>
        <v>-1189765.3120644304</v>
      </c>
      <c r="G9" s="64">
        <f t="shared" si="9"/>
        <v>345955.52999999991</v>
      </c>
      <c r="H9" s="63">
        <f t="shared" si="9"/>
        <v>-3035995.9010735489</v>
      </c>
      <c r="I9" s="64">
        <f t="shared" si="9"/>
        <v>-651720.89999999991</v>
      </c>
      <c r="J9" s="63">
        <f t="shared" si="9"/>
        <v>-1532913.2511936286</v>
      </c>
      <c r="K9" s="64">
        <f t="shared" si="9"/>
        <v>-590921</v>
      </c>
    </row>
    <row r="12" spans="1:11" ht="13.8" thickBot="1" x14ac:dyDescent="0.3">
      <c r="A12" s="69" t="s">
        <v>254</v>
      </c>
    </row>
    <row r="13" spans="1:11" ht="13.8" thickBot="1" x14ac:dyDescent="0.3">
      <c r="A13" s="69"/>
      <c r="B13" s="65">
        <v>2017</v>
      </c>
      <c r="C13" s="66"/>
      <c r="D13" s="65">
        <v>2018</v>
      </c>
      <c r="E13" s="66"/>
      <c r="F13" s="65">
        <v>2019</v>
      </c>
      <c r="G13" s="66"/>
      <c r="H13" s="65">
        <v>2020</v>
      </c>
      <c r="I13" s="66"/>
      <c r="J13" s="65">
        <v>2021</v>
      </c>
      <c r="K13" s="66"/>
    </row>
    <row r="14" spans="1:11" ht="13.8" thickBot="1" x14ac:dyDescent="0.3">
      <c r="A14" s="58" t="s">
        <v>236</v>
      </c>
      <c r="B14" s="58" t="s">
        <v>120</v>
      </c>
      <c r="C14" s="59" t="s">
        <v>235</v>
      </c>
      <c r="D14" s="58" t="s">
        <v>120</v>
      </c>
      <c r="E14" s="59" t="s">
        <v>235</v>
      </c>
      <c r="F14" s="58" t="s">
        <v>120</v>
      </c>
      <c r="G14" s="59" t="s">
        <v>235</v>
      </c>
      <c r="H14" s="58" t="s">
        <v>120</v>
      </c>
      <c r="I14" s="59" t="s">
        <v>235</v>
      </c>
      <c r="J14" s="58" t="s">
        <v>120</v>
      </c>
      <c r="K14" s="59" t="s">
        <v>235</v>
      </c>
    </row>
    <row r="15" spans="1:11" x14ac:dyDescent="0.25">
      <c r="A15" s="60" t="s">
        <v>5</v>
      </c>
      <c r="B15" s="73"/>
      <c r="C15" s="74"/>
      <c r="D15" s="73">
        <v>35000</v>
      </c>
      <c r="E15" s="74">
        <v>-12600</v>
      </c>
      <c r="F15" s="73">
        <v>321000</v>
      </c>
      <c r="G15" s="74">
        <v>-71338.37</v>
      </c>
      <c r="H15" s="73">
        <v>429180</v>
      </c>
      <c r="I15" s="74">
        <v>-95503.37</v>
      </c>
      <c r="J15" s="79">
        <v>443455.4</v>
      </c>
      <c r="K15" s="80">
        <v>-105169.37</v>
      </c>
    </row>
    <row r="16" spans="1:11" x14ac:dyDescent="0.25">
      <c r="A16" s="60" t="s">
        <v>11</v>
      </c>
      <c r="B16" s="75"/>
      <c r="C16" s="76">
        <v>97792</v>
      </c>
      <c r="D16" s="75">
        <v>533214</v>
      </c>
      <c r="E16" s="76">
        <v>753276</v>
      </c>
      <c r="F16" s="75">
        <v>632240</v>
      </c>
      <c r="G16" s="76">
        <v>1365397.9</v>
      </c>
      <c r="H16" s="75">
        <v>756674</v>
      </c>
      <c r="I16" s="76">
        <v>1502742</v>
      </c>
      <c r="J16" s="81">
        <v>781568</v>
      </c>
      <c r="K16" s="82">
        <v>1503185</v>
      </c>
    </row>
    <row r="17" spans="1:11" x14ac:dyDescent="0.25">
      <c r="A17" s="60" t="s">
        <v>26</v>
      </c>
      <c r="B17" s="75">
        <v>25000.000000000047</v>
      </c>
      <c r="C17" s="76"/>
      <c r="D17" s="75">
        <v>257500</v>
      </c>
      <c r="E17" s="76"/>
      <c r="F17" s="75">
        <v>-879162.43684934382</v>
      </c>
      <c r="G17" s="76">
        <v>-207428</v>
      </c>
      <c r="H17" s="75">
        <v>-2986231.051004895</v>
      </c>
      <c r="I17" s="76">
        <v>-972328</v>
      </c>
      <c r="J17" s="81">
        <v>-3968238.1707555875</v>
      </c>
      <c r="K17" s="82">
        <v>-1554026</v>
      </c>
    </row>
    <row r="18" spans="1:11" ht="13.8" thickBot="1" x14ac:dyDescent="0.3">
      <c r="A18" s="61" t="s">
        <v>38</v>
      </c>
      <c r="B18" s="77"/>
      <c r="C18" s="78"/>
      <c r="D18" s="77">
        <v>586256.93999999994</v>
      </c>
      <c r="E18" s="78"/>
      <c r="F18" s="77">
        <v>148128.06478491332</v>
      </c>
      <c r="G18" s="78"/>
      <c r="H18" s="77">
        <v>-1013413.222133084</v>
      </c>
      <c r="I18" s="78"/>
      <c r="J18" s="83">
        <v>-1603488.75357602</v>
      </c>
      <c r="K18" s="84"/>
    </row>
    <row r="19" spans="1:11" x14ac:dyDescent="0.25">
      <c r="A19" s="71"/>
      <c r="B19" s="72">
        <f>SUM(B15:B18)</f>
        <v>25000.000000000047</v>
      </c>
      <c r="C19" s="72">
        <f t="shared" ref="C19:K19" si="10">SUM(C15:C18)</f>
        <v>97792</v>
      </c>
      <c r="D19" s="72">
        <f t="shared" si="10"/>
        <v>1411970.94</v>
      </c>
      <c r="E19" s="72">
        <f t="shared" si="10"/>
        <v>740676</v>
      </c>
      <c r="F19" s="72">
        <f t="shared" si="10"/>
        <v>222205.6279355695</v>
      </c>
      <c r="G19" s="72">
        <f t="shared" si="10"/>
        <v>1086631.5299999998</v>
      </c>
      <c r="H19" s="72">
        <f t="shared" si="10"/>
        <v>-2813790.2731379792</v>
      </c>
      <c r="I19" s="72">
        <f t="shared" si="10"/>
        <v>434910.62999999989</v>
      </c>
      <c r="J19" s="72">
        <f t="shared" si="10"/>
        <v>-4346703.5243316079</v>
      </c>
      <c r="K19" s="72">
        <f t="shared" si="10"/>
        <v>-156010.37000000011</v>
      </c>
    </row>
    <row r="20" spans="1:11" x14ac:dyDescent="0.2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2" spans="1:11" x14ac:dyDescent="0.25">
      <c r="A22" s="67" t="s">
        <v>243</v>
      </c>
      <c r="B22" s="70">
        <v>2017</v>
      </c>
      <c r="C22" s="70">
        <v>2018</v>
      </c>
      <c r="D22" s="70">
        <v>2019</v>
      </c>
      <c r="E22" s="70">
        <v>2020</v>
      </c>
      <c r="F22" s="70">
        <v>2021</v>
      </c>
    </row>
    <row r="23" spans="1:11" x14ac:dyDescent="0.25">
      <c r="A23" s="67" t="s">
        <v>242</v>
      </c>
      <c r="B23" s="68">
        <f>B9+C9</f>
        <v>122792.00000000004</v>
      </c>
      <c r="C23" s="68">
        <f>D9+E9</f>
        <v>2029854.94</v>
      </c>
      <c r="D23" s="68">
        <f>F9+G9</f>
        <v>-843809.78206443053</v>
      </c>
      <c r="E23" s="68">
        <f>H9+I9</f>
        <v>-3687716.8010735488</v>
      </c>
      <c r="F23" s="68">
        <f>J9+K9</f>
        <v>-2123834.2511936286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5"/>
  <sheetViews>
    <sheetView zoomScale="70" zoomScaleNormal="70" workbookViewId="0">
      <selection activeCell="C31" sqref="C31"/>
    </sheetView>
  </sheetViews>
  <sheetFormatPr defaultRowHeight="13.2" x14ac:dyDescent="0.25"/>
  <cols>
    <col min="1" max="1" width="2.6640625" customWidth="1"/>
    <col min="2" max="2" width="39.6640625" customWidth="1"/>
    <col min="3" max="3" width="17.33203125" bestFit="1" customWidth="1"/>
    <col min="4" max="4" width="4.33203125" bestFit="1" customWidth="1"/>
    <col min="5" max="5" width="13.33203125" bestFit="1" customWidth="1"/>
    <col min="6" max="6" width="26.109375" bestFit="1" customWidth="1"/>
    <col min="8" max="8" width="2" customWidth="1"/>
    <col min="10" max="10" width="2" customWidth="1"/>
    <col min="11" max="11" width="11.33203125" bestFit="1" customWidth="1"/>
    <col min="12" max="12" width="2" customWidth="1"/>
    <col min="13" max="13" width="11.33203125" bestFit="1" customWidth="1"/>
    <col min="14" max="14" width="2" customWidth="1"/>
    <col min="15" max="15" width="11.33203125" bestFit="1" customWidth="1"/>
    <col min="16" max="16" width="2" customWidth="1"/>
    <col min="17" max="17" width="12.33203125" bestFit="1" customWidth="1"/>
    <col min="18" max="18" width="2" customWidth="1"/>
  </cols>
  <sheetData>
    <row r="1" spans="1:19" x14ac:dyDescent="0.25">
      <c r="A1" t="s">
        <v>225</v>
      </c>
    </row>
    <row r="2" spans="1:19" x14ac:dyDescent="0.25">
      <c r="B2" t="s">
        <v>107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9" x14ac:dyDescent="0.25">
      <c r="B3" t="s">
        <v>1</v>
      </c>
      <c r="C3" t="s">
        <v>2</v>
      </c>
      <c r="D3" t="s">
        <v>3</v>
      </c>
      <c r="E3" t="s">
        <v>0</v>
      </c>
      <c r="F3" s="47" t="s">
        <v>4</v>
      </c>
      <c r="G3" s="48">
        <v>2016</v>
      </c>
      <c r="H3" s="48"/>
      <c r="I3" s="48">
        <v>2017</v>
      </c>
      <c r="J3" s="48"/>
      <c r="K3" s="48">
        <v>2018</v>
      </c>
      <c r="L3" s="48"/>
      <c r="M3" s="48">
        <v>2019</v>
      </c>
      <c r="N3" s="48"/>
      <c r="O3" s="48">
        <v>2020</v>
      </c>
      <c r="P3" s="48"/>
      <c r="Q3" s="48">
        <v>2021</v>
      </c>
      <c r="R3" s="48"/>
      <c r="S3" t="s">
        <v>39</v>
      </c>
    </row>
    <row r="4" spans="1:19" x14ac:dyDescent="0.25">
      <c r="B4" t="s">
        <v>47</v>
      </c>
      <c r="C4" t="s">
        <v>9</v>
      </c>
      <c r="D4" t="s">
        <v>10</v>
      </c>
      <c r="E4" t="s">
        <v>5</v>
      </c>
      <c r="F4" s="47">
        <v>-148000</v>
      </c>
      <c r="G4" s="47"/>
      <c r="H4" s="47"/>
      <c r="I4" s="47"/>
      <c r="J4" s="47"/>
      <c r="K4" s="47">
        <v>-37000</v>
      </c>
      <c r="L4" s="47"/>
      <c r="M4" s="47">
        <v>-74000</v>
      </c>
      <c r="N4" s="47"/>
      <c r="O4" s="47">
        <v>-37000</v>
      </c>
      <c r="P4" s="47"/>
      <c r="Q4" s="47"/>
      <c r="R4" s="47"/>
      <c r="S4" t="s">
        <v>48</v>
      </c>
    </row>
    <row r="5" spans="1:19" x14ac:dyDescent="0.25">
      <c r="B5" t="s">
        <v>227</v>
      </c>
      <c r="F5" s="47"/>
      <c r="G5" s="47"/>
      <c r="H5" s="47"/>
      <c r="I5" s="47"/>
      <c r="J5" s="47"/>
      <c r="K5" s="47">
        <v>0</v>
      </c>
      <c r="L5" s="47"/>
      <c r="M5" s="47">
        <v>0</v>
      </c>
      <c r="N5" s="47"/>
      <c r="O5" s="47">
        <v>0</v>
      </c>
      <c r="P5" s="47"/>
      <c r="Q5" s="47">
        <v>0</v>
      </c>
      <c r="R5" s="47"/>
      <c r="S5" t="s">
        <v>229</v>
      </c>
    </row>
    <row r="6" spans="1:19" x14ac:dyDescent="0.25">
      <c r="B6" t="s">
        <v>49</v>
      </c>
      <c r="C6" t="s">
        <v>9</v>
      </c>
      <c r="D6" t="s">
        <v>10</v>
      </c>
      <c r="E6" t="s">
        <v>5</v>
      </c>
      <c r="F6" s="47">
        <v>-829895</v>
      </c>
      <c r="G6" s="47"/>
      <c r="H6" s="47"/>
      <c r="I6" s="47"/>
      <c r="J6" s="47"/>
      <c r="K6" s="47">
        <v>-449985</v>
      </c>
      <c r="L6" s="47"/>
      <c r="M6" s="47">
        <v>-748776</v>
      </c>
      <c r="N6" s="47"/>
      <c r="O6" s="47">
        <v>-973408</v>
      </c>
      <c r="P6" s="47"/>
      <c r="Q6" s="47">
        <v>-1012345</v>
      </c>
      <c r="R6" s="47"/>
      <c r="S6" t="s">
        <v>50</v>
      </c>
    </row>
    <row r="7" spans="1:19" x14ac:dyDescent="0.25">
      <c r="B7" t="s">
        <v>51</v>
      </c>
      <c r="C7" t="s">
        <v>52</v>
      </c>
      <c r="D7" t="s">
        <v>53</v>
      </c>
      <c r="E7" t="s">
        <v>5</v>
      </c>
      <c r="F7" s="47">
        <v>-219451</v>
      </c>
      <c r="G7" s="47"/>
      <c r="H7" s="47"/>
      <c r="I7" s="47"/>
      <c r="J7" s="47"/>
      <c r="K7" s="47"/>
      <c r="L7" s="47"/>
      <c r="M7" s="47">
        <v>-123426</v>
      </c>
      <c r="N7" s="47"/>
      <c r="O7" s="47">
        <v>-256726</v>
      </c>
      <c r="P7" s="47"/>
      <c r="Q7" s="47">
        <v>-266995</v>
      </c>
      <c r="R7" s="47"/>
      <c r="S7" t="s">
        <v>54</v>
      </c>
    </row>
    <row r="8" spans="1:19" x14ac:dyDescent="0.25">
      <c r="B8" t="s">
        <v>55</v>
      </c>
      <c r="C8" t="s">
        <v>52</v>
      </c>
      <c r="D8" t="s">
        <v>53</v>
      </c>
      <c r="E8" t="s">
        <v>5</v>
      </c>
      <c r="F8" s="47">
        <v>-248115</v>
      </c>
      <c r="G8" s="47"/>
      <c r="H8" s="47"/>
      <c r="I8" s="47"/>
      <c r="J8" s="47"/>
      <c r="K8" s="47"/>
      <c r="L8" s="47"/>
      <c r="M8" s="47"/>
      <c r="N8" s="47"/>
      <c r="O8" s="51">
        <v>-232208</v>
      </c>
      <c r="P8" s="51"/>
      <c r="Q8" s="51">
        <v>-301870</v>
      </c>
      <c r="R8" s="47"/>
      <c r="S8" t="s">
        <v>54</v>
      </c>
    </row>
    <row r="9" spans="1:19" x14ac:dyDescent="0.25">
      <c r="B9" t="s">
        <v>56</v>
      </c>
      <c r="C9" t="s">
        <v>9</v>
      </c>
      <c r="D9" t="s">
        <v>10</v>
      </c>
      <c r="E9" t="s">
        <v>5</v>
      </c>
      <c r="F9" s="47">
        <v>-214776</v>
      </c>
      <c r="G9" s="47"/>
      <c r="H9" s="47"/>
      <c r="I9" s="47"/>
      <c r="J9" s="47"/>
      <c r="K9" s="51">
        <v>-57741</v>
      </c>
      <c r="L9" s="51"/>
      <c r="M9" s="51">
        <v>-179632</v>
      </c>
      <c r="N9" s="51"/>
      <c r="O9" s="51">
        <v>-248371</v>
      </c>
      <c r="P9" s="51"/>
      <c r="Q9" s="51">
        <v>-257560</v>
      </c>
      <c r="R9" s="47"/>
      <c r="S9" t="s">
        <v>57</v>
      </c>
    </row>
    <row r="10" spans="1:19" x14ac:dyDescent="0.25">
      <c r="B10" t="s">
        <v>58</v>
      </c>
      <c r="C10" t="s">
        <v>52</v>
      </c>
      <c r="D10" t="s">
        <v>53</v>
      </c>
      <c r="E10" t="s">
        <v>5</v>
      </c>
      <c r="F10" s="47">
        <v>-2741156</v>
      </c>
      <c r="G10" s="47"/>
      <c r="H10" s="47"/>
      <c r="I10" s="47"/>
      <c r="J10" s="47"/>
      <c r="K10" s="47">
        <v>-1024900</v>
      </c>
      <c r="L10" s="47"/>
      <c r="M10" s="47">
        <v>-3322035</v>
      </c>
      <c r="N10" s="47"/>
      <c r="O10" s="47">
        <v>-4343091</v>
      </c>
      <c r="P10" s="47"/>
      <c r="Q10" s="47">
        <v>-4766966</v>
      </c>
      <c r="R10" s="47"/>
      <c r="S10" s="49" t="s">
        <v>59</v>
      </c>
    </row>
    <row r="11" spans="1:19" x14ac:dyDescent="0.25">
      <c r="B11" t="s">
        <v>60</v>
      </c>
      <c r="C11" t="s">
        <v>61</v>
      </c>
      <c r="E11" t="s">
        <v>62</v>
      </c>
      <c r="F11" s="47">
        <v>-1570233</v>
      </c>
      <c r="G11" s="47"/>
      <c r="H11" s="47"/>
      <c r="I11" s="47"/>
      <c r="J11" s="47"/>
      <c r="K11" s="47">
        <v>-168858</v>
      </c>
      <c r="L11" s="47"/>
      <c r="M11" s="47">
        <v>-437764</v>
      </c>
      <c r="N11" s="47"/>
      <c r="O11" s="47">
        <v>-1361885</v>
      </c>
      <c r="P11" s="47"/>
      <c r="Q11" s="47">
        <v>-1883033</v>
      </c>
      <c r="R11" s="47"/>
      <c r="S11" t="s">
        <v>63</v>
      </c>
    </row>
    <row r="12" spans="1:19" x14ac:dyDescent="0.25">
      <c r="B12" t="s">
        <v>64</v>
      </c>
      <c r="C12" t="s">
        <v>61</v>
      </c>
      <c r="E12" t="s">
        <v>62</v>
      </c>
      <c r="F12" s="47">
        <v>-324081</v>
      </c>
      <c r="G12" s="47"/>
      <c r="H12" s="47"/>
      <c r="I12" s="47"/>
      <c r="J12" s="47"/>
      <c r="K12" s="47">
        <v>-104552</v>
      </c>
      <c r="L12" s="47"/>
      <c r="M12" s="47">
        <v>-252981</v>
      </c>
      <c r="N12" s="47"/>
      <c r="O12" s="47">
        <v>-337296</v>
      </c>
      <c r="P12" s="47"/>
      <c r="Q12" s="47">
        <v>-388640</v>
      </c>
      <c r="R12" s="47"/>
      <c r="S12" t="s">
        <v>63</v>
      </c>
    </row>
    <row r="13" spans="1:19" x14ac:dyDescent="0.25">
      <c r="B13" t="s">
        <v>65</v>
      </c>
      <c r="C13" t="s">
        <v>66</v>
      </c>
      <c r="D13" t="s">
        <v>67</v>
      </c>
      <c r="E13" t="s">
        <v>26</v>
      </c>
      <c r="F13" s="47">
        <v>-973467</v>
      </c>
      <c r="G13" s="47"/>
      <c r="H13" s="47"/>
      <c r="I13" s="47"/>
      <c r="J13" s="47"/>
      <c r="K13" s="47">
        <v>-258007</v>
      </c>
      <c r="L13" s="47"/>
      <c r="M13" s="47">
        <v>-536416</v>
      </c>
      <c r="N13" s="47"/>
      <c r="O13" s="47">
        <v>-836436</v>
      </c>
      <c r="P13" s="47"/>
      <c r="Q13" s="47">
        <v>-1159343</v>
      </c>
      <c r="R13" s="47"/>
      <c r="S13" t="s">
        <v>68</v>
      </c>
    </row>
    <row r="14" spans="1:19" x14ac:dyDescent="0.25">
      <c r="B14" t="s">
        <v>69</v>
      </c>
      <c r="C14" t="s">
        <v>66</v>
      </c>
      <c r="D14" t="s">
        <v>67</v>
      </c>
      <c r="E14" t="s">
        <v>26</v>
      </c>
      <c r="F14" s="47">
        <v>-383903</v>
      </c>
      <c r="G14" s="47"/>
      <c r="H14" s="47"/>
      <c r="I14" s="47"/>
      <c r="J14" s="47"/>
      <c r="K14" s="47">
        <v>-108053</v>
      </c>
      <c r="L14" s="47"/>
      <c r="M14" s="47">
        <v>-337223</v>
      </c>
      <c r="N14" s="47"/>
      <c r="O14" s="47">
        <v>-467751</v>
      </c>
      <c r="P14" s="47"/>
      <c r="Q14" s="47">
        <v>-486602</v>
      </c>
      <c r="R14" s="47"/>
      <c r="S14" t="s">
        <v>68</v>
      </c>
    </row>
    <row r="15" spans="1:19" x14ac:dyDescent="0.25">
      <c r="B15" t="s">
        <v>70</v>
      </c>
      <c r="C15" t="s">
        <v>66</v>
      </c>
      <c r="D15" t="s">
        <v>67</v>
      </c>
      <c r="E15" t="s">
        <v>26</v>
      </c>
      <c r="F15" s="47">
        <v>-193781</v>
      </c>
      <c r="G15" s="47"/>
      <c r="H15" s="47"/>
      <c r="I15" s="47"/>
      <c r="J15" s="47"/>
      <c r="K15" s="47">
        <v>-54542</v>
      </c>
      <c r="L15" s="47"/>
      <c r="M15" s="47">
        <v>-170219</v>
      </c>
      <c r="N15" s="47"/>
      <c r="O15" s="47">
        <v>-236105</v>
      </c>
      <c r="P15" s="47"/>
      <c r="Q15" s="47">
        <v>-245620</v>
      </c>
      <c r="R15" s="47"/>
      <c r="S15" t="s">
        <v>68</v>
      </c>
    </row>
    <row r="16" spans="1:19" x14ac:dyDescent="0.25">
      <c r="B16" t="s">
        <v>71</v>
      </c>
      <c r="C16" t="s">
        <v>66</v>
      </c>
      <c r="D16" t="s">
        <v>67</v>
      </c>
      <c r="E16" t="s">
        <v>26</v>
      </c>
      <c r="F16" s="47">
        <v>-95334</v>
      </c>
      <c r="G16" s="47"/>
      <c r="H16" s="47"/>
      <c r="I16" s="47"/>
      <c r="J16" s="47"/>
      <c r="K16" s="47">
        <v>-34077</v>
      </c>
      <c r="L16" s="47"/>
      <c r="M16" s="47">
        <v>-137671</v>
      </c>
      <c r="N16" s="47"/>
      <c r="O16" s="47">
        <v>-139048</v>
      </c>
      <c r="P16" s="47"/>
      <c r="Q16" s="47">
        <v>-140438</v>
      </c>
      <c r="R16" s="47"/>
      <c r="S16" t="s">
        <v>68</v>
      </c>
    </row>
    <row r="17" spans="1:19" x14ac:dyDescent="0.25">
      <c r="B17" t="s">
        <v>72</v>
      </c>
      <c r="C17" t="s">
        <v>66</v>
      </c>
      <c r="D17" t="s">
        <v>67</v>
      </c>
      <c r="E17" t="s">
        <v>26</v>
      </c>
      <c r="F17" s="47">
        <v>-48454</v>
      </c>
      <c r="G17" s="47"/>
      <c r="H17" s="47"/>
      <c r="I17" s="47"/>
      <c r="J17" s="47"/>
      <c r="K17" s="47">
        <v>-13638</v>
      </c>
      <c r="L17" s="47"/>
      <c r="M17" s="47">
        <v>-42562</v>
      </c>
      <c r="N17" s="47"/>
      <c r="O17" s="47">
        <v>-59037</v>
      </c>
      <c r="P17" s="47"/>
      <c r="Q17" s="47">
        <v>-61416</v>
      </c>
      <c r="R17" s="47"/>
      <c r="S17" t="s">
        <v>68</v>
      </c>
    </row>
    <row r="18" spans="1:19" x14ac:dyDescent="0.25">
      <c r="B18" t="s">
        <v>73</v>
      </c>
      <c r="C18" t="s">
        <v>66</v>
      </c>
      <c r="D18" t="s">
        <v>67</v>
      </c>
      <c r="E18" t="s">
        <v>26</v>
      </c>
      <c r="F18" s="47">
        <v>-102647</v>
      </c>
      <c r="G18" s="47"/>
      <c r="H18" s="47"/>
      <c r="I18" s="47"/>
      <c r="J18" s="47"/>
      <c r="K18" s="47">
        <v>-27756</v>
      </c>
      <c r="L18" s="47"/>
      <c r="M18" s="47">
        <v>-86598</v>
      </c>
      <c r="N18" s="47"/>
      <c r="O18" s="47">
        <v>-120082</v>
      </c>
      <c r="P18" s="47"/>
      <c r="Q18" s="47">
        <v>-124886</v>
      </c>
      <c r="R18" s="47"/>
      <c r="S18" t="s">
        <v>68</v>
      </c>
    </row>
    <row r="19" spans="1:19" x14ac:dyDescent="0.25">
      <c r="B19" t="s">
        <v>74</v>
      </c>
      <c r="C19" t="s">
        <v>66</v>
      </c>
      <c r="D19" t="s">
        <v>67</v>
      </c>
      <c r="E19" t="s">
        <v>26</v>
      </c>
      <c r="F19" s="47">
        <v>-156882</v>
      </c>
      <c r="G19" s="47"/>
      <c r="H19" s="47"/>
      <c r="I19" s="47"/>
      <c r="J19" s="47"/>
      <c r="K19" s="47">
        <v>-42421</v>
      </c>
      <c r="L19" s="47"/>
      <c r="M19" s="47">
        <v>-132353</v>
      </c>
      <c r="N19" s="47"/>
      <c r="O19" s="47">
        <v>-183529</v>
      </c>
      <c r="P19" s="47"/>
      <c r="Q19" s="47">
        <v>-190870</v>
      </c>
      <c r="R19" s="47"/>
      <c r="S19" t="s">
        <v>75</v>
      </c>
    </row>
    <row r="20" spans="1:19" x14ac:dyDescent="0.25">
      <c r="B20" t="s">
        <v>76</v>
      </c>
      <c r="C20" t="s">
        <v>77</v>
      </c>
      <c r="D20" t="s">
        <v>78</v>
      </c>
      <c r="E20" t="s">
        <v>79</v>
      </c>
      <c r="F20" s="47">
        <v>38233.333333333336</v>
      </c>
      <c r="G20" s="47"/>
      <c r="H20" s="47"/>
      <c r="I20" s="47"/>
      <c r="J20" s="47"/>
      <c r="K20" s="47">
        <v>38233</v>
      </c>
      <c r="L20" s="47"/>
      <c r="M20" s="47">
        <v>38233</v>
      </c>
      <c r="N20" s="47"/>
      <c r="O20" s="47">
        <v>38233</v>
      </c>
      <c r="P20" s="47"/>
      <c r="Q20" s="47">
        <v>38233</v>
      </c>
      <c r="R20" s="47"/>
      <c r="S20" t="s">
        <v>80</v>
      </c>
    </row>
    <row r="21" spans="1:19" x14ac:dyDescent="0.25">
      <c r="B21" t="s">
        <v>81</v>
      </c>
      <c r="C21" t="s">
        <v>82</v>
      </c>
      <c r="D21" t="s">
        <v>83</v>
      </c>
      <c r="E21" t="s">
        <v>38</v>
      </c>
      <c r="F21" s="47">
        <v>1240000</v>
      </c>
      <c r="G21" s="47"/>
      <c r="H21" s="47"/>
      <c r="I21" s="47"/>
      <c r="J21" s="47"/>
      <c r="K21" s="47">
        <v>1240000</v>
      </c>
      <c r="L21" s="47"/>
      <c r="M21" s="47">
        <v>1240000</v>
      </c>
      <c r="N21" s="47"/>
      <c r="O21" s="47">
        <v>1240000</v>
      </c>
      <c r="P21" s="47"/>
      <c r="Q21" s="47">
        <v>1240000</v>
      </c>
      <c r="R21" s="47"/>
      <c r="S21" t="s">
        <v>84</v>
      </c>
    </row>
    <row r="22" spans="1:19" x14ac:dyDescent="0.25">
      <c r="F22" s="47"/>
      <c r="G22" s="47">
        <v>0</v>
      </c>
      <c r="H22" s="47"/>
      <c r="I22" s="47"/>
      <c r="J22" s="47"/>
      <c r="K22" s="47">
        <v>-1103297</v>
      </c>
      <c r="M22" s="47">
        <v>-5303423</v>
      </c>
      <c r="O22" s="47">
        <v>-8553740</v>
      </c>
      <c r="Q22" s="47">
        <v>-10008351</v>
      </c>
      <c r="S22" t="s">
        <v>85</v>
      </c>
    </row>
    <row r="23" spans="1:19" x14ac:dyDescent="0.25">
      <c r="F23" s="47"/>
      <c r="G23" s="47"/>
      <c r="H23" s="47"/>
      <c r="I23" s="47"/>
      <c r="J23" s="47"/>
      <c r="L23" s="47"/>
      <c r="N23" s="47"/>
      <c r="P23" s="47"/>
      <c r="R23" s="47"/>
    </row>
    <row r="24" spans="1:19" x14ac:dyDescent="0.25">
      <c r="A24" t="s">
        <v>226</v>
      </c>
    </row>
    <row r="25" spans="1:19" x14ac:dyDescent="0.25">
      <c r="B25" t="s">
        <v>107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9" x14ac:dyDescent="0.25">
      <c r="B26" t="s">
        <v>1</v>
      </c>
      <c r="C26" t="s">
        <v>2</v>
      </c>
      <c r="D26" t="s">
        <v>3</v>
      </c>
      <c r="E26" t="s">
        <v>0</v>
      </c>
      <c r="F26" s="47" t="s">
        <v>4</v>
      </c>
      <c r="G26" s="48">
        <v>2016</v>
      </c>
      <c r="H26" s="48"/>
      <c r="I26" s="48">
        <v>2017</v>
      </c>
      <c r="J26" s="48"/>
      <c r="K26" s="48">
        <v>2018</v>
      </c>
      <c r="L26" s="48"/>
      <c r="M26" s="48">
        <v>2019</v>
      </c>
      <c r="N26" s="48"/>
      <c r="O26" s="48">
        <v>2020</v>
      </c>
      <c r="P26" s="48"/>
      <c r="Q26" s="48">
        <v>2021</v>
      </c>
      <c r="R26" s="48"/>
      <c r="S26" t="s">
        <v>39</v>
      </c>
    </row>
    <row r="27" spans="1:19" x14ac:dyDescent="0.25">
      <c r="B27" t="s">
        <v>47</v>
      </c>
      <c r="C27" t="s">
        <v>9</v>
      </c>
      <c r="D27" t="s">
        <v>10</v>
      </c>
      <c r="E27" t="s">
        <v>5</v>
      </c>
      <c r="F27" s="50">
        <v>-148000</v>
      </c>
      <c r="G27" s="47"/>
      <c r="H27" s="47"/>
      <c r="I27" s="47"/>
      <c r="J27" s="47"/>
      <c r="K27" s="47"/>
      <c r="L27" s="47"/>
      <c r="M27" s="51">
        <v>-37000</v>
      </c>
      <c r="N27" s="51"/>
      <c r="O27" s="51">
        <v>-74000</v>
      </c>
      <c r="P27" s="51"/>
      <c r="Q27" s="51">
        <v>-37000</v>
      </c>
      <c r="R27" s="47"/>
      <c r="S27" t="s">
        <v>48</v>
      </c>
    </row>
    <row r="28" spans="1:19" x14ac:dyDescent="0.25">
      <c r="B28" t="s">
        <v>227</v>
      </c>
      <c r="C28" t="s">
        <v>9</v>
      </c>
      <c r="D28" t="s">
        <v>10</v>
      </c>
      <c r="E28" t="s">
        <v>5</v>
      </c>
      <c r="F28" s="53">
        <v>-87515</v>
      </c>
      <c r="G28" s="47"/>
      <c r="H28" s="47"/>
      <c r="I28" s="47"/>
      <c r="J28" s="47"/>
      <c r="K28" s="53">
        <v>0</v>
      </c>
      <c r="L28" s="53"/>
      <c r="M28" s="53">
        <v>-87515.19</v>
      </c>
      <c r="N28" s="53"/>
      <c r="O28" s="53">
        <v>-240287.94736799999</v>
      </c>
      <c r="P28" s="53"/>
      <c r="Q28" s="53">
        <v>-304808.81035290001</v>
      </c>
      <c r="R28" s="47"/>
      <c r="S28" t="s">
        <v>228</v>
      </c>
    </row>
    <row r="29" spans="1:19" x14ac:dyDescent="0.25">
      <c r="B29" t="s">
        <v>49</v>
      </c>
      <c r="C29" t="s">
        <v>9</v>
      </c>
      <c r="D29" t="s">
        <v>10</v>
      </c>
      <c r="E29" t="s">
        <v>5</v>
      </c>
      <c r="F29" s="50">
        <v>-829895</v>
      </c>
      <c r="G29" s="47"/>
      <c r="H29" s="47"/>
      <c r="I29" s="47"/>
      <c r="J29" s="47"/>
      <c r="K29" s="47">
        <v>0</v>
      </c>
      <c r="L29" s="47"/>
      <c r="M29" s="47">
        <v>-292022.46388064302</v>
      </c>
      <c r="N29" s="47"/>
      <c r="O29" s="47">
        <v>-809875.63316231605</v>
      </c>
      <c r="P29" s="47"/>
      <c r="Q29" s="47">
        <v>-1052838.32311101</v>
      </c>
      <c r="R29" s="47"/>
      <c r="S29" t="s">
        <v>50</v>
      </c>
    </row>
    <row r="30" spans="1:19" x14ac:dyDescent="0.25">
      <c r="B30" t="s">
        <v>51</v>
      </c>
      <c r="C30" t="s">
        <v>52</v>
      </c>
      <c r="D30" t="s">
        <v>53</v>
      </c>
      <c r="E30" t="s">
        <v>5</v>
      </c>
      <c r="F30" s="50">
        <v>-219451</v>
      </c>
      <c r="G30" s="47"/>
      <c r="H30" s="47"/>
      <c r="I30" s="47"/>
      <c r="J30" s="47"/>
      <c r="K30" s="47">
        <v>0</v>
      </c>
      <c r="L30" s="47"/>
      <c r="M30" s="47">
        <v>-77017.827814686694</v>
      </c>
      <c r="N30" s="47"/>
      <c r="O30" s="47">
        <v>-213596.109139398</v>
      </c>
      <c r="P30" s="47"/>
      <c r="Q30" s="47">
        <v>-277674.941881217</v>
      </c>
      <c r="R30" s="47"/>
      <c r="S30" t="s">
        <v>54</v>
      </c>
    </row>
    <row r="31" spans="1:19" x14ac:dyDescent="0.25">
      <c r="B31" t="s">
        <v>55</v>
      </c>
      <c r="C31" t="s">
        <v>52</v>
      </c>
      <c r="D31" t="s">
        <v>53</v>
      </c>
      <c r="E31" t="s">
        <v>5</v>
      </c>
      <c r="F31" s="50">
        <v>-248115</v>
      </c>
      <c r="G31" s="47"/>
      <c r="H31" s="47"/>
      <c r="I31" s="47"/>
      <c r="J31" s="47"/>
      <c r="K31" s="47">
        <v>0</v>
      </c>
      <c r="L31" s="47"/>
      <c r="M31" s="47">
        <v>-87077.836984320005</v>
      </c>
      <c r="N31" s="47"/>
      <c r="O31" s="47">
        <v>-241495.867903181</v>
      </c>
      <c r="P31" s="47"/>
      <c r="Q31" s="47">
        <v>-313944.628274135</v>
      </c>
      <c r="R31" s="47"/>
      <c r="S31" t="s">
        <v>54</v>
      </c>
    </row>
    <row r="32" spans="1:19" x14ac:dyDescent="0.25">
      <c r="B32" t="s">
        <v>56</v>
      </c>
      <c r="C32" t="s">
        <v>9</v>
      </c>
      <c r="D32" t="s">
        <v>10</v>
      </c>
      <c r="E32" t="s">
        <v>5</v>
      </c>
      <c r="F32" s="50">
        <v>-214776</v>
      </c>
      <c r="G32" s="47"/>
      <c r="H32" s="47"/>
      <c r="I32" s="47"/>
      <c r="J32" s="47"/>
      <c r="K32" s="47">
        <v>0</v>
      </c>
      <c r="L32" s="47"/>
      <c r="M32" s="47">
        <v>-103081.204426948</v>
      </c>
      <c r="N32" s="47"/>
      <c r="O32" s="47">
        <v>-285053.89064198802</v>
      </c>
      <c r="P32" s="47"/>
      <c r="Q32" s="47">
        <v>-369501.10574467701</v>
      </c>
      <c r="R32" s="47"/>
      <c r="S32" t="s">
        <v>57</v>
      </c>
    </row>
    <row r="33" spans="2:25" x14ac:dyDescent="0.25">
      <c r="B33" t="s">
        <v>58</v>
      </c>
      <c r="C33" t="s">
        <v>52</v>
      </c>
      <c r="D33" t="s">
        <v>53</v>
      </c>
      <c r="E33" t="s">
        <v>5</v>
      </c>
      <c r="F33" s="50">
        <v>-2741156</v>
      </c>
      <c r="G33" s="47"/>
      <c r="H33" s="47"/>
      <c r="I33" s="47"/>
      <c r="J33" s="47"/>
      <c r="K33" s="47">
        <v>0</v>
      </c>
      <c r="L33" s="47"/>
      <c r="M33" s="47">
        <v>-1371502.5417571201</v>
      </c>
      <c r="N33" s="47"/>
      <c r="O33" s="47">
        <v>-3813572.7588315499</v>
      </c>
      <c r="P33" s="47"/>
      <c r="Q33" s="47">
        <v>-4970971.9407323599</v>
      </c>
      <c r="R33" s="47"/>
      <c r="S33" s="49" t="s">
        <v>59</v>
      </c>
    </row>
    <row r="34" spans="2:25" x14ac:dyDescent="0.25">
      <c r="B34" t="s">
        <v>60</v>
      </c>
      <c r="C34" t="s">
        <v>61</v>
      </c>
      <c r="E34" t="s">
        <v>62</v>
      </c>
      <c r="F34" s="50">
        <v>-1570233</v>
      </c>
      <c r="G34" s="47"/>
      <c r="H34" s="47"/>
      <c r="I34" s="47"/>
      <c r="J34" s="47"/>
      <c r="K34" s="47">
        <v>0</v>
      </c>
      <c r="L34" s="47"/>
      <c r="M34" s="47">
        <v>-390801.84142294701</v>
      </c>
      <c r="N34" s="47"/>
      <c r="O34" s="47">
        <v>-1080697.3588149201</v>
      </c>
      <c r="P34" s="47"/>
      <c r="Q34" s="47">
        <v>-1400853.9513638399</v>
      </c>
      <c r="R34" s="47"/>
      <c r="S34" t="s">
        <v>63</v>
      </c>
    </row>
    <row r="35" spans="2:25" x14ac:dyDescent="0.25">
      <c r="B35" t="s">
        <v>64</v>
      </c>
      <c r="C35" t="s">
        <v>61</v>
      </c>
      <c r="E35" t="s">
        <v>62</v>
      </c>
      <c r="F35" s="50">
        <v>-324081</v>
      </c>
      <c r="G35" s="43">
        <v>42117</v>
      </c>
      <c r="H35" s="47"/>
      <c r="I35" s="43">
        <v>43380.51</v>
      </c>
      <c r="K35" s="47">
        <v>44681.925300000003</v>
      </c>
      <c r="L35" s="47"/>
      <c r="M35" s="47">
        <v>-112432.05501499699</v>
      </c>
      <c r="N35" s="47"/>
      <c r="O35" s="47">
        <v>-310912.10946813802</v>
      </c>
      <c r="P35" s="47"/>
      <c r="Q35" s="47">
        <v>-403019.82189807401</v>
      </c>
      <c r="R35" s="47"/>
      <c r="S35" t="s">
        <v>63</v>
      </c>
    </row>
    <row r="36" spans="2:25" ht="15.6" x14ac:dyDescent="0.3">
      <c r="B36" t="s">
        <v>65</v>
      </c>
      <c r="C36" t="s">
        <v>66</v>
      </c>
      <c r="D36" t="s">
        <v>67</v>
      </c>
      <c r="E36" t="s">
        <v>26</v>
      </c>
      <c r="F36" s="50">
        <v>-973467</v>
      </c>
      <c r="G36" s="47"/>
      <c r="H36" s="47"/>
      <c r="I36" s="47"/>
      <c r="J36" s="47"/>
      <c r="K36" s="47">
        <v>0</v>
      </c>
      <c r="L36" s="47"/>
      <c r="M36" s="47">
        <v>-244936.51092341801</v>
      </c>
      <c r="N36" s="47"/>
      <c r="O36" s="47">
        <v>-678878.581869093</v>
      </c>
      <c r="P36" s="47"/>
      <c r="Q36" s="47">
        <v>-882008.09050867404</v>
      </c>
      <c r="R36" s="47"/>
      <c r="S36" t="s">
        <v>68</v>
      </c>
      <c r="Y36" s="52"/>
    </row>
    <row r="37" spans="2:25" x14ac:dyDescent="0.25">
      <c r="B37" t="s">
        <v>69</v>
      </c>
      <c r="C37" t="s">
        <v>66</v>
      </c>
      <c r="D37" t="s">
        <v>67</v>
      </c>
      <c r="E37" t="s">
        <v>26</v>
      </c>
      <c r="F37" s="50">
        <v>-383903</v>
      </c>
      <c r="G37" s="47"/>
      <c r="H37" s="47"/>
      <c r="I37" s="47"/>
      <c r="J37" s="47"/>
      <c r="K37" s="47">
        <v>0</v>
      </c>
      <c r="L37" s="47"/>
      <c r="M37" s="47">
        <v>-140325.36064097899</v>
      </c>
      <c r="N37" s="47"/>
      <c r="O37" s="47">
        <v>-389281.26046616299</v>
      </c>
      <c r="P37" s="47"/>
      <c r="Q37" s="47">
        <v>-506211.619078686</v>
      </c>
      <c r="R37" s="47"/>
      <c r="S37" t="s">
        <v>68</v>
      </c>
    </row>
    <row r="38" spans="2:25" x14ac:dyDescent="0.25">
      <c r="B38" t="s">
        <v>70</v>
      </c>
      <c r="C38" t="s">
        <v>66</v>
      </c>
      <c r="D38" t="s">
        <v>67</v>
      </c>
      <c r="E38" t="s">
        <v>26</v>
      </c>
      <c r="F38" s="50">
        <v>-193781</v>
      </c>
      <c r="G38" s="47"/>
      <c r="H38" s="47"/>
      <c r="I38" s="47"/>
      <c r="J38" s="47"/>
      <c r="K38" s="47">
        <v>0</v>
      </c>
      <c r="L38" s="47"/>
      <c r="M38" s="47">
        <v>-70831.3684610239</v>
      </c>
      <c r="N38" s="47"/>
      <c r="O38" s="47">
        <v>-196495.66029334199</v>
      </c>
      <c r="P38" s="47"/>
      <c r="Q38" s="47">
        <v>-255518.04425395399</v>
      </c>
      <c r="R38" s="47"/>
      <c r="S38" t="s">
        <v>68</v>
      </c>
    </row>
    <row r="39" spans="2:25" x14ac:dyDescent="0.25">
      <c r="B39" t="s">
        <v>71</v>
      </c>
      <c r="C39" t="s">
        <v>66</v>
      </c>
      <c r="D39" t="s">
        <v>67</v>
      </c>
      <c r="E39" t="s">
        <v>26</v>
      </c>
      <c r="F39" s="50">
        <v>-95334</v>
      </c>
      <c r="G39" s="47"/>
      <c r="H39" s="47"/>
      <c r="I39" s="47"/>
      <c r="J39" s="47"/>
      <c r="K39" s="47">
        <v>0</v>
      </c>
      <c r="L39" s="47"/>
      <c r="M39" s="47">
        <v>-41714.2515680836</v>
      </c>
      <c r="N39" s="47"/>
      <c r="O39" s="47">
        <v>-112350.38422337201</v>
      </c>
      <c r="P39" s="47"/>
      <c r="Q39" s="47">
        <v>-141842.36008200701</v>
      </c>
      <c r="R39" s="47"/>
      <c r="S39" t="s">
        <v>68</v>
      </c>
    </row>
    <row r="40" spans="2:25" x14ac:dyDescent="0.25">
      <c r="B40" t="s">
        <v>72</v>
      </c>
      <c r="C40" t="s">
        <v>66</v>
      </c>
      <c r="D40" t="s">
        <v>67</v>
      </c>
      <c r="E40" t="s">
        <v>26</v>
      </c>
      <c r="F40" s="50">
        <v>-48454</v>
      </c>
      <c r="G40" s="47"/>
      <c r="H40" s="47"/>
      <c r="I40" s="47"/>
      <c r="J40" s="47"/>
      <c r="K40" s="47">
        <v>0</v>
      </c>
      <c r="L40" s="47"/>
      <c r="M40" s="47">
        <v>-17711.024019385601</v>
      </c>
      <c r="N40" s="47"/>
      <c r="O40" s="47">
        <v>-49132.7420996449</v>
      </c>
      <c r="P40" s="47"/>
      <c r="Q40" s="47">
        <v>-63890.989507825798</v>
      </c>
      <c r="R40" s="47"/>
      <c r="S40" t="s">
        <v>68</v>
      </c>
    </row>
    <row r="41" spans="2:25" x14ac:dyDescent="0.25">
      <c r="B41" t="s">
        <v>73</v>
      </c>
      <c r="C41" t="s">
        <v>66</v>
      </c>
      <c r="D41" t="s">
        <v>67</v>
      </c>
      <c r="E41" t="s">
        <v>26</v>
      </c>
      <c r="F41" s="50">
        <v>-102647</v>
      </c>
      <c r="G41" s="47"/>
      <c r="H41" s="47"/>
      <c r="I41" s="47"/>
      <c r="J41" s="47"/>
      <c r="K41" s="47">
        <v>0</v>
      </c>
      <c r="L41" s="47"/>
      <c r="M41" s="47">
        <v>-36024.6675374775</v>
      </c>
      <c r="N41" s="47"/>
      <c r="O41" s="47">
        <v>-99908.411303937493</v>
      </c>
      <c r="P41" s="47"/>
      <c r="Q41" s="47">
        <v>-129880.93469511899</v>
      </c>
      <c r="R41" s="47"/>
      <c r="S41" t="s">
        <v>68</v>
      </c>
    </row>
    <row r="42" spans="2:25" x14ac:dyDescent="0.25">
      <c r="B42" t="s">
        <v>74</v>
      </c>
      <c r="C42" t="s">
        <v>66</v>
      </c>
      <c r="D42" t="s">
        <v>67</v>
      </c>
      <c r="E42" t="s">
        <v>26</v>
      </c>
      <c r="F42" s="50">
        <v>-156882</v>
      </c>
      <c r="G42" s="47"/>
      <c r="H42" s="47"/>
      <c r="I42" s="47"/>
      <c r="J42" s="47"/>
      <c r="K42" s="47">
        <v>0</v>
      </c>
      <c r="L42" s="47"/>
      <c r="M42" s="47">
        <v>-55058.783625644799</v>
      </c>
      <c r="N42" s="47"/>
      <c r="O42" s="47">
        <v>-152696.35992178801</v>
      </c>
      <c r="P42" s="47"/>
      <c r="Q42" s="47">
        <v>-198505.26789832499</v>
      </c>
      <c r="R42" s="47"/>
      <c r="S42" t="s">
        <v>75</v>
      </c>
    </row>
    <row r="43" spans="2:25" x14ac:dyDescent="0.25">
      <c r="B43" t="s">
        <v>76</v>
      </c>
      <c r="C43" t="s">
        <v>77</v>
      </c>
      <c r="D43" t="s">
        <v>78</v>
      </c>
      <c r="E43" t="s">
        <v>79</v>
      </c>
      <c r="F43" s="47">
        <v>38233.333333333336</v>
      </c>
      <c r="G43" s="47"/>
      <c r="H43" s="47"/>
      <c r="I43" s="47"/>
      <c r="J43" s="47"/>
      <c r="K43" s="51">
        <v>38233</v>
      </c>
      <c r="L43" s="51"/>
      <c r="M43" s="51">
        <v>38233</v>
      </c>
      <c r="N43" s="51"/>
      <c r="O43" s="51">
        <v>38233</v>
      </c>
      <c r="P43" s="51"/>
      <c r="Q43" s="51">
        <v>38233</v>
      </c>
      <c r="R43" s="47"/>
      <c r="S43" t="s">
        <v>80</v>
      </c>
    </row>
    <row r="44" spans="2:25" x14ac:dyDescent="0.25">
      <c r="B44" t="s">
        <v>81</v>
      </c>
      <c r="C44" t="s">
        <v>82</v>
      </c>
      <c r="D44" t="s">
        <v>83</v>
      </c>
      <c r="E44" t="s">
        <v>38</v>
      </c>
      <c r="F44" s="47">
        <v>1240000</v>
      </c>
      <c r="G44" s="47"/>
      <c r="H44" s="47"/>
      <c r="I44" s="47"/>
      <c r="J44" s="47"/>
      <c r="K44" s="51">
        <v>1240000</v>
      </c>
      <c r="L44" s="51"/>
      <c r="M44" s="51">
        <v>1240000</v>
      </c>
      <c r="N44" s="51"/>
      <c r="O44" s="51">
        <v>1240000</v>
      </c>
      <c r="P44" s="51"/>
      <c r="Q44" s="51">
        <v>1240000</v>
      </c>
      <c r="R44" s="47"/>
      <c r="S44" t="s">
        <v>84</v>
      </c>
    </row>
    <row r="45" spans="2:25" x14ac:dyDescent="0.25">
      <c r="F45" s="47"/>
      <c r="G45" s="47">
        <v>0</v>
      </c>
      <c r="H45" s="47"/>
      <c r="I45" s="47"/>
      <c r="J45" s="47"/>
      <c r="K45" s="47">
        <f>SUM(K27:K44)</f>
        <v>1322914.9253</v>
      </c>
      <c r="L45" s="47"/>
      <c r="M45" s="47">
        <f>SUM(M27:M44)</f>
        <v>-1886819.928077674</v>
      </c>
      <c r="N45" s="47"/>
      <c r="O45" s="47">
        <f>SUM(O27:O44)</f>
        <v>-7470002.0755068325</v>
      </c>
      <c r="P45" s="47"/>
      <c r="Q45" s="47">
        <f>SUM(Q27:Q44)</f>
        <v>-10030237.829382803</v>
      </c>
      <c r="S45" t="s">
        <v>85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8"/>
  <sheetViews>
    <sheetView workbookViewId="0">
      <selection activeCell="O20" sqref="N20:O20"/>
    </sheetView>
  </sheetViews>
  <sheetFormatPr defaultColWidth="12.109375" defaultRowHeight="13.2" x14ac:dyDescent="0.25"/>
  <sheetData>
    <row r="2" spans="2:21" x14ac:dyDescent="0.25">
      <c r="B2" s="46" t="s">
        <v>224</v>
      </c>
      <c r="C2" s="46"/>
      <c r="D2" s="46"/>
    </row>
    <row r="3" spans="2:21" x14ac:dyDescent="0.25">
      <c r="B3" s="42" t="s">
        <v>94</v>
      </c>
      <c r="C3" s="42" t="s">
        <v>204</v>
      </c>
      <c r="D3" s="42" t="s">
        <v>205</v>
      </c>
      <c r="E3" s="42" t="s">
        <v>206</v>
      </c>
      <c r="F3" s="42" t="s">
        <v>207</v>
      </c>
      <c r="G3" s="42" t="s">
        <v>208</v>
      </c>
      <c r="H3" s="42" t="s">
        <v>209</v>
      </c>
      <c r="I3" s="42" t="s">
        <v>210</v>
      </c>
      <c r="J3" s="42" t="s">
        <v>211</v>
      </c>
      <c r="K3" s="42" t="s">
        <v>212</v>
      </c>
      <c r="L3" s="42" t="s">
        <v>213</v>
      </c>
      <c r="M3" s="42" t="s">
        <v>214</v>
      </c>
      <c r="N3" s="42" t="s">
        <v>215</v>
      </c>
      <c r="O3" s="42" t="s">
        <v>216</v>
      </c>
      <c r="P3" s="42" t="s">
        <v>217</v>
      </c>
      <c r="Q3" s="42" t="s">
        <v>218</v>
      </c>
      <c r="R3" s="42" t="s">
        <v>219</v>
      </c>
      <c r="S3" s="42" t="s">
        <v>220</v>
      </c>
      <c r="T3" s="42" t="s">
        <v>221</v>
      </c>
      <c r="U3" s="42" t="s">
        <v>222</v>
      </c>
    </row>
    <row r="4" spans="2:21" x14ac:dyDescent="0.25">
      <c r="B4" s="41" t="s">
        <v>223</v>
      </c>
      <c r="C4" s="43"/>
      <c r="D4" s="43">
        <v>18675</v>
      </c>
      <c r="E4" s="43">
        <v>18675</v>
      </c>
      <c r="F4" s="43">
        <v>18675</v>
      </c>
      <c r="G4" s="43">
        <v>18675</v>
      </c>
      <c r="H4" s="43">
        <v>18675</v>
      </c>
      <c r="I4" s="43">
        <v>18675</v>
      </c>
      <c r="J4" s="43">
        <v>18675</v>
      </c>
      <c r="K4" s="43">
        <v>18675</v>
      </c>
      <c r="L4" s="43">
        <v>18675</v>
      </c>
      <c r="M4" s="43">
        <v>18675</v>
      </c>
      <c r="N4" s="43">
        <v>18675</v>
      </c>
      <c r="O4" s="43">
        <v>18675</v>
      </c>
      <c r="P4" s="43">
        <v>18675</v>
      </c>
      <c r="Q4" s="43">
        <v>18675</v>
      </c>
      <c r="R4" s="43">
        <v>18675</v>
      </c>
      <c r="S4" s="43">
        <v>18675</v>
      </c>
      <c r="T4" s="43">
        <v>18675</v>
      </c>
      <c r="U4" s="43">
        <v>18675</v>
      </c>
    </row>
    <row r="5" spans="2:21" x14ac:dyDescent="0.25">
      <c r="B5" s="41" t="s">
        <v>202</v>
      </c>
      <c r="C5" s="43">
        <v>-11100</v>
      </c>
      <c r="D5" s="43">
        <v>-11100</v>
      </c>
      <c r="E5" s="43">
        <v>-11100</v>
      </c>
      <c r="F5" s="43">
        <v>-11100</v>
      </c>
      <c r="G5" s="43">
        <v>-11100</v>
      </c>
      <c r="H5" s="43">
        <v>-11100</v>
      </c>
      <c r="I5" s="43">
        <v>-11100</v>
      </c>
      <c r="J5" s="43">
        <v>-11100</v>
      </c>
      <c r="K5" s="43">
        <v>-11100</v>
      </c>
      <c r="L5" s="43">
        <v>-11100</v>
      </c>
      <c r="M5" s="43">
        <v>-11100</v>
      </c>
      <c r="N5" s="43">
        <v>-11100</v>
      </c>
      <c r="O5" s="43">
        <v>-11100</v>
      </c>
      <c r="P5" s="43">
        <v>-11100</v>
      </c>
      <c r="Q5" s="43">
        <v>-11100</v>
      </c>
      <c r="R5" s="43">
        <v>-11100</v>
      </c>
      <c r="S5" s="43">
        <v>-11100</v>
      </c>
      <c r="T5" s="43">
        <v>-11100</v>
      </c>
      <c r="U5" s="43">
        <v>-11100</v>
      </c>
    </row>
    <row r="6" spans="2:21" x14ac:dyDescent="0.25">
      <c r="B6" s="41" t="s">
        <v>200</v>
      </c>
      <c r="C6" s="43">
        <v>134500</v>
      </c>
      <c r="D6" s="43">
        <v>134500</v>
      </c>
      <c r="E6" s="43">
        <v>134500</v>
      </c>
      <c r="F6" s="43">
        <v>134500</v>
      </c>
      <c r="G6" s="43">
        <v>134500</v>
      </c>
      <c r="H6" s="43">
        <v>134500</v>
      </c>
      <c r="I6" s="43">
        <v>134500</v>
      </c>
      <c r="J6" s="43">
        <v>134500</v>
      </c>
      <c r="K6" s="43">
        <v>134500</v>
      </c>
      <c r="L6" s="43">
        <v>134500</v>
      </c>
      <c r="M6" s="43">
        <v>134500</v>
      </c>
      <c r="N6" s="43">
        <v>134500</v>
      </c>
      <c r="O6" s="43">
        <v>134500</v>
      </c>
      <c r="P6" s="43">
        <v>134500</v>
      </c>
      <c r="Q6" s="43">
        <v>134500</v>
      </c>
      <c r="R6" s="43">
        <v>134500</v>
      </c>
      <c r="S6" s="43">
        <v>134500</v>
      </c>
      <c r="T6" s="43">
        <v>134500</v>
      </c>
      <c r="U6" s="43">
        <v>134500</v>
      </c>
    </row>
    <row r="7" spans="2:21" x14ac:dyDescent="0.25">
      <c r="B7" s="41" t="s">
        <v>201</v>
      </c>
      <c r="C7" s="43">
        <v>40557</v>
      </c>
      <c r="D7" s="43">
        <v>40557</v>
      </c>
      <c r="E7" s="43">
        <v>40557</v>
      </c>
      <c r="F7" s="43">
        <v>40557</v>
      </c>
      <c r="G7" s="43">
        <v>40557</v>
      </c>
      <c r="H7" s="43">
        <v>40557</v>
      </c>
      <c r="I7" s="43">
        <v>40557</v>
      </c>
      <c r="J7" s="43">
        <v>40557</v>
      </c>
      <c r="K7" s="43">
        <v>40557</v>
      </c>
      <c r="L7" s="43">
        <v>40557</v>
      </c>
      <c r="M7" s="43">
        <v>40557</v>
      </c>
      <c r="N7" s="43">
        <v>40557</v>
      </c>
      <c r="O7" s="43">
        <v>40557</v>
      </c>
      <c r="P7" s="43">
        <v>40557</v>
      </c>
      <c r="Q7" s="43">
        <v>40557</v>
      </c>
      <c r="R7" s="43">
        <v>40557</v>
      </c>
      <c r="S7" s="43">
        <v>40557</v>
      </c>
      <c r="T7" s="43">
        <v>40557</v>
      </c>
      <c r="U7" s="43">
        <v>40557</v>
      </c>
    </row>
    <row r="8" spans="2:21" x14ac:dyDescent="0.25">
      <c r="B8" s="44" t="s">
        <v>95</v>
      </c>
      <c r="C8" s="45">
        <v>163957</v>
      </c>
      <c r="D8" s="45">
        <v>182632</v>
      </c>
      <c r="E8" s="45">
        <v>182632</v>
      </c>
      <c r="F8" s="45">
        <v>182632</v>
      </c>
      <c r="G8" s="45">
        <v>182632</v>
      </c>
      <c r="H8" s="45">
        <v>182632</v>
      </c>
      <c r="I8" s="45">
        <v>182632</v>
      </c>
      <c r="J8" s="45">
        <v>182632</v>
      </c>
      <c r="K8" s="45">
        <v>182632</v>
      </c>
      <c r="L8" s="45">
        <v>182632</v>
      </c>
      <c r="M8" s="45">
        <v>182632</v>
      </c>
      <c r="N8" s="45">
        <v>182632</v>
      </c>
      <c r="O8" s="45">
        <v>182632</v>
      </c>
      <c r="P8" s="45">
        <v>182632</v>
      </c>
      <c r="Q8" s="45">
        <v>182632</v>
      </c>
      <c r="R8" s="45">
        <v>182632</v>
      </c>
      <c r="S8" s="45">
        <v>182632</v>
      </c>
      <c r="T8" s="45">
        <v>182632</v>
      </c>
      <c r="U8" s="45">
        <v>182632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view="pageBreakPreview" zoomScale="60" zoomScaleNormal="90" workbookViewId="0">
      <selection activeCell="G66" sqref="G66"/>
    </sheetView>
  </sheetViews>
  <sheetFormatPr defaultRowHeight="13.2" x14ac:dyDescent="0.25"/>
  <cols>
    <col min="2" max="2" width="52.33203125" bestFit="1" customWidth="1"/>
    <col min="3" max="3" width="9.88671875" bestFit="1" customWidth="1"/>
    <col min="4" max="4" width="21.88671875" bestFit="1" customWidth="1"/>
    <col min="5" max="5" width="13.33203125" customWidth="1"/>
    <col min="6" max="6" width="15.109375" bestFit="1" customWidth="1"/>
    <col min="7" max="7" width="14.6640625" bestFit="1" customWidth="1"/>
    <col min="8" max="8" width="21" customWidth="1"/>
    <col min="9" max="9" width="19.44140625" bestFit="1" customWidth="1"/>
    <col min="10" max="10" width="23" bestFit="1" customWidth="1"/>
  </cols>
  <sheetData>
    <row r="1" spans="1:10" ht="15.6" x14ac:dyDescent="0.3">
      <c r="A1" s="4"/>
      <c r="B1" s="4"/>
      <c r="C1" s="4"/>
      <c r="D1" s="5" t="s">
        <v>110</v>
      </c>
      <c r="E1" s="6" t="s">
        <v>111</v>
      </c>
      <c r="F1" s="5" t="s">
        <v>111</v>
      </c>
      <c r="G1" s="7" t="s">
        <v>112</v>
      </c>
      <c r="H1" s="5" t="s">
        <v>113</v>
      </c>
      <c r="I1" s="5" t="s">
        <v>111</v>
      </c>
      <c r="J1" s="8"/>
    </row>
    <row r="2" spans="1:10" ht="48" customHeight="1" thickBot="1" x14ac:dyDescent="0.35">
      <c r="C2" s="9" t="s">
        <v>114</v>
      </c>
      <c r="D2" s="9" t="s">
        <v>115</v>
      </c>
      <c r="E2" s="10" t="s">
        <v>116</v>
      </c>
      <c r="F2" s="9" t="s">
        <v>117</v>
      </c>
      <c r="G2" s="9" t="s">
        <v>117</v>
      </c>
      <c r="H2" s="9" t="s">
        <v>157</v>
      </c>
      <c r="I2" s="9" t="s">
        <v>118</v>
      </c>
      <c r="J2" s="11" t="s">
        <v>119</v>
      </c>
    </row>
    <row r="3" spans="1:10" ht="15.6" x14ac:dyDescent="0.3">
      <c r="A3" s="12" t="s">
        <v>120</v>
      </c>
      <c r="C3" s="5"/>
      <c r="D3" s="5"/>
      <c r="E3" s="5"/>
      <c r="F3" s="5"/>
      <c r="G3" s="5"/>
      <c r="H3" s="5"/>
      <c r="I3" s="5"/>
      <c r="J3" s="13"/>
    </row>
    <row r="4" spans="1:10" ht="15.6" x14ac:dyDescent="0.3">
      <c r="B4" s="14" t="s">
        <v>121</v>
      </c>
      <c r="C4" s="14" t="s">
        <v>122</v>
      </c>
      <c r="D4" s="15">
        <v>204000</v>
      </c>
      <c r="E4" s="16">
        <f>75000</f>
        <v>75000</v>
      </c>
      <c r="F4" s="17">
        <v>1</v>
      </c>
      <c r="G4" s="17">
        <v>1</v>
      </c>
      <c r="H4" s="16">
        <f t="shared" ref="H4:H15" si="0">G4*D4</f>
        <v>204000</v>
      </c>
      <c r="I4" s="16">
        <f>F4*E4</f>
        <v>75000</v>
      </c>
      <c r="J4" s="18"/>
    </row>
    <row r="5" spans="1:10" ht="15.6" x14ac:dyDescent="0.3">
      <c r="A5" s="4"/>
      <c r="B5" s="14" t="s">
        <v>123</v>
      </c>
      <c r="C5" s="14" t="s">
        <v>122</v>
      </c>
      <c r="D5" s="15">
        <v>120000</v>
      </c>
      <c r="E5" s="16">
        <f>60000</f>
        <v>60000</v>
      </c>
      <c r="F5" s="17">
        <v>3</v>
      </c>
      <c r="G5" s="17">
        <v>2</v>
      </c>
      <c r="H5" s="16">
        <f t="shared" si="0"/>
        <v>240000</v>
      </c>
      <c r="I5" s="16">
        <f t="shared" ref="I5:I16" si="1">F5*E5</f>
        <v>180000</v>
      </c>
      <c r="J5" s="18"/>
    </row>
    <row r="6" spans="1:10" ht="15.6" x14ac:dyDescent="0.3">
      <c r="A6" s="19"/>
      <c r="B6" s="14" t="s">
        <v>124</v>
      </c>
      <c r="C6" s="14" t="s">
        <v>125</v>
      </c>
      <c r="D6" s="15">
        <v>204000</v>
      </c>
      <c r="E6" s="16">
        <v>0</v>
      </c>
      <c r="F6" s="17"/>
      <c r="G6" s="17">
        <v>1</v>
      </c>
      <c r="H6" s="16">
        <f t="shared" si="0"/>
        <v>204000</v>
      </c>
      <c r="I6" s="16">
        <f t="shared" si="1"/>
        <v>0</v>
      </c>
      <c r="J6" s="18"/>
    </row>
    <row r="7" spans="1:10" ht="15.6" x14ac:dyDescent="0.3">
      <c r="A7" s="19"/>
      <c r="B7" s="14" t="s">
        <v>13</v>
      </c>
      <c r="C7" s="14" t="s">
        <v>125</v>
      </c>
      <c r="D7" s="15">
        <v>204000</v>
      </c>
      <c r="E7" s="16">
        <f>100000</f>
        <v>100000</v>
      </c>
      <c r="F7" s="17">
        <v>2</v>
      </c>
      <c r="G7" s="17">
        <v>2</v>
      </c>
      <c r="H7" s="16">
        <f t="shared" si="0"/>
        <v>408000</v>
      </c>
      <c r="I7" s="16">
        <f t="shared" si="1"/>
        <v>200000</v>
      </c>
      <c r="J7" s="18"/>
    </row>
    <row r="8" spans="1:10" ht="15.6" x14ac:dyDescent="0.3">
      <c r="A8" s="19"/>
      <c r="B8" s="14" t="s">
        <v>126</v>
      </c>
      <c r="C8" s="14" t="s">
        <v>122</v>
      </c>
      <c r="D8" s="15">
        <v>120000</v>
      </c>
      <c r="E8" s="16">
        <f>100000</f>
        <v>100000</v>
      </c>
      <c r="F8" s="17">
        <v>3</v>
      </c>
      <c r="G8" s="17">
        <v>3</v>
      </c>
      <c r="H8" s="16">
        <f t="shared" si="0"/>
        <v>360000</v>
      </c>
      <c r="I8" s="16">
        <f t="shared" si="1"/>
        <v>300000</v>
      </c>
      <c r="J8" s="18"/>
    </row>
    <row r="9" spans="1:10" ht="15.6" x14ac:dyDescent="0.3">
      <c r="A9" s="19"/>
      <c r="B9" s="14" t="s">
        <v>127</v>
      </c>
      <c r="C9" s="14" t="s">
        <v>122</v>
      </c>
      <c r="D9" s="15">
        <v>204000</v>
      </c>
      <c r="E9" s="16">
        <f>100000</f>
        <v>100000</v>
      </c>
      <c r="F9" s="17">
        <v>1</v>
      </c>
      <c r="G9" s="17">
        <v>2</v>
      </c>
      <c r="H9" s="16">
        <f t="shared" si="0"/>
        <v>408000</v>
      </c>
      <c r="I9" s="16">
        <f t="shared" si="1"/>
        <v>100000</v>
      </c>
      <c r="J9" s="18"/>
    </row>
    <row r="10" spans="1:10" ht="15.6" x14ac:dyDescent="0.3">
      <c r="A10" s="19"/>
      <c r="B10" s="14" t="s">
        <v>128</v>
      </c>
      <c r="C10" s="14" t="s">
        <v>122</v>
      </c>
      <c r="D10" s="15">
        <v>120000</v>
      </c>
      <c r="E10" s="16">
        <v>0</v>
      </c>
      <c r="F10" s="17"/>
      <c r="G10" s="17">
        <v>1</v>
      </c>
      <c r="H10" s="16">
        <f t="shared" si="0"/>
        <v>120000</v>
      </c>
      <c r="I10" s="16">
        <f t="shared" si="1"/>
        <v>0</v>
      </c>
      <c r="J10" s="18"/>
    </row>
    <row r="11" spans="1:10" ht="15.6" x14ac:dyDescent="0.3">
      <c r="A11" s="19"/>
      <c r="B11" s="19" t="s">
        <v>129</v>
      </c>
      <c r="C11" s="19" t="s">
        <v>125</v>
      </c>
      <c r="D11" s="15">
        <v>204000</v>
      </c>
      <c r="E11" s="16">
        <f>100000</f>
        <v>100000</v>
      </c>
      <c r="F11" s="17"/>
      <c r="G11" s="17">
        <v>1</v>
      </c>
      <c r="H11" s="16">
        <f t="shared" si="0"/>
        <v>204000</v>
      </c>
      <c r="I11" s="16">
        <f t="shared" si="1"/>
        <v>0</v>
      </c>
      <c r="J11" s="18"/>
    </row>
    <row r="12" spans="1:10" ht="15.6" x14ac:dyDescent="0.3">
      <c r="A12" s="19"/>
      <c r="B12" s="19" t="s">
        <v>130</v>
      </c>
      <c r="C12" s="19" t="s">
        <v>125</v>
      </c>
      <c r="D12" s="15">
        <v>204000</v>
      </c>
      <c r="E12" s="16">
        <f>75000</f>
        <v>75000</v>
      </c>
      <c r="F12" s="17">
        <v>1</v>
      </c>
      <c r="G12" s="17">
        <v>1</v>
      </c>
      <c r="H12" s="16">
        <f t="shared" si="0"/>
        <v>204000</v>
      </c>
      <c r="I12" s="16">
        <f t="shared" si="1"/>
        <v>75000</v>
      </c>
      <c r="J12" s="18"/>
    </row>
    <row r="13" spans="1:10" ht="15.6" x14ac:dyDescent="0.3">
      <c r="A13" s="19"/>
      <c r="B13" s="19" t="s">
        <v>131</v>
      </c>
      <c r="C13" s="19" t="s">
        <v>125</v>
      </c>
      <c r="D13" s="15">
        <v>204000</v>
      </c>
      <c r="E13" s="16">
        <f>100000</f>
        <v>100000</v>
      </c>
      <c r="F13" s="17">
        <v>1</v>
      </c>
      <c r="G13" s="17">
        <v>1</v>
      </c>
      <c r="H13" s="16">
        <f t="shared" si="0"/>
        <v>204000</v>
      </c>
      <c r="I13" s="16">
        <f t="shared" si="1"/>
        <v>100000</v>
      </c>
      <c r="J13" s="18"/>
    </row>
    <row r="14" spans="1:10" ht="15.6" x14ac:dyDescent="0.3">
      <c r="A14" s="4"/>
      <c r="B14" s="19" t="s">
        <v>132</v>
      </c>
      <c r="C14" s="19" t="s">
        <v>125</v>
      </c>
      <c r="D14" s="15">
        <v>204000</v>
      </c>
      <c r="E14" s="16">
        <f>100000</f>
        <v>100000</v>
      </c>
      <c r="F14" s="17">
        <v>1</v>
      </c>
      <c r="G14" s="17">
        <v>1</v>
      </c>
      <c r="H14" s="16">
        <f t="shared" si="0"/>
        <v>204000</v>
      </c>
      <c r="I14" s="16">
        <f t="shared" si="1"/>
        <v>100000</v>
      </c>
      <c r="J14" s="18"/>
    </row>
    <row r="15" spans="1:10" ht="15.6" x14ac:dyDescent="0.3">
      <c r="A15" s="4"/>
      <c r="B15" s="19" t="s">
        <v>133</v>
      </c>
      <c r="C15" s="19" t="s">
        <v>125</v>
      </c>
      <c r="D15" s="15">
        <v>204000</v>
      </c>
      <c r="E15" s="16">
        <f>100000</f>
        <v>100000</v>
      </c>
      <c r="F15" s="17">
        <v>1</v>
      </c>
      <c r="G15" s="17">
        <v>1</v>
      </c>
      <c r="H15" s="16">
        <f t="shared" si="0"/>
        <v>204000</v>
      </c>
      <c r="I15" s="16">
        <f t="shared" si="1"/>
        <v>100000</v>
      </c>
      <c r="J15" s="18"/>
    </row>
    <row r="16" spans="1:10" ht="15.6" x14ac:dyDescent="0.3">
      <c r="A16" s="4"/>
      <c r="B16" s="19" t="s">
        <v>134</v>
      </c>
      <c r="C16" s="19" t="s">
        <v>135</v>
      </c>
      <c r="D16" s="15"/>
      <c r="E16" s="16">
        <v>50000</v>
      </c>
      <c r="F16" s="17">
        <v>2</v>
      </c>
      <c r="G16" s="17"/>
      <c r="H16" s="16">
        <v>0</v>
      </c>
      <c r="I16" s="16">
        <f t="shared" si="1"/>
        <v>100000</v>
      </c>
      <c r="J16" s="18"/>
    </row>
    <row r="17" spans="1:10" ht="15.6" x14ac:dyDescent="0.3">
      <c r="A17" s="4"/>
      <c r="B17" s="19" t="s">
        <v>136</v>
      </c>
      <c r="C17" s="19"/>
      <c r="D17" s="15"/>
      <c r="E17" s="16"/>
      <c r="F17" s="17"/>
      <c r="G17" s="17"/>
      <c r="H17" s="16" t="s">
        <v>158</v>
      </c>
      <c r="I17" s="16">
        <f>SUM(I4:I16)*0.62</f>
        <v>824600</v>
      </c>
      <c r="J17" s="18"/>
    </row>
    <row r="18" spans="1:10" ht="16.2" thickBot="1" x14ac:dyDescent="0.35">
      <c r="A18" s="4"/>
      <c r="B18" s="4"/>
      <c r="C18" s="4"/>
      <c r="D18" s="7" t="s">
        <v>137</v>
      </c>
      <c r="E18" s="20"/>
      <c r="F18" s="21">
        <f>SUM(F4:F16)</f>
        <v>16</v>
      </c>
      <c r="G18" s="21">
        <f>SUM(G4:G15)</f>
        <v>17</v>
      </c>
      <c r="H18" s="20">
        <f>SUM(H4:H15)</f>
        <v>2964000</v>
      </c>
      <c r="I18" s="20">
        <f>SUM(I4:I17)</f>
        <v>2154600</v>
      </c>
      <c r="J18" s="22" t="s">
        <v>138</v>
      </c>
    </row>
    <row r="19" spans="1:10" ht="15.6" x14ac:dyDescent="0.3">
      <c r="A19" s="4"/>
      <c r="B19" s="4"/>
      <c r="C19" s="4"/>
      <c r="D19" s="7"/>
      <c r="E19" s="23"/>
      <c r="F19" s="7"/>
      <c r="G19" s="5"/>
      <c r="H19" s="40" t="s">
        <v>156</v>
      </c>
      <c r="I19" s="23"/>
      <c r="J19" s="22"/>
    </row>
    <row r="20" spans="1:10" ht="15.6" x14ac:dyDescent="0.3">
      <c r="A20" s="24" t="s">
        <v>139</v>
      </c>
      <c r="B20" s="4"/>
      <c r="C20" s="4"/>
      <c r="D20" s="25"/>
      <c r="E20" s="26"/>
      <c r="F20" s="25"/>
      <c r="G20" s="27"/>
      <c r="H20" s="26"/>
      <c r="I20" s="26"/>
      <c r="J20" s="18"/>
    </row>
    <row r="21" spans="1:10" ht="31.2" x14ac:dyDescent="0.3">
      <c r="A21" s="4"/>
      <c r="B21" s="4"/>
      <c r="C21" s="4"/>
      <c r="D21" s="28" t="s">
        <v>140</v>
      </c>
      <c r="E21" s="29" t="s">
        <v>141</v>
      </c>
      <c r="F21" s="30" t="s">
        <v>142</v>
      </c>
      <c r="G21" s="29" t="s">
        <v>143</v>
      </c>
      <c r="H21" s="29" t="s">
        <v>144</v>
      </c>
      <c r="I21" s="31" t="s">
        <v>145</v>
      </c>
    </row>
    <row r="22" spans="1:10" ht="15.6" x14ac:dyDescent="0.3">
      <c r="A22" s="4"/>
      <c r="B22" s="4" t="s">
        <v>146</v>
      </c>
      <c r="C22" s="4" t="s">
        <v>125</v>
      </c>
      <c r="D22" s="32">
        <f>40*12</f>
        <v>480</v>
      </c>
      <c r="E22" s="16"/>
      <c r="F22" s="33">
        <v>250</v>
      </c>
      <c r="G22" s="33"/>
      <c r="H22" s="16">
        <f>F22*D22</f>
        <v>120000</v>
      </c>
      <c r="I22" s="16">
        <v>14400</v>
      </c>
      <c r="J22" s="18"/>
    </row>
    <row r="23" spans="1:10" ht="15.6" x14ac:dyDescent="0.3">
      <c r="A23" s="4"/>
      <c r="B23" s="4" t="s">
        <v>147</v>
      </c>
      <c r="C23" s="4" t="s">
        <v>122</v>
      </c>
      <c r="D23" s="32">
        <v>100</v>
      </c>
      <c r="E23" s="16">
        <v>0</v>
      </c>
      <c r="F23" s="34">
        <v>2530</v>
      </c>
      <c r="G23" s="33">
        <v>0</v>
      </c>
      <c r="H23" s="16">
        <v>253000</v>
      </c>
      <c r="I23" s="16">
        <f>G23*E23</f>
        <v>0</v>
      </c>
      <c r="J23" s="18"/>
    </row>
    <row r="24" spans="1:10" ht="15.6" x14ac:dyDescent="0.3">
      <c r="A24" s="4"/>
      <c r="B24" s="4" t="s">
        <v>148</v>
      </c>
      <c r="C24" s="4" t="s">
        <v>125</v>
      </c>
      <c r="D24" s="32">
        <v>161498.22</v>
      </c>
      <c r="E24" s="16">
        <v>0</v>
      </c>
      <c r="F24" s="34">
        <v>1</v>
      </c>
      <c r="G24" s="33">
        <v>0</v>
      </c>
      <c r="H24" s="16">
        <v>161498</v>
      </c>
      <c r="I24" s="16">
        <f t="shared" ref="I24:I30" si="2">G24*E24</f>
        <v>0</v>
      </c>
      <c r="J24" s="18"/>
    </row>
    <row r="25" spans="1:10" ht="15.6" x14ac:dyDescent="0.3">
      <c r="A25" s="4"/>
      <c r="B25" s="4" t="s">
        <v>149</v>
      </c>
      <c r="C25" s="4" t="s">
        <v>125</v>
      </c>
      <c r="D25" s="32">
        <v>398022</v>
      </c>
      <c r="E25" s="16">
        <v>513214</v>
      </c>
      <c r="F25" s="34"/>
      <c r="G25" s="33">
        <v>1</v>
      </c>
      <c r="H25" s="16">
        <v>405902</v>
      </c>
      <c r="I25" s="16">
        <f t="shared" si="2"/>
        <v>513214</v>
      </c>
      <c r="J25" s="18"/>
    </row>
    <row r="26" spans="1:10" ht="15.6" x14ac:dyDescent="0.3">
      <c r="A26" s="4"/>
      <c r="B26" s="4" t="s">
        <v>22</v>
      </c>
      <c r="C26" s="4" t="s">
        <v>125</v>
      </c>
      <c r="D26" s="32">
        <v>410940</v>
      </c>
      <c r="E26" s="16">
        <v>470720</v>
      </c>
      <c r="F26" s="34"/>
      <c r="G26" s="33">
        <v>1</v>
      </c>
      <c r="H26" s="16">
        <v>410940</v>
      </c>
      <c r="I26" s="16">
        <f t="shared" si="2"/>
        <v>470720</v>
      </c>
      <c r="J26" s="18"/>
    </row>
    <row r="27" spans="1:10" ht="15.6" x14ac:dyDescent="0.3">
      <c r="A27" s="4"/>
      <c r="B27" s="4" t="s">
        <v>23</v>
      </c>
      <c r="C27" s="4" t="s">
        <v>125</v>
      </c>
      <c r="D27" s="32">
        <v>71000</v>
      </c>
      <c r="E27" s="16">
        <v>126000</v>
      </c>
      <c r="F27" s="34"/>
      <c r="G27" s="33">
        <v>1</v>
      </c>
      <c r="H27" s="16">
        <v>71000</v>
      </c>
      <c r="I27" s="16">
        <v>132000</v>
      </c>
      <c r="J27" s="18"/>
    </row>
    <row r="28" spans="1:10" ht="15.6" x14ac:dyDescent="0.3">
      <c r="A28" s="4"/>
      <c r="B28" s="4" t="s">
        <v>150</v>
      </c>
      <c r="C28" s="4" t="s">
        <v>125</v>
      </c>
      <c r="D28" s="32">
        <v>517</v>
      </c>
      <c r="E28" s="16">
        <v>466</v>
      </c>
      <c r="F28" s="34">
        <v>321</v>
      </c>
      <c r="G28" s="33">
        <v>399</v>
      </c>
      <c r="H28" s="16">
        <f>F28*D28</f>
        <v>165957</v>
      </c>
      <c r="I28" s="16">
        <f t="shared" si="2"/>
        <v>185934</v>
      </c>
      <c r="J28" s="18"/>
    </row>
    <row r="29" spans="1:10" ht="15.6" x14ac:dyDescent="0.3">
      <c r="A29" s="4"/>
      <c r="B29" s="4" t="s">
        <v>154</v>
      </c>
      <c r="C29" s="4" t="s">
        <v>125</v>
      </c>
      <c r="D29" s="32">
        <v>480</v>
      </c>
      <c r="E29" s="16">
        <v>480</v>
      </c>
      <c r="F29" s="34">
        <v>79</v>
      </c>
      <c r="G29" s="33">
        <v>383</v>
      </c>
      <c r="H29" s="16">
        <v>37920</v>
      </c>
      <c r="I29" s="16">
        <v>261990</v>
      </c>
      <c r="J29" s="18"/>
    </row>
    <row r="30" spans="1:10" ht="15.6" x14ac:dyDescent="0.3">
      <c r="A30" s="4"/>
      <c r="B30" s="4" t="s">
        <v>151</v>
      </c>
      <c r="C30" s="4" t="s">
        <v>125</v>
      </c>
      <c r="D30" s="32">
        <v>500000</v>
      </c>
      <c r="E30" s="16">
        <f>146880+253000+208000</f>
        <v>607880</v>
      </c>
      <c r="F30" s="34">
        <v>1</v>
      </c>
      <c r="G30" s="33">
        <v>1</v>
      </c>
      <c r="H30" s="16">
        <v>500000</v>
      </c>
      <c r="I30" s="16">
        <f t="shared" si="2"/>
        <v>607880</v>
      </c>
      <c r="J30" s="18"/>
    </row>
    <row r="31" spans="1:10" ht="16.2" thickBot="1" x14ac:dyDescent="0.35">
      <c r="A31" s="4"/>
      <c r="B31" s="4"/>
      <c r="C31" s="4"/>
      <c r="D31" s="32"/>
      <c r="E31" s="23"/>
      <c r="F31" s="27"/>
      <c r="H31" s="20">
        <f>SUM(H22:H30)</f>
        <v>2126217</v>
      </c>
      <c r="I31" s="20">
        <f>SUM(I22:I30)</f>
        <v>2186138</v>
      </c>
      <c r="J31" s="22" t="s">
        <v>152</v>
      </c>
    </row>
    <row r="32" spans="1:10" ht="15.6" x14ac:dyDescent="0.3">
      <c r="A32" s="4"/>
      <c r="B32" s="4"/>
      <c r="C32" s="4"/>
      <c r="D32" s="27"/>
      <c r="E32" s="35"/>
      <c r="F32" s="27"/>
      <c r="H32" s="35"/>
      <c r="J32" s="18"/>
    </row>
    <row r="33" spans="1:10" ht="16.2" thickBot="1" x14ac:dyDescent="0.35">
      <c r="A33" s="4"/>
      <c r="B33" s="4"/>
      <c r="C33" s="4"/>
      <c r="D33" s="27"/>
      <c r="E33" s="36"/>
      <c r="F33" s="27"/>
      <c r="H33" s="37">
        <f>H31+H18</f>
        <v>5090217</v>
      </c>
      <c r="I33" s="37">
        <f>I31+I18</f>
        <v>4340738</v>
      </c>
      <c r="J33" s="22" t="s">
        <v>153</v>
      </c>
    </row>
    <row r="34" spans="1:10" ht="13.8" thickTop="1" x14ac:dyDescent="0.25">
      <c r="I34" s="38">
        <f>H33-I33</f>
        <v>749479</v>
      </c>
      <c r="J34" s="39" t="s">
        <v>155</v>
      </c>
    </row>
  </sheetData>
  <pageMargins left="0.7" right="0.7" top="0.75" bottom="0.75" header="0.3" footer="0.3"/>
  <pageSetup paperSize="1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7B7D-646D-45EB-893F-8B5CD01FA7BB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IS67"/>
  <sheetViews>
    <sheetView zoomScale="120" zoomScaleNormal="120" workbookViewId="0">
      <selection activeCell="F13" sqref="F13"/>
    </sheetView>
  </sheetViews>
  <sheetFormatPr defaultColWidth="8.88671875" defaultRowHeight="13.2" x14ac:dyDescent="0.25"/>
  <cols>
    <col min="1" max="1" width="16.5546875" style="1" customWidth="1"/>
    <col min="2" max="2" width="8.109375" style="1" customWidth="1"/>
    <col min="3" max="3" width="9.6640625" style="1" customWidth="1"/>
    <col min="4" max="4" width="8.5546875" style="1" customWidth="1"/>
    <col min="5" max="5" width="9.6640625" style="1" customWidth="1"/>
    <col min="6" max="6" width="12" style="1" customWidth="1"/>
    <col min="7" max="7" width="10.109375" style="1" customWidth="1"/>
    <col min="8" max="8" width="12" style="1" customWidth="1"/>
    <col min="9" max="9" width="10.109375" style="1" customWidth="1"/>
    <col min="10" max="10" width="11.6640625" style="1" customWidth="1"/>
    <col min="11" max="11" width="10.6640625" style="1" customWidth="1"/>
    <col min="12" max="13" width="6.6640625" style="1" customWidth="1"/>
    <col min="14" max="14" width="8.6640625" style="2" customWidth="1"/>
    <col min="15" max="15" width="6.6640625" style="1" customWidth="1"/>
    <col min="16" max="16" width="11.6640625" style="1" customWidth="1"/>
    <col min="17" max="17" width="6.6640625" style="1" customWidth="1"/>
    <col min="18" max="18" width="11.33203125" style="1" customWidth="1"/>
    <col min="19" max="20" width="12.44140625" style="1" customWidth="1"/>
    <col min="21" max="21" width="1.6640625" style="1" customWidth="1"/>
    <col min="22" max="23" width="5.6640625" style="1" customWidth="1"/>
    <col min="24" max="25" width="6.6640625" style="1" customWidth="1"/>
    <col min="26" max="26" width="8.6640625" style="1" customWidth="1"/>
    <col min="27" max="29" width="6.6640625" style="1" customWidth="1"/>
    <col min="30" max="30" width="8.6640625" style="1" customWidth="1"/>
    <col min="31" max="31" width="6.6640625" style="1" customWidth="1"/>
    <col min="32" max="32" width="11.6640625" style="1" customWidth="1"/>
    <col min="33" max="33" width="6.88671875" style="1" customWidth="1"/>
    <col min="34" max="34" width="11.44140625" style="1" customWidth="1"/>
    <col min="35" max="36" width="12.44140625" style="1" customWidth="1"/>
    <col min="37" max="37" width="2.33203125" style="1" customWidth="1"/>
    <col min="38" max="38" width="5.6640625" style="1" customWidth="1"/>
    <col min="39" max="40" width="6.88671875" style="1" customWidth="1"/>
    <col min="41" max="41" width="7.88671875" style="1" customWidth="1"/>
    <col min="42" max="42" width="8.6640625" style="1" customWidth="1"/>
    <col min="43" max="43" width="7.88671875" style="1" customWidth="1"/>
    <col min="44" max="44" width="6.88671875" style="1" customWidth="1"/>
    <col min="45" max="45" width="7.88671875" style="1" customWidth="1"/>
    <col min="46" max="46" width="8.6640625" style="1" customWidth="1"/>
    <col min="47" max="47" width="6.6640625" style="1" customWidth="1"/>
    <col min="48" max="48" width="11.6640625" style="1" customWidth="1"/>
    <col min="49" max="49" width="6.6640625" style="1" customWidth="1"/>
    <col min="50" max="50" width="11.33203125" style="1" customWidth="1"/>
    <col min="51" max="52" width="12.44140625" style="1" customWidth="1"/>
    <col min="53" max="53" width="1.6640625" style="1" customWidth="1"/>
    <col min="54" max="55" width="5.6640625" style="1" customWidth="1"/>
    <col min="56" max="57" width="6.6640625" style="1" customWidth="1"/>
    <col min="58" max="58" width="8.6640625" style="1" customWidth="1"/>
    <col min="59" max="61" width="6.6640625" style="1" customWidth="1"/>
    <col min="62" max="62" width="8.6640625" style="1" customWidth="1"/>
    <col min="63" max="63" width="6.6640625" style="1" customWidth="1"/>
    <col min="64" max="64" width="11.6640625" style="1" customWidth="1"/>
    <col min="65" max="65" width="7.88671875" style="1" customWidth="1"/>
    <col min="66" max="66" width="11.44140625" style="1" customWidth="1"/>
    <col min="67" max="68" width="12.44140625" style="1" customWidth="1"/>
    <col min="69" max="69" width="2.33203125" style="1" customWidth="1"/>
    <col min="70" max="71" width="6.88671875" style="1" customWidth="1"/>
    <col min="72" max="73" width="7.88671875" style="1" customWidth="1"/>
    <col min="74" max="74" width="8.6640625" style="1" customWidth="1"/>
    <col min="75" max="77" width="7.88671875" style="1" customWidth="1"/>
    <col min="78" max="78" width="8.6640625" style="1" customWidth="1"/>
    <col min="79" max="79" width="7.88671875" style="1" customWidth="1"/>
    <col min="80" max="80" width="11.6640625" style="1" customWidth="1"/>
    <col min="81" max="81" width="6.6640625" style="1" customWidth="1"/>
    <col min="82" max="82" width="11.33203125" style="1" customWidth="1"/>
    <col min="83" max="84" width="12.44140625" style="1" customWidth="1"/>
    <col min="85" max="85" width="1.6640625" style="1" customWidth="1"/>
    <col min="86" max="87" width="5.6640625" style="1" customWidth="1"/>
    <col min="88" max="89" width="6.6640625" style="1" customWidth="1"/>
    <col min="90" max="90" width="8.6640625" style="1" customWidth="1"/>
    <col min="91" max="93" width="6.6640625" style="1" customWidth="1"/>
    <col min="94" max="94" width="8.6640625" style="1" customWidth="1"/>
    <col min="95" max="95" width="6.6640625" style="1" customWidth="1"/>
    <col min="96" max="96" width="11.6640625" style="1" customWidth="1"/>
    <col min="97" max="97" width="9.44140625" style="1" customWidth="1"/>
    <col min="98" max="98" width="11.44140625" style="1" customWidth="1"/>
    <col min="99" max="100" width="12.44140625" style="1" customWidth="1"/>
    <col min="101" max="101" width="2.33203125" style="1" customWidth="1"/>
    <col min="102" max="103" width="6.88671875" style="1" customWidth="1"/>
    <col min="104" max="105" width="7.88671875" style="1" customWidth="1"/>
    <col min="106" max="106" width="8.6640625" style="1" customWidth="1"/>
    <col min="107" max="109" width="7.88671875" style="1" customWidth="1"/>
    <col min="110" max="110" width="8.6640625" style="1" customWidth="1"/>
    <col min="111" max="111" width="7.88671875" style="1" customWidth="1"/>
    <col min="112" max="112" width="11.6640625" style="1" customWidth="1"/>
    <col min="113" max="113" width="6.6640625" style="1" customWidth="1"/>
    <col min="114" max="114" width="11.33203125" style="1" customWidth="1"/>
    <col min="115" max="116" width="12.44140625" style="1" customWidth="1"/>
    <col min="117" max="117" width="1.6640625" style="1" customWidth="1"/>
    <col min="118" max="119" width="5.6640625" style="1" customWidth="1"/>
    <col min="120" max="121" width="6.6640625" style="1" customWidth="1"/>
    <col min="122" max="122" width="8.6640625" style="1" customWidth="1"/>
    <col min="123" max="125" width="6.6640625" style="1" customWidth="1"/>
    <col min="126" max="126" width="8.6640625" style="1" customWidth="1"/>
    <col min="127" max="127" width="6.6640625" style="1" customWidth="1"/>
    <col min="128" max="128" width="11.6640625" style="1" customWidth="1"/>
    <col min="129" max="129" width="9.44140625" style="1" customWidth="1"/>
    <col min="130" max="130" width="11.33203125" style="1" customWidth="1"/>
    <col min="131" max="132" width="12.44140625" style="1" customWidth="1"/>
    <col min="133" max="133" width="2.33203125" style="1" customWidth="1"/>
    <col min="134" max="135" width="6.88671875" style="1" customWidth="1"/>
    <col min="136" max="137" width="7.88671875" style="1" customWidth="1"/>
    <col min="138" max="138" width="8.6640625" style="1" customWidth="1"/>
    <col min="139" max="141" width="7.88671875" style="1" customWidth="1"/>
    <col min="142" max="142" width="8.6640625" style="1" customWidth="1"/>
    <col min="143" max="143" width="7.88671875" style="1" customWidth="1"/>
    <col min="144" max="144" width="11.6640625" style="1" customWidth="1"/>
    <col min="145" max="145" width="6.6640625" style="1" customWidth="1"/>
    <col min="146" max="146" width="11.33203125" style="1" customWidth="1"/>
    <col min="147" max="148" width="12.44140625" style="1" customWidth="1"/>
    <col min="149" max="149" width="1.6640625" style="1" customWidth="1"/>
    <col min="150" max="151" width="5.6640625" style="1" customWidth="1"/>
    <col min="152" max="153" width="6.6640625" style="1" customWidth="1"/>
    <col min="154" max="154" width="8.6640625" style="1" customWidth="1"/>
    <col min="155" max="157" width="6.6640625" style="1" customWidth="1"/>
    <col min="158" max="158" width="8.6640625" style="1" customWidth="1"/>
    <col min="159" max="159" width="6.6640625" style="1" customWidth="1"/>
    <col min="160" max="160" width="11.6640625" style="1" customWidth="1"/>
    <col min="161" max="161" width="10" style="1" customWidth="1"/>
    <col min="162" max="162" width="16" style="1" customWidth="1"/>
    <col min="163" max="163" width="20.109375" style="1" customWidth="1"/>
    <col min="164" max="164" width="17.6640625" style="1" customWidth="1"/>
    <col min="165" max="165" width="20.109375" style="1" customWidth="1"/>
    <col min="166" max="166" width="17.6640625" style="1" customWidth="1"/>
    <col min="167" max="167" width="20.109375" style="1" customWidth="1"/>
    <col min="168" max="168" width="16.5546875" style="1" customWidth="1"/>
    <col min="169" max="169" width="20.109375" style="1" customWidth="1"/>
    <col min="170" max="170" width="16" style="1" customWidth="1"/>
    <col min="171" max="171" width="20.109375" style="1" customWidth="1"/>
    <col min="172" max="172" width="6.6640625" style="1" customWidth="1"/>
    <col min="173" max="173" width="11.6640625" style="1" customWidth="1"/>
    <col min="174" max="174" width="8.6640625" style="1" customWidth="1"/>
    <col min="175" max="175" width="11.6640625" style="1" customWidth="1"/>
    <col min="176" max="176" width="8.6640625" style="1" customWidth="1"/>
    <col min="177" max="177" width="11.6640625" style="1" customWidth="1"/>
    <col min="178" max="178" width="8.6640625" style="1" customWidth="1"/>
    <col min="179" max="179" width="11.6640625" style="1" customWidth="1"/>
    <col min="180" max="180" width="8.6640625" style="1" customWidth="1"/>
    <col min="181" max="181" width="11.6640625" style="1" customWidth="1"/>
    <col min="182" max="182" width="8.6640625" style="1" customWidth="1"/>
    <col min="183" max="184" width="11.6640625" style="1" customWidth="1"/>
    <col min="185" max="185" width="13.33203125" style="1" customWidth="1"/>
    <col min="186" max="186" width="9.44140625" style="1" customWidth="1"/>
    <col min="187" max="187" width="11.6640625" style="1" customWidth="1"/>
    <col min="188" max="188" width="14.44140625" style="1" customWidth="1"/>
    <col min="189" max="189" width="22" style="1" customWidth="1"/>
    <col min="190" max="190" width="14.44140625" style="1" customWidth="1"/>
    <col min="191" max="191" width="22" style="1" customWidth="1"/>
    <col min="192" max="192" width="14.44140625" style="1" customWidth="1"/>
    <col min="193" max="193" width="22" style="1" customWidth="1"/>
    <col min="194" max="194" width="3.6640625" style="1" customWidth="1"/>
    <col min="195" max="195" width="6.6640625" style="1" customWidth="1"/>
    <col min="196" max="196" width="7.6640625" style="1" customWidth="1"/>
    <col min="197" max="197" width="10.6640625" style="1" customWidth="1"/>
    <col min="198" max="198" width="7.88671875" style="1" customWidth="1"/>
    <col min="199" max="199" width="10.6640625" style="1" customWidth="1"/>
    <col min="200" max="200" width="7.6640625" style="1" customWidth="1"/>
    <col min="201" max="201" width="10.6640625" style="1" customWidth="1"/>
    <col min="202" max="202" width="8.6640625" style="1" customWidth="1"/>
    <col min="203" max="203" width="7.88671875" style="1" customWidth="1"/>
    <col min="204" max="204" width="11.6640625" style="1" customWidth="1"/>
    <col min="205" max="205" width="8.6640625" style="1" customWidth="1"/>
    <col min="206" max="206" width="11.6640625" style="1" customWidth="1"/>
    <col min="207" max="207" width="8.6640625" style="1" customWidth="1"/>
    <col min="208" max="208" width="11.6640625" style="1" customWidth="1"/>
    <col min="209" max="209" width="8.6640625" style="1" customWidth="1"/>
    <col min="210" max="210" width="11.6640625" style="1" customWidth="1"/>
    <col min="211" max="211" width="8.6640625" style="1" customWidth="1"/>
    <col min="212" max="212" width="11.6640625" style="1" customWidth="1"/>
    <col min="213" max="213" width="8.6640625" style="1" customWidth="1"/>
    <col min="214" max="215" width="11.6640625" style="1" customWidth="1"/>
    <col min="216" max="216" width="13.33203125" style="1" customWidth="1"/>
    <col min="217" max="217" width="8.5546875" style="1" customWidth="1"/>
    <col min="218" max="218" width="11.6640625" style="1" customWidth="1"/>
    <col min="219" max="219" width="14.44140625" style="1" customWidth="1"/>
    <col min="220" max="220" width="22" style="1" customWidth="1"/>
    <col min="221" max="221" width="14.44140625" style="1" customWidth="1"/>
    <col min="222" max="222" width="22" style="1" customWidth="1"/>
    <col min="223" max="223" width="14.44140625" style="1" customWidth="1"/>
    <col min="224" max="224" width="22" style="1" customWidth="1"/>
    <col min="225" max="225" width="3.6640625" style="1" customWidth="1"/>
    <col min="226" max="226" width="6.6640625" style="1" customWidth="1"/>
    <col min="227" max="227" width="7.6640625" style="1" customWidth="1"/>
    <col min="228" max="228" width="10.6640625" style="1" customWidth="1"/>
    <col min="229" max="229" width="7.6640625" style="1" customWidth="1"/>
    <col min="230" max="230" width="10.6640625" style="1" customWidth="1"/>
    <col min="231" max="231" width="7.6640625" style="1" customWidth="1"/>
    <col min="232" max="232" width="10.6640625" style="1" customWidth="1"/>
    <col min="233" max="233" width="8.6640625" style="1" customWidth="1"/>
    <col min="234" max="234" width="6.6640625" style="1" customWidth="1"/>
    <col min="235" max="235" width="11.6640625" style="1" customWidth="1"/>
    <col min="236" max="236" width="8.6640625" style="1" customWidth="1"/>
    <col min="237" max="237" width="11.6640625" style="1" customWidth="1"/>
    <col min="238" max="238" width="8.6640625" style="1" customWidth="1"/>
    <col min="239" max="239" width="11.6640625" style="1" customWidth="1"/>
    <col min="240" max="240" width="8.6640625" style="1" customWidth="1"/>
    <col min="241" max="241" width="11.6640625" style="1" customWidth="1"/>
    <col min="242" max="242" width="8.6640625" style="1" customWidth="1"/>
    <col min="243" max="243" width="11.6640625" style="1" customWidth="1"/>
    <col min="244" max="244" width="8.6640625" style="1" customWidth="1"/>
    <col min="245" max="246" width="11.6640625" style="1" customWidth="1"/>
    <col min="247" max="247" width="13.33203125" style="1" customWidth="1"/>
    <col min="248" max="248" width="9.44140625" style="1" customWidth="1"/>
    <col min="249" max="249" width="11.6640625" style="1" customWidth="1"/>
    <col min="250" max="250" width="14.44140625" style="1" customWidth="1"/>
    <col min="251" max="251" width="22" style="1" customWidth="1"/>
    <col min="252" max="252" width="14.44140625" style="1" customWidth="1"/>
    <col min="253" max="253" width="22" style="1" customWidth="1"/>
    <col min="254" max="254" width="14.44140625" style="1" customWidth="1"/>
    <col min="255" max="255" width="22" style="1" customWidth="1"/>
    <col min="256" max="256" width="3.6640625" style="1" customWidth="1"/>
    <col min="257" max="257" width="6.6640625" style="1" customWidth="1"/>
    <col min="258" max="258" width="7.6640625" style="1" customWidth="1"/>
    <col min="259" max="259" width="10.6640625" style="1" customWidth="1"/>
    <col min="260" max="260" width="7.88671875" style="1" customWidth="1"/>
    <col min="261" max="261" width="10.6640625" style="1" customWidth="1"/>
    <col min="262" max="262" width="7.6640625" style="1" customWidth="1"/>
    <col min="263" max="263" width="10.6640625" style="1" customWidth="1"/>
    <col min="264" max="264" width="8.6640625" style="1" customWidth="1"/>
    <col min="265" max="265" width="7.88671875" style="1" customWidth="1"/>
    <col min="266" max="266" width="11.6640625" style="1" customWidth="1"/>
    <col min="267" max="267" width="8.6640625" style="1" customWidth="1"/>
    <col min="268" max="268" width="11.6640625" style="1" customWidth="1"/>
    <col min="269" max="269" width="8.6640625" style="1" customWidth="1"/>
    <col min="270" max="270" width="11.6640625" style="1" customWidth="1"/>
    <col min="271" max="271" width="8.6640625" style="1" customWidth="1"/>
    <col min="272" max="272" width="11.6640625" style="1" customWidth="1"/>
    <col min="273" max="273" width="8.6640625" style="1" customWidth="1"/>
    <col min="274" max="274" width="11.6640625" style="1" customWidth="1"/>
    <col min="275" max="275" width="8.6640625" style="1" customWidth="1"/>
    <col min="276" max="277" width="11.6640625" style="1" customWidth="1"/>
    <col min="278" max="278" width="13.33203125" style="1" customWidth="1"/>
    <col min="279" max="279" width="8.5546875" style="1" customWidth="1"/>
    <col min="280" max="280" width="11.6640625" style="1" customWidth="1"/>
    <col min="281" max="281" width="14.44140625" style="1" customWidth="1"/>
    <col min="282" max="282" width="22" style="1" customWidth="1"/>
    <col min="283" max="283" width="14.44140625" style="1" customWidth="1"/>
    <col min="284" max="284" width="22" style="1" customWidth="1"/>
    <col min="285" max="285" width="14.44140625" style="1" customWidth="1"/>
    <col min="286" max="286" width="22" style="1" customWidth="1"/>
    <col min="287" max="287" width="3.6640625" style="1" customWidth="1"/>
    <col min="288" max="288" width="6.6640625" style="1" customWidth="1"/>
    <col min="289" max="289" width="7.6640625" style="1" customWidth="1"/>
    <col min="290" max="290" width="10.6640625" style="1" customWidth="1"/>
    <col min="291" max="291" width="7.6640625" style="1" customWidth="1"/>
    <col min="292" max="292" width="10.6640625" style="1" customWidth="1"/>
    <col min="293" max="293" width="7.6640625" style="1" customWidth="1"/>
    <col min="294" max="294" width="10.6640625" style="1" customWidth="1"/>
    <col min="295" max="295" width="8.6640625" style="1" customWidth="1"/>
    <col min="296" max="296" width="6.6640625" style="1" customWidth="1"/>
    <col min="297" max="297" width="11.6640625" style="1" customWidth="1"/>
    <col min="298" max="298" width="8.6640625" style="1" customWidth="1"/>
    <col min="299" max="299" width="11.6640625" style="1" customWidth="1"/>
    <col min="300" max="300" width="8.6640625" style="1" customWidth="1"/>
    <col min="301" max="301" width="11.6640625" style="1" customWidth="1"/>
    <col min="302" max="302" width="8.6640625" style="1" customWidth="1"/>
    <col min="303" max="303" width="11.6640625" style="1" customWidth="1"/>
    <col min="304" max="304" width="8.6640625" style="1" customWidth="1"/>
    <col min="305" max="305" width="11.6640625" style="1" customWidth="1"/>
    <col min="306" max="306" width="8.6640625" style="1" customWidth="1"/>
    <col min="307" max="308" width="11.6640625" style="1" customWidth="1"/>
    <col min="309" max="309" width="13.33203125" style="1" customWidth="1"/>
    <col min="310" max="310" width="10" style="1" customWidth="1"/>
    <col min="311" max="311" width="11.6640625" style="1" customWidth="1"/>
    <col min="312" max="312" width="16" style="1" customWidth="1"/>
    <col min="313" max="313" width="20.109375" style="1" customWidth="1"/>
    <col min="314" max="314" width="17.6640625" style="1" customWidth="1"/>
    <col min="315" max="315" width="20.109375" style="1" customWidth="1"/>
    <col min="316" max="316" width="17.6640625" style="1" customWidth="1"/>
    <col min="317" max="317" width="20.109375" style="1" customWidth="1"/>
    <col min="318" max="318" width="16.5546875" style="1" customWidth="1"/>
    <col min="319" max="319" width="20.109375" style="1" customWidth="1"/>
    <col min="320" max="320" width="16" style="1" customWidth="1"/>
    <col min="321" max="321" width="20.109375" style="1" customWidth="1"/>
    <col min="322" max="322" width="8.6640625" style="1" customWidth="1"/>
    <col min="323" max="323" width="11.6640625" style="1" customWidth="1"/>
    <col min="324" max="324" width="8.6640625" style="1" customWidth="1"/>
    <col min="325" max="325" width="11.6640625" style="1" customWidth="1"/>
    <col min="326" max="326" width="14.44140625" style="1" customWidth="1"/>
    <col min="327" max="327" width="22" style="1" customWidth="1"/>
    <col min="328" max="328" width="14.44140625" style="1" customWidth="1"/>
    <col min="329" max="329" width="22" style="1" customWidth="1"/>
    <col min="330" max="330" width="14.44140625" style="1" customWidth="1"/>
    <col min="331" max="331" width="22" style="1" customWidth="1"/>
    <col min="332" max="332" width="3.6640625" style="1" customWidth="1"/>
    <col min="333" max="333" width="6.6640625" style="1" customWidth="1"/>
    <col min="334" max="334" width="7.6640625" style="1" customWidth="1"/>
    <col min="335" max="335" width="10.6640625" style="1" customWidth="1"/>
    <col min="336" max="336" width="7.88671875" style="1" customWidth="1"/>
    <col min="337" max="337" width="10.6640625" style="1" customWidth="1"/>
    <col min="338" max="338" width="7.6640625" style="1" customWidth="1"/>
    <col min="339" max="339" width="10.6640625" style="1" customWidth="1"/>
    <col min="340" max="340" width="8.6640625" style="1" customWidth="1"/>
    <col min="341" max="341" width="7.88671875" style="1" customWidth="1"/>
    <col min="342" max="342" width="11.6640625" style="1" customWidth="1"/>
    <col min="343" max="343" width="8.6640625" style="1" customWidth="1"/>
    <col min="344" max="344" width="11.6640625" style="1" customWidth="1"/>
    <col min="345" max="345" width="8.6640625" style="1" customWidth="1"/>
    <col min="346" max="346" width="11.6640625" style="1" customWidth="1"/>
    <col min="347" max="347" width="8.6640625" style="1" customWidth="1"/>
    <col min="348" max="348" width="11.6640625" style="1" customWidth="1"/>
    <col min="349" max="349" width="8.6640625" style="1" customWidth="1"/>
    <col min="350" max="350" width="11.6640625" style="1" customWidth="1"/>
    <col min="351" max="351" width="8.6640625" style="1" customWidth="1"/>
    <col min="352" max="353" width="11.6640625" style="1" customWidth="1"/>
    <col min="354" max="354" width="13.33203125" style="1" customWidth="1"/>
    <col min="355" max="355" width="8.5546875" style="1" customWidth="1"/>
    <col min="356" max="356" width="11.6640625" style="1" customWidth="1"/>
    <col min="357" max="357" width="10.33203125" style="1" customWidth="1"/>
    <col min="358" max="358" width="11.6640625" style="1" customWidth="1"/>
    <col min="359" max="359" width="8.5546875" style="1" customWidth="1"/>
    <col min="360" max="360" width="11.6640625" style="1" customWidth="1"/>
    <col min="361" max="361" width="8.5546875" style="1" customWidth="1"/>
    <col min="362" max="362" width="11.6640625" style="1" customWidth="1"/>
    <col min="363" max="363" width="11.33203125" style="1" customWidth="1"/>
    <col min="364" max="364" width="11.6640625" style="1" customWidth="1"/>
    <col min="365" max="365" width="8.5546875" style="1" customWidth="1"/>
    <col min="366" max="366" width="11.6640625" style="1" customWidth="1"/>
    <col min="367" max="367" width="8.5546875" style="1" customWidth="1"/>
    <col min="368" max="368" width="11.6640625" style="1" customWidth="1"/>
    <col min="369" max="369" width="8.5546875" style="1" customWidth="1"/>
    <col min="370" max="370" width="11.6640625" style="1" customWidth="1"/>
    <col min="371" max="371" width="8.5546875" style="1" customWidth="1"/>
    <col min="372" max="372" width="11.6640625" style="1" customWidth="1"/>
    <col min="373" max="373" width="8.5546875" style="1" customWidth="1"/>
    <col min="374" max="374" width="11.6640625" style="1" customWidth="1"/>
    <col min="375" max="375" width="8.5546875" style="1" customWidth="1"/>
    <col min="376" max="376" width="11.6640625" style="1" customWidth="1"/>
    <col min="377" max="377" width="8.5546875" style="1" customWidth="1"/>
    <col min="378" max="378" width="11.6640625" style="1" customWidth="1"/>
    <col min="379" max="379" width="8.5546875" style="1" customWidth="1"/>
    <col min="380" max="380" width="11.6640625" style="1" customWidth="1"/>
    <col min="381" max="381" width="8.5546875" style="1" customWidth="1"/>
    <col min="382" max="382" width="11.6640625" style="1" customWidth="1"/>
    <col min="383" max="383" width="8.5546875" style="1" customWidth="1"/>
    <col min="384" max="384" width="11.6640625" style="1" customWidth="1"/>
    <col min="385" max="385" width="8.6640625" style="1" customWidth="1"/>
    <col min="386" max="386" width="11.6640625" style="1" customWidth="1"/>
    <col min="387" max="387" width="8.6640625" style="1" customWidth="1"/>
    <col min="388" max="388" width="11.6640625" style="1" customWidth="1"/>
    <col min="389" max="389" width="8.6640625" style="1" customWidth="1"/>
    <col min="390" max="390" width="11.6640625" style="1" customWidth="1"/>
    <col min="391" max="391" width="8.6640625" style="1" customWidth="1"/>
    <col min="392" max="392" width="11.6640625" style="1" customWidth="1"/>
    <col min="393" max="393" width="8.6640625" style="1" customWidth="1"/>
    <col min="394" max="394" width="11.6640625" style="1" customWidth="1"/>
    <col min="395" max="395" width="8.6640625" style="1" customWidth="1"/>
    <col min="396" max="396" width="11.6640625" style="1" customWidth="1"/>
    <col min="397" max="397" width="14.44140625" style="1" customWidth="1"/>
    <col min="398" max="398" width="22" style="1" customWidth="1"/>
    <col min="399" max="399" width="14.44140625" style="1" customWidth="1"/>
    <col min="400" max="400" width="22" style="1" customWidth="1"/>
    <col min="401" max="401" width="14.44140625" style="1" customWidth="1"/>
    <col min="402" max="402" width="22" style="1" customWidth="1"/>
    <col min="403" max="403" width="3.6640625" style="1" customWidth="1"/>
    <col min="404" max="404" width="6.6640625" style="1" customWidth="1"/>
    <col min="405" max="405" width="7.6640625" style="1" customWidth="1"/>
    <col min="406" max="406" width="10.6640625" style="1" customWidth="1"/>
    <col min="407" max="407" width="7.6640625" style="1" customWidth="1"/>
    <col min="408" max="408" width="10.6640625" style="1" customWidth="1"/>
    <col min="409" max="409" width="7.6640625" style="1" customWidth="1"/>
    <col min="410" max="410" width="10.6640625" style="1" customWidth="1"/>
    <col min="411" max="411" width="8.6640625" style="1" customWidth="1"/>
    <col min="412" max="412" width="6.6640625" style="1" customWidth="1"/>
    <col min="413" max="413" width="11.6640625" style="1" customWidth="1"/>
    <col min="414" max="414" width="8.6640625" style="1" customWidth="1"/>
    <col min="415" max="415" width="11.6640625" style="1" customWidth="1"/>
    <col min="416" max="416" width="8.6640625" style="1" customWidth="1"/>
    <col min="417" max="417" width="11.6640625" style="1" customWidth="1"/>
    <col min="418" max="418" width="8.6640625" style="1" customWidth="1"/>
    <col min="419" max="419" width="11.6640625" style="1" customWidth="1"/>
    <col min="420" max="420" width="8.6640625" style="1" customWidth="1"/>
    <col min="421" max="421" width="11.6640625" style="1" customWidth="1"/>
    <col min="422" max="422" width="8.6640625" style="1" customWidth="1"/>
    <col min="423" max="424" width="11.6640625" style="1" customWidth="1"/>
    <col min="425" max="425" width="13.33203125" style="1" customWidth="1"/>
    <col min="426" max="426" width="8.5546875" style="1" customWidth="1"/>
    <col min="427" max="427" width="11.6640625" style="1" customWidth="1"/>
    <col min="428" max="428" width="11.44140625" style="1" customWidth="1"/>
    <col min="429" max="429" width="11.6640625" style="1" customWidth="1"/>
    <col min="430" max="430" width="8.5546875" style="1" customWidth="1"/>
    <col min="431" max="431" width="11.6640625" style="1" customWidth="1"/>
    <col min="432" max="432" width="8.5546875" style="1" customWidth="1"/>
    <col min="433" max="433" width="11.6640625" style="1" customWidth="1"/>
    <col min="434" max="434" width="11.33203125" style="1" customWidth="1"/>
    <col min="435" max="435" width="11.6640625" style="1" customWidth="1"/>
    <col min="436" max="436" width="8.5546875" style="1" customWidth="1"/>
    <col min="437" max="437" width="11.6640625" style="1" customWidth="1"/>
    <col min="438" max="438" width="8.5546875" style="1" customWidth="1"/>
    <col min="439" max="439" width="11.6640625" style="1" customWidth="1"/>
    <col min="440" max="440" width="8.5546875" style="1" customWidth="1"/>
    <col min="441" max="441" width="11.6640625" style="1" customWidth="1"/>
    <col min="442" max="442" width="8.5546875" style="1" customWidth="1"/>
    <col min="443" max="443" width="11.6640625" style="1" customWidth="1"/>
    <col min="444" max="444" width="8.5546875" style="1" customWidth="1"/>
    <col min="445" max="445" width="11.6640625" style="1" customWidth="1"/>
    <col min="446" max="446" width="8.5546875" style="1" customWidth="1"/>
    <col min="447" max="447" width="11.6640625" style="1" customWidth="1"/>
    <col min="448" max="448" width="8.5546875" style="1" customWidth="1"/>
    <col min="449" max="449" width="11.6640625" style="1" customWidth="1"/>
    <col min="450" max="450" width="8.5546875" style="1" customWidth="1"/>
    <col min="451" max="451" width="11.6640625" style="1" customWidth="1"/>
    <col min="452" max="452" width="8.5546875" style="1" customWidth="1"/>
    <col min="453" max="453" width="11.6640625" style="1" customWidth="1"/>
    <col min="454" max="454" width="8.5546875" style="1" customWidth="1"/>
    <col min="455" max="455" width="11.6640625" style="1" customWidth="1"/>
    <col min="456" max="456" width="8.6640625" style="1" customWidth="1"/>
    <col min="457" max="457" width="11.6640625" style="1" customWidth="1"/>
    <col min="458" max="458" width="8.6640625" style="1" customWidth="1"/>
    <col min="459" max="459" width="11.6640625" style="1" customWidth="1"/>
    <col min="460" max="460" width="8.6640625" style="1" customWidth="1"/>
    <col min="461" max="461" width="11.6640625" style="1" customWidth="1"/>
    <col min="462" max="462" width="8.6640625" style="1" customWidth="1"/>
    <col min="463" max="463" width="11.6640625" style="1" customWidth="1"/>
    <col min="464" max="464" width="8.6640625" style="1" customWidth="1"/>
    <col min="465" max="465" width="11.6640625" style="1" customWidth="1"/>
    <col min="466" max="466" width="8.6640625" style="1" customWidth="1"/>
    <col min="467" max="467" width="11.6640625" style="1" customWidth="1"/>
    <col min="468" max="468" width="14.44140625" style="1" customWidth="1"/>
    <col min="469" max="469" width="22" style="1" customWidth="1"/>
    <col min="470" max="470" width="14.44140625" style="1" customWidth="1"/>
    <col min="471" max="471" width="22" style="1" customWidth="1"/>
    <col min="472" max="472" width="14.44140625" style="1" customWidth="1"/>
    <col min="473" max="473" width="22" style="1" customWidth="1"/>
    <col min="474" max="474" width="3.6640625" style="1" customWidth="1"/>
    <col min="475" max="475" width="6.6640625" style="1" customWidth="1"/>
    <col min="476" max="476" width="7.6640625" style="1" customWidth="1"/>
    <col min="477" max="477" width="10.6640625" style="1" customWidth="1"/>
    <col min="478" max="478" width="7.88671875" style="1" customWidth="1"/>
    <col min="479" max="479" width="10.6640625" style="1" customWidth="1"/>
    <col min="480" max="480" width="7.6640625" style="1" customWidth="1"/>
    <col min="481" max="481" width="10.6640625" style="1" customWidth="1"/>
    <col min="482" max="482" width="8.6640625" style="1" customWidth="1"/>
    <col min="483" max="483" width="7.88671875" style="1" customWidth="1"/>
    <col min="484" max="484" width="11.6640625" style="1" customWidth="1"/>
    <col min="485" max="485" width="8.6640625" style="1" customWidth="1"/>
    <col min="486" max="486" width="11.6640625" style="1" customWidth="1"/>
    <col min="487" max="487" width="8.6640625" style="1" customWidth="1"/>
    <col min="488" max="488" width="11.6640625" style="1" customWidth="1"/>
    <col min="489" max="489" width="8.6640625" style="1" customWidth="1"/>
    <col min="490" max="490" width="11.6640625" style="1" customWidth="1"/>
    <col min="491" max="491" width="8.6640625" style="1" customWidth="1"/>
    <col min="492" max="492" width="11.6640625" style="1" customWidth="1"/>
    <col min="493" max="493" width="8.6640625" style="1" customWidth="1"/>
    <col min="494" max="495" width="11.6640625" style="1" customWidth="1"/>
    <col min="496" max="496" width="13.33203125" style="1" customWidth="1"/>
    <col min="497" max="497" width="8.5546875" style="1" customWidth="1"/>
    <col min="498" max="498" width="11.6640625" style="1" customWidth="1"/>
    <col min="499" max="499" width="10.33203125" style="1" customWidth="1"/>
    <col min="500" max="500" width="11.6640625" style="1" customWidth="1"/>
    <col min="501" max="501" width="8.5546875" style="1" customWidth="1"/>
    <col min="502" max="502" width="11.6640625" style="1" customWidth="1"/>
    <col min="503" max="503" width="8.5546875" style="1" customWidth="1"/>
    <col min="504" max="504" width="11.6640625" style="1" customWidth="1"/>
    <col min="505" max="505" width="11.33203125" style="1" customWidth="1"/>
    <col min="506" max="506" width="11.6640625" style="1" customWidth="1"/>
    <col min="507" max="507" width="8.5546875" style="1" customWidth="1"/>
    <col min="508" max="508" width="11.6640625" style="1" customWidth="1"/>
    <col min="509" max="509" width="8.5546875" style="1" customWidth="1"/>
    <col min="510" max="510" width="11.6640625" style="1" customWidth="1"/>
    <col min="511" max="511" width="8.5546875" style="1" customWidth="1"/>
    <col min="512" max="512" width="11.6640625" style="1" customWidth="1"/>
    <col min="513" max="513" width="8.5546875" style="1" customWidth="1"/>
    <col min="514" max="514" width="11.6640625" style="1" customWidth="1"/>
    <col min="515" max="515" width="8.5546875" style="1" customWidth="1"/>
    <col min="516" max="516" width="11.6640625" style="1" customWidth="1"/>
    <col min="517" max="517" width="8.5546875" style="1" customWidth="1"/>
    <col min="518" max="518" width="11.6640625" style="1" customWidth="1"/>
    <col min="519" max="519" width="8.5546875" style="1" customWidth="1"/>
    <col min="520" max="520" width="11.6640625" style="1" customWidth="1"/>
    <col min="521" max="521" width="8.5546875" style="1" customWidth="1"/>
    <col min="522" max="522" width="11.6640625" style="1" customWidth="1"/>
    <col min="523" max="523" width="8.5546875" style="1" customWidth="1"/>
    <col min="524" max="524" width="11.6640625" style="1" customWidth="1"/>
    <col min="525" max="525" width="8.5546875" style="1" customWidth="1"/>
    <col min="526" max="526" width="11.6640625" style="1" customWidth="1"/>
    <col min="527" max="527" width="8.6640625" style="1" customWidth="1"/>
    <col min="528" max="528" width="11.6640625" style="1" customWidth="1"/>
    <col min="529" max="529" width="8.6640625" style="1" customWidth="1"/>
    <col min="530" max="530" width="11.6640625" style="1" customWidth="1"/>
    <col min="531" max="531" width="8.6640625" style="1" customWidth="1"/>
    <col min="532" max="532" width="11.6640625" style="1" customWidth="1"/>
    <col min="533" max="533" width="8.6640625" style="1" customWidth="1"/>
    <col min="534" max="534" width="11.6640625" style="1" customWidth="1"/>
    <col min="535" max="535" width="8.6640625" style="1" customWidth="1"/>
    <col min="536" max="536" width="11.6640625" style="1" customWidth="1"/>
    <col min="537" max="537" width="8.6640625" style="1" customWidth="1"/>
    <col min="538" max="538" width="11.6640625" style="1" customWidth="1"/>
    <col min="539" max="539" width="14.44140625" style="1" customWidth="1"/>
    <col min="540" max="540" width="22" style="1" customWidth="1"/>
    <col min="541" max="541" width="14.44140625" style="1" customWidth="1"/>
    <col min="542" max="542" width="22" style="1" customWidth="1"/>
    <col min="543" max="543" width="14.44140625" style="1" customWidth="1"/>
    <col min="544" max="544" width="22" style="1" customWidth="1"/>
    <col min="545" max="545" width="3.6640625" style="1" customWidth="1"/>
    <col min="546" max="546" width="6.6640625" style="1" customWidth="1"/>
    <col min="547" max="547" width="7.6640625" style="1" customWidth="1"/>
    <col min="548" max="548" width="10.6640625" style="1" customWidth="1"/>
    <col min="549" max="549" width="7.6640625" style="1" customWidth="1"/>
    <col min="550" max="550" width="10.6640625" style="1" customWidth="1"/>
    <col min="551" max="551" width="7.6640625" style="1" customWidth="1"/>
    <col min="552" max="552" width="10.6640625" style="1" customWidth="1"/>
    <col min="553" max="553" width="8.6640625" style="1" customWidth="1"/>
    <col min="554" max="554" width="6.6640625" style="1" customWidth="1"/>
    <col min="555" max="555" width="11.6640625" style="1" customWidth="1"/>
    <col min="556" max="556" width="8.6640625" style="1" customWidth="1"/>
    <col min="557" max="557" width="11.6640625" style="1" customWidth="1"/>
    <col min="558" max="558" width="8.6640625" style="1" customWidth="1"/>
    <col min="559" max="559" width="11.6640625" style="1" customWidth="1"/>
    <col min="560" max="560" width="8.6640625" style="1" customWidth="1"/>
    <col min="561" max="561" width="11.6640625" style="1" customWidth="1"/>
    <col min="562" max="562" width="8.6640625" style="1" customWidth="1"/>
    <col min="563" max="563" width="11.6640625" style="1" customWidth="1"/>
    <col min="564" max="564" width="8.6640625" style="1" customWidth="1"/>
    <col min="565" max="566" width="11.6640625" style="1" customWidth="1"/>
    <col min="567" max="567" width="13.33203125" style="1" customWidth="1"/>
    <col min="568" max="568" width="8.5546875" style="1" customWidth="1"/>
    <col min="569" max="569" width="11.6640625" style="1" customWidth="1"/>
    <col min="570" max="570" width="11" style="1" customWidth="1"/>
    <col min="571" max="571" width="11.6640625" style="1" customWidth="1"/>
    <col min="572" max="572" width="8.5546875" style="1" customWidth="1"/>
    <col min="573" max="573" width="11.6640625" style="1" customWidth="1"/>
    <col min="574" max="574" width="8.5546875" style="1" customWidth="1"/>
    <col min="575" max="575" width="11.6640625" style="1" customWidth="1"/>
    <col min="576" max="576" width="11.33203125" style="1" customWidth="1"/>
    <col min="577" max="577" width="11.6640625" style="1" customWidth="1"/>
    <col min="578" max="578" width="8.5546875" style="1" customWidth="1"/>
    <col min="579" max="579" width="11.6640625" style="1" customWidth="1"/>
    <col min="580" max="580" width="8.5546875" style="1" customWidth="1"/>
    <col min="581" max="581" width="11.6640625" style="1" customWidth="1"/>
    <col min="582" max="582" width="8.5546875" style="1" customWidth="1"/>
    <col min="583" max="583" width="11.6640625" style="1" customWidth="1"/>
    <col min="584" max="584" width="8.5546875" style="1" customWidth="1"/>
    <col min="585" max="585" width="11.6640625" style="1" customWidth="1"/>
    <col min="586" max="586" width="8.5546875" style="1" customWidth="1"/>
    <col min="587" max="587" width="11.6640625" style="1" customWidth="1"/>
    <col min="588" max="588" width="8.5546875" style="1" customWidth="1"/>
    <col min="589" max="589" width="11.6640625" style="1" customWidth="1"/>
    <col min="590" max="590" width="8.5546875" style="1" customWidth="1"/>
    <col min="591" max="591" width="11.6640625" style="1" customWidth="1"/>
    <col min="592" max="592" width="8.5546875" style="1" customWidth="1"/>
    <col min="593" max="593" width="11.6640625" style="1" customWidth="1"/>
    <col min="594" max="594" width="8.5546875" style="1" customWidth="1"/>
    <col min="595" max="595" width="11.6640625" style="1" customWidth="1"/>
    <col min="596" max="596" width="8.5546875" style="1" customWidth="1"/>
    <col min="597" max="597" width="11.6640625" style="1" customWidth="1"/>
    <col min="598" max="598" width="8.6640625" style="1" customWidth="1"/>
    <col min="599" max="599" width="11.6640625" style="1" customWidth="1"/>
    <col min="600" max="600" width="8.6640625" style="1" customWidth="1"/>
    <col min="601" max="601" width="11.6640625" style="1" customWidth="1"/>
    <col min="602" max="602" width="8.6640625" style="1" customWidth="1"/>
    <col min="603" max="603" width="11.6640625" style="1" customWidth="1"/>
    <col min="604" max="604" width="8.6640625" style="1" customWidth="1"/>
    <col min="605" max="605" width="11.6640625" style="1" customWidth="1"/>
    <col min="606" max="606" width="8.6640625" style="1" customWidth="1"/>
    <col min="607" max="607" width="11.6640625" style="1" customWidth="1"/>
    <col min="608" max="608" width="8.6640625" style="1" customWidth="1"/>
    <col min="609" max="609" width="11.6640625" style="1" customWidth="1"/>
    <col min="610" max="610" width="14.44140625" style="1" customWidth="1"/>
    <col min="611" max="611" width="22" style="1" customWidth="1"/>
    <col min="612" max="612" width="14.44140625" style="1" customWidth="1"/>
    <col min="613" max="613" width="22" style="1" customWidth="1"/>
    <col min="614" max="614" width="14.44140625" style="1" customWidth="1"/>
    <col min="615" max="615" width="22" style="1" customWidth="1"/>
    <col min="616" max="616" width="3.6640625" style="1" customWidth="1"/>
    <col min="617" max="617" width="6.6640625" style="1" customWidth="1"/>
    <col min="618" max="618" width="7.6640625" style="1" customWidth="1"/>
    <col min="619" max="619" width="10.6640625" style="1" customWidth="1"/>
    <col min="620" max="620" width="7.88671875" style="1" customWidth="1"/>
    <col min="621" max="621" width="10.6640625" style="1" customWidth="1"/>
    <col min="622" max="622" width="7.6640625" style="1" customWidth="1"/>
    <col min="623" max="623" width="10.6640625" style="1" customWidth="1"/>
    <col min="624" max="624" width="8.6640625" style="1" customWidth="1"/>
    <col min="625" max="625" width="7.88671875" style="1" customWidth="1"/>
    <col min="626" max="626" width="11.6640625" style="1" customWidth="1"/>
    <col min="627" max="627" width="8.6640625" style="1" customWidth="1"/>
    <col min="628" max="628" width="11.6640625" style="1" customWidth="1"/>
    <col min="629" max="629" width="8.6640625" style="1" customWidth="1"/>
    <col min="630" max="630" width="11.6640625" style="1" customWidth="1"/>
    <col min="631" max="631" width="8.6640625" style="1" customWidth="1"/>
    <col min="632" max="632" width="11.6640625" style="1" customWidth="1"/>
    <col min="633" max="633" width="8.6640625" style="1" customWidth="1"/>
    <col min="634" max="634" width="11.6640625" style="1" customWidth="1"/>
    <col min="635" max="635" width="8.6640625" style="1" customWidth="1"/>
    <col min="636" max="637" width="11.6640625" style="1" customWidth="1"/>
    <col min="638" max="638" width="13.33203125" style="1" customWidth="1"/>
    <col min="639" max="639" width="8.5546875" style="1" customWidth="1"/>
    <col min="640" max="640" width="11.6640625" style="1" customWidth="1"/>
    <col min="641" max="641" width="10.33203125" style="1" customWidth="1"/>
    <col min="642" max="642" width="11.6640625" style="1" customWidth="1"/>
    <col min="643" max="643" width="8.5546875" style="1" customWidth="1"/>
    <col min="644" max="644" width="11.6640625" style="1" customWidth="1"/>
    <col min="645" max="645" width="8.5546875" style="1" customWidth="1"/>
    <col min="646" max="646" width="11.6640625" style="1" customWidth="1"/>
    <col min="647" max="647" width="11.33203125" style="1" customWidth="1"/>
    <col min="648" max="648" width="11.6640625" style="1" customWidth="1"/>
    <col min="649" max="649" width="8.5546875" style="1" customWidth="1"/>
    <col min="650" max="650" width="11.6640625" style="1" customWidth="1"/>
    <col min="651" max="651" width="8.5546875" style="1" customWidth="1"/>
    <col min="652" max="652" width="11.6640625" style="1" customWidth="1"/>
    <col min="653" max="653" width="8.5546875" style="1" customWidth="1"/>
    <col min="654" max="654" width="11.6640625" style="1" customWidth="1"/>
    <col min="655" max="655" width="8.5546875" style="1" customWidth="1"/>
    <col min="656" max="656" width="11.6640625" style="1" customWidth="1"/>
    <col min="657" max="657" width="8.5546875" style="1" customWidth="1"/>
    <col min="658" max="658" width="11.6640625" style="1" customWidth="1"/>
    <col min="659" max="659" width="8.5546875" style="1" customWidth="1"/>
    <col min="660" max="660" width="11.6640625" style="1" customWidth="1"/>
    <col min="661" max="661" width="8.5546875" style="1" customWidth="1"/>
    <col min="662" max="662" width="11.6640625" style="1" customWidth="1"/>
    <col min="663" max="663" width="8.5546875" style="1" customWidth="1"/>
    <col min="664" max="664" width="11.6640625" style="1" customWidth="1"/>
    <col min="665" max="665" width="8.5546875" style="1" customWidth="1"/>
    <col min="666" max="666" width="11.6640625" style="1" customWidth="1"/>
    <col min="667" max="667" width="8.5546875" style="1" customWidth="1"/>
    <col min="668" max="668" width="11.6640625" style="1" customWidth="1"/>
    <col min="669" max="669" width="8.6640625" style="1" customWidth="1"/>
    <col min="670" max="670" width="11.6640625" style="1" customWidth="1"/>
    <col min="671" max="671" width="8.6640625" style="1" customWidth="1"/>
    <col min="672" max="672" width="11.6640625" style="1" customWidth="1"/>
    <col min="673" max="673" width="8.6640625" style="1" customWidth="1"/>
    <col min="674" max="674" width="11.6640625" style="1" customWidth="1"/>
    <col min="675" max="675" width="8.6640625" style="1" customWidth="1"/>
    <col min="676" max="676" width="11.6640625" style="1" customWidth="1"/>
    <col min="677" max="677" width="8.6640625" style="1" customWidth="1"/>
    <col min="678" max="678" width="11.6640625" style="1" customWidth="1"/>
    <col min="679" max="679" width="8.6640625" style="1" customWidth="1"/>
    <col min="680" max="680" width="11.6640625" style="1" customWidth="1"/>
    <col min="681" max="681" width="14.44140625" style="1" customWidth="1"/>
    <col min="682" max="682" width="22" style="1" customWidth="1"/>
    <col min="683" max="683" width="14.44140625" style="1" customWidth="1"/>
    <col min="684" max="684" width="22" style="1" customWidth="1"/>
    <col min="685" max="685" width="14.44140625" style="1" customWidth="1"/>
    <col min="686" max="686" width="22" style="1" customWidth="1"/>
    <col min="687" max="687" width="3.6640625" style="1" customWidth="1"/>
    <col min="688" max="688" width="6.6640625" style="1" customWidth="1"/>
    <col min="689" max="689" width="7.6640625" style="1" customWidth="1"/>
    <col min="690" max="690" width="10.6640625" style="1" customWidth="1"/>
    <col min="691" max="691" width="7.6640625" style="1" customWidth="1"/>
    <col min="692" max="692" width="10.6640625" style="1" customWidth="1"/>
    <col min="693" max="693" width="7.6640625" style="1" customWidth="1"/>
    <col min="694" max="694" width="10.6640625" style="1" customWidth="1"/>
    <col min="695" max="695" width="8.6640625" style="1" customWidth="1"/>
    <col min="696" max="696" width="6.6640625" style="1" customWidth="1"/>
    <col min="697" max="697" width="11.6640625" style="1" customWidth="1"/>
    <col min="698" max="698" width="8.6640625" style="1" customWidth="1"/>
    <col min="699" max="699" width="11.6640625" style="1" customWidth="1"/>
    <col min="700" max="700" width="8.6640625" style="1" customWidth="1"/>
    <col min="701" max="701" width="11.6640625" style="1" customWidth="1"/>
    <col min="702" max="702" width="8.6640625" style="1" customWidth="1"/>
    <col min="703" max="703" width="11.6640625" style="1" customWidth="1"/>
    <col min="704" max="704" width="8.6640625" style="1" customWidth="1"/>
    <col min="705" max="705" width="11.6640625" style="1" customWidth="1"/>
    <col min="706" max="706" width="8.6640625" style="1" customWidth="1"/>
    <col min="707" max="708" width="11.6640625" style="1" customWidth="1"/>
    <col min="709" max="709" width="13.33203125" style="1" customWidth="1"/>
    <col min="710" max="710" width="8.5546875" style="1" customWidth="1"/>
    <col min="711" max="711" width="11.6640625" style="1" customWidth="1"/>
    <col min="712" max="712" width="16" style="1" customWidth="1"/>
    <col min="713" max="713" width="20.109375" style="1" customWidth="1"/>
    <col min="714" max="714" width="17.6640625" style="1" customWidth="1"/>
    <col min="715" max="715" width="20.109375" style="1" customWidth="1"/>
    <col min="716" max="716" width="17.6640625" style="1" customWidth="1"/>
    <col min="717" max="717" width="20.109375" style="1" customWidth="1"/>
    <col min="718" max="718" width="16.5546875" style="1" customWidth="1"/>
    <col min="719" max="719" width="20.109375" style="1" customWidth="1"/>
    <col min="720" max="720" width="16" style="1" customWidth="1"/>
    <col min="721" max="721" width="20.109375" style="1" customWidth="1"/>
    <col min="722" max="723" width="11.6640625" style="1" customWidth="1"/>
    <col min="724" max="724" width="8.6640625" style="1" customWidth="1"/>
    <col min="725" max="726" width="11.6640625" style="1" customWidth="1"/>
    <col min="727" max="727" width="8.6640625" style="1" customWidth="1"/>
    <col min="728" max="729" width="11.6640625" style="1" customWidth="1"/>
    <col min="730" max="730" width="14.44140625" style="1" customWidth="1"/>
    <col min="731" max="731" width="22" style="1" customWidth="1"/>
    <col min="732" max="732" width="14.44140625" style="1" customWidth="1"/>
    <col min="733" max="733" width="22" style="1" customWidth="1"/>
    <col min="734" max="734" width="14.44140625" style="1" customWidth="1"/>
    <col min="735" max="735" width="22" style="1" customWidth="1"/>
    <col min="736" max="736" width="3.6640625" style="1" customWidth="1"/>
    <col min="737" max="737" width="6.6640625" style="1" customWidth="1"/>
    <col min="738" max="738" width="7.6640625" style="1" customWidth="1"/>
    <col min="739" max="739" width="10.6640625" style="1" customWidth="1"/>
    <col min="740" max="740" width="7.6640625" style="1" customWidth="1"/>
    <col min="741" max="741" width="10.6640625" style="1" customWidth="1"/>
    <col min="742" max="742" width="7.6640625" style="1" customWidth="1"/>
    <col min="743" max="743" width="10.6640625" style="1" customWidth="1"/>
    <col min="744" max="744" width="8.6640625" style="1" customWidth="1"/>
    <col min="745" max="745" width="6.6640625" style="1" customWidth="1"/>
    <col min="746" max="746" width="11.6640625" style="1" customWidth="1"/>
    <col min="747" max="747" width="8.6640625" style="1" customWidth="1"/>
    <col min="748" max="748" width="11.6640625" style="1" customWidth="1"/>
    <col min="749" max="749" width="8.6640625" style="1" customWidth="1"/>
    <col min="750" max="750" width="11.6640625" style="1" customWidth="1"/>
    <col min="751" max="751" width="8.6640625" style="1" customWidth="1"/>
    <col min="752" max="752" width="11.6640625" style="1" customWidth="1"/>
    <col min="753" max="753" width="8.6640625" style="1" customWidth="1"/>
    <col min="754" max="754" width="11.6640625" style="1" customWidth="1"/>
    <col min="755" max="755" width="8.6640625" style="1" customWidth="1"/>
    <col min="756" max="757" width="11.6640625" style="1" customWidth="1"/>
    <col min="758" max="758" width="13.33203125" style="1" customWidth="1"/>
    <col min="759" max="759" width="8.5546875" style="1" customWidth="1"/>
    <col min="760" max="761" width="11.6640625" style="1" customWidth="1"/>
    <col min="762" max="762" width="10.33203125" style="1" customWidth="1"/>
    <col min="763" max="763" width="11.6640625" style="1" customWidth="1"/>
    <col min="764" max="764" width="13.44140625" style="1" customWidth="1"/>
    <col min="765" max="765" width="8.5546875" style="1" customWidth="1"/>
    <col min="766" max="766" width="11.6640625" style="1" customWidth="1"/>
    <col min="767" max="768" width="11.33203125" style="1" customWidth="1"/>
    <col min="769" max="769" width="11.6640625" style="1" customWidth="1"/>
    <col min="770" max="770" width="14" style="1" customWidth="1"/>
    <col min="771" max="771" width="8.5546875" style="1" customWidth="1"/>
    <col min="772" max="772" width="11.6640625" style="1" customWidth="1"/>
    <col min="773" max="773" width="11.33203125" style="1" customWidth="1"/>
    <col min="774" max="774" width="8.5546875" style="1" customWidth="1"/>
    <col min="775" max="775" width="11.6640625" style="1" customWidth="1"/>
    <col min="776" max="776" width="11.33203125" style="1" customWidth="1"/>
    <col min="777" max="777" width="8.5546875" style="1" customWidth="1"/>
    <col min="778" max="778" width="11.6640625" style="1" customWidth="1"/>
    <col min="779" max="779" width="11.33203125" style="1" customWidth="1"/>
    <col min="780" max="780" width="8.5546875" style="1" customWidth="1"/>
    <col min="781" max="781" width="11.6640625" style="1" customWidth="1"/>
    <col min="782" max="782" width="6.6640625" style="1" customWidth="1"/>
    <col min="783" max="783" width="8.5546875" style="1" customWidth="1"/>
    <col min="784" max="784" width="11.6640625" style="1" customWidth="1"/>
    <col min="785" max="785" width="9.6640625" style="1" customWidth="1"/>
    <col min="786" max="786" width="8.5546875" style="1" customWidth="1"/>
    <col min="787" max="787" width="11.6640625" style="1" customWidth="1"/>
    <col min="788" max="788" width="10.6640625" style="1" customWidth="1"/>
    <col min="789" max="789" width="8.5546875" style="1" customWidth="1"/>
    <col min="790" max="790" width="11.6640625" style="1" customWidth="1"/>
    <col min="791" max="791" width="10.6640625" style="1" customWidth="1"/>
    <col min="792" max="792" width="8.5546875" style="1" customWidth="1"/>
    <col min="793" max="793" width="11.6640625" style="1" customWidth="1"/>
    <col min="794" max="794" width="10.6640625" style="1" customWidth="1"/>
    <col min="795" max="795" width="8.5546875" style="1" customWidth="1"/>
    <col min="796" max="796" width="11.6640625" style="1" customWidth="1"/>
    <col min="797" max="797" width="10.6640625" style="1" customWidth="1"/>
    <col min="798" max="798" width="8.5546875" style="1" customWidth="1"/>
    <col min="799" max="799" width="11.6640625" style="1" customWidth="1"/>
    <col min="800" max="800" width="10.6640625" style="1" customWidth="1"/>
    <col min="801" max="801" width="8.5546875" style="1" customWidth="1"/>
    <col min="802" max="802" width="11.6640625" style="1" customWidth="1"/>
    <col min="803" max="803" width="10.6640625" style="1" customWidth="1"/>
    <col min="804" max="804" width="8.6640625" style="1" customWidth="1"/>
    <col min="805" max="806" width="11.6640625" style="1" customWidth="1"/>
    <col min="807" max="807" width="8.6640625" style="1" customWidth="1"/>
    <col min="808" max="809" width="11.6640625" style="1" customWidth="1"/>
    <col min="810" max="810" width="8.6640625" style="1" customWidth="1"/>
    <col min="811" max="812" width="11.6640625" style="1" customWidth="1"/>
    <col min="813" max="813" width="8.6640625" style="1" customWidth="1"/>
    <col min="814" max="815" width="11.6640625" style="1" customWidth="1"/>
    <col min="816" max="816" width="8.6640625" style="1" customWidth="1"/>
    <col min="817" max="818" width="11.6640625" style="1" customWidth="1"/>
    <col min="819" max="819" width="8.6640625" style="1" customWidth="1"/>
    <col min="820" max="821" width="11.6640625" style="1" customWidth="1"/>
    <col min="822" max="822" width="8.6640625" style="1" customWidth="1"/>
    <col min="823" max="824" width="11.6640625" style="1" customWidth="1"/>
    <col min="825" max="825" width="14.44140625" style="1" customWidth="1"/>
    <col min="826" max="826" width="22" style="1" customWidth="1"/>
    <col min="827" max="827" width="14.44140625" style="1" customWidth="1"/>
    <col min="828" max="828" width="22" style="1" customWidth="1"/>
    <col min="829" max="829" width="14.44140625" style="1" customWidth="1"/>
    <col min="830" max="830" width="22" style="1" customWidth="1"/>
    <col min="831" max="831" width="3.6640625" style="1" customWidth="1"/>
    <col min="832" max="832" width="6.6640625" style="1" customWidth="1"/>
    <col min="833" max="833" width="7.6640625" style="1" customWidth="1"/>
    <col min="834" max="834" width="10.6640625" style="1" customWidth="1"/>
    <col min="835" max="835" width="7.88671875" style="1" customWidth="1"/>
    <col min="836" max="836" width="10.6640625" style="1" customWidth="1"/>
    <col min="837" max="837" width="7.6640625" style="1" customWidth="1"/>
    <col min="838" max="838" width="10.6640625" style="1" customWidth="1"/>
    <col min="839" max="839" width="8.6640625" style="1" customWidth="1"/>
    <col min="840" max="840" width="7.88671875" style="1" customWidth="1"/>
    <col min="841" max="841" width="11.6640625" style="1" customWidth="1"/>
    <col min="842" max="842" width="8.6640625" style="1" customWidth="1"/>
    <col min="843" max="843" width="11.6640625" style="1" customWidth="1"/>
    <col min="844" max="844" width="8.6640625" style="1" customWidth="1"/>
    <col min="845" max="845" width="11.6640625" style="1" customWidth="1"/>
    <col min="846" max="846" width="8.6640625" style="1" customWidth="1"/>
    <col min="847" max="847" width="11.6640625" style="1" customWidth="1"/>
    <col min="848" max="848" width="8.6640625" style="1" customWidth="1"/>
    <col min="849" max="849" width="11.6640625" style="1" customWidth="1"/>
    <col min="850" max="850" width="8.6640625" style="1" customWidth="1"/>
    <col min="851" max="852" width="11.6640625" style="1" customWidth="1"/>
    <col min="853" max="853" width="13.33203125" style="1" customWidth="1"/>
    <col min="854" max="854" width="8.5546875" style="1" customWidth="1"/>
    <col min="855" max="856" width="11.6640625" style="1" customWidth="1"/>
    <col min="857" max="857" width="10.33203125" style="1" customWidth="1"/>
    <col min="858" max="858" width="11.6640625" style="1" customWidth="1"/>
    <col min="859" max="859" width="13.44140625" style="1" customWidth="1"/>
    <col min="860" max="860" width="8.5546875" style="1" customWidth="1"/>
    <col min="861" max="861" width="11.6640625" style="1" customWidth="1"/>
    <col min="862" max="863" width="11.33203125" style="1" customWidth="1"/>
    <col min="864" max="864" width="11.6640625" style="1" customWidth="1"/>
    <col min="865" max="865" width="14" style="1" customWidth="1"/>
    <col min="866" max="866" width="8.5546875" style="1" customWidth="1"/>
    <col min="867" max="867" width="11.6640625" style="1" customWidth="1"/>
    <col min="868" max="868" width="11.33203125" style="1" customWidth="1"/>
    <col min="869" max="869" width="8.5546875" style="1" customWidth="1"/>
    <col min="870" max="870" width="11.6640625" style="1" customWidth="1"/>
    <col min="871" max="871" width="11.33203125" style="1" customWidth="1"/>
    <col min="872" max="872" width="8.5546875" style="1" customWidth="1"/>
    <col min="873" max="873" width="11.6640625" style="1" customWidth="1"/>
    <col min="874" max="874" width="11.33203125" style="1" customWidth="1"/>
    <col min="875" max="875" width="8.5546875" style="1" customWidth="1"/>
    <col min="876" max="876" width="11.6640625" style="1" customWidth="1"/>
    <col min="877" max="877" width="6.6640625" style="1" customWidth="1"/>
    <col min="878" max="878" width="8.5546875" style="1" customWidth="1"/>
    <col min="879" max="879" width="11.6640625" style="1" customWidth="1"/>
    <col min="880" max="880" width="9.6640625" style="1" customWidth="1"/>
    <col min="881" max="881" width="8.5546875" style="1" customWidth="1"/>
    <col min="882" max="882" width="11.6640625" style="1" customWidth="1"/>
    <col min="883" max="883" width="10.6640625" style="1" customWidth="1"/>
    <col min="884" max="884" width="8.5546875" style="1" customWidth="1"/>
    <col min="885" max="885" width="11.6640625" style="1" customWidth="1"/>
    <col min="886" max="886" width="10.6640625" style="1" customWidth="1"/>
    <col min="887" max="887" width="8.5546875" style="1" customWidth="1"/>
    <col min="888" max="888" width="11.6640625" style="1" customWidth="1"/>
    <col min="889" max="889" width="10.6640625" style="1" customWidth="1"/>
    <col min="890" max="890" width="8.5546875" style="1" customWidth="1"/>
    <col min="891" max="891" width="11.6640625" style="1" customWidth="1"/>
    <col min="892" max="892" width="10.6640625" style="1" customWidth="1"/>
    <col min="893" max="893" width="8.5546875" style="1" customWidth="1"/>
    <col min="894" max="894" width="11.6640625" style="1" customWidth="1"/>
    <col min="895" max="895" width="10.6640625" style="1" customWidth="1"/>
    <col min="896" max="896" width="8.5546875" style="1" customWidth="1"/>
    <col min="897" max="897" width="11.6640625" style="1" customWidth="1"/>
    <col min="898" max="898" width="10.6640625" style="1" customWidth="1"/>
    <col min="899" max="899" width="8.6640625" style="1" customWidth="1"/>
    <col min="900" max="901" width="11.6640625" style="1" customWidth="1"/>
    <col min="902" max="902" width="8.6640625" style="1" customWidth="1"/>
    <col min="903" max="904" width="11.6640625" style="1" customWidth="1"/>
    <col min="905" max="905" width="8.6640625" style="1" customWidth="1"/>
    <col min="906" max="907" width="11.6640625" style="1" customWidth="1"/>
    <col min="908" max="908" width="8.6640625" style="1" customWidth="1"/>
    <col min="909" max="910" width="11.6640625" style="1" customWidth="1"/>
    <col min="911" max="911" width="8.6640625" style="1" customWidth="1"/>
    <col min="912" max="913" width="11.6640625" style="1" customWidth="1"/>
    <col min="914" max="914" width="8.6640625" style="1" customWidth="1"/>
    <col min="915" max="916" width="11.6640625" style="1" customWidth="1"/>
    <col min="917" max="917" width="8.6640625" style="1" customWidth="1"/>
    <col min="918" max="919" width="11.6640625" style="1" customWidth="1"/>
    <col min="920" max="920" width="14.44140625" style="1" customWidth="1"/>
    <col min="921" max="921" width="22" style="1" customWidth="1"/>
    <col min="922" max="922" width="14.44140625" style="1" customWidth="1"/>
    <col min="923" max="923" width="22" style="1" customWidth="1"/>
    <col min="924" max="924" width="14.44140625" style="1" customWidth="1"/>
    <col min="925" max="925" width="22" style="1" customWidth="1"/>
    <col min="926" max="926" width="3.6640625" style="1" customWidth="1"/>
    <col min="927" max="927" width="6.6640625" style="1" customWidth="1"/>
    <col min="928" max="928" width="7.6640625" style="1" customWidth="1"/>
    <col min="929" max="929" width="10.6640625" style="1" customWidth="1"/>
    <col min="930" max="930" width="7.6640625" style="1" customWidth="1"/>
    <col min="931" max="931" width="10.6640625" style="1" customWidth="1"/>
    <col min="932" max="932" width="7.6640625" style="1" customWidth="1"/>
    <col min="933" max="933" width="10.6640625" style="1" customWidth="1"/>
    <col min="934" max="934" width="8.6640625" style="1" customWidth="1"/>
    <col min="935" max="935" width="6.6640625" style="1" customWidth="1"/>
    <col min="936" max="936" width="11.6640625" style="1" customWidth="1"/>
    <col min="937" max="937" width="8.6640625" style="1" customWidth="1"/>
    <col min="938" max="938" width="11.6640625" style="1" customWidth="1"/>
    <col min="939" max="939" width="8.6640625" style="1" customWidth="1"/>
    <col min="940" max="940" width="11.6640625" style="1" customWidth="1"/>
    <col min="941" max="941" width="8.6640625" style="1" customWidth="1"/>
    <col min="942" max="942" width="11.6640625" style="1" customWidth="1"/>
    <col min="943" max="943" width="8.6640625" style="1" customWidth="1"/>
    <col min="944" max="944" width="11.6640625" style="1" customWidth="1"/>
    <col min="945" max="945" width="8.6640625" style="1" customWidth="1"/>
    <col min="946" max="947" width="11.6640625" style="1" customWidth="1"/>
    <col min="948" max="948" width="13.33203125" style="1" customWidth="1"/>
    <col min="949" max="949" width="8.5546875" style="1" customWidth="1"/>
    <col min="950" max="951" width="11.6640625" style="1" customWidth="1"/>
    <col min="952" max="952" width="16" style="1" customWidth="1"/>
    <col min="953" max="953" width="20.109375" style="1" customWidth="1"/>
    <col min="954" max="954" width="17.6640625" style="1" customWidth="1"/>
    <col min="955" max="955" width="20.109375" style="1" customWidth="1"/>
    <col min="956" max="956" width="17.6640625" style="1" customWidth="1"/>
    <col min="957" max="957" width="20.109375" style="1" customWidth="1"/>
    <col min="958" max="958" width="16.5546875" style="1" customWidth="1"/>
    <col min="959" max="959" width="20.109375" style="1" customWidth="1"/>
    <col min="960" max="960" width="16" style="1" customWidth="1"/>
    <col min="961" max="961" width="20.109375" style="1" customWidth="1"/>
    <col min="962" max="962" width="22" style="1" customWidth="1"/>
    <col min="963" max="963" width="14.44140625" style="1" customWidth="1"/>
    <col min="964" max="964" width="22" style="1" customWidth="1"/>
    <col min="965" max="965" width="3.6640625" style="1" customWidth="1"/>
    <col min="966" max="966" width="6.6640625" style="1" customWidth="1"/>
    <col min="967" max="967" width="7.6640625" style="1" customWidth="1"/>
    <col min="968" max="968" width="10.6640625" style="1" customWidth="1"/>
    <col min="969" max="969" width="7.88671875" style="1" customWidth="1"/>
    <col min="970" max="970" width="10.6640625" style="1" customWidth="1"/>
    <col min="971" max="971" width="7.6640625" style="1" customWidth="1"/>
    <col min="972" max="972" width="10.6640625" style="1" customWidth="1"/>
    <col min="973" max="973" width="8.6640625" style="1" customWidth="1"/>
    <col min="974" max="974" width="7.88671875" style="1" customWidth="1"/>
    <col min="975" max="975" width="11.6640625" style="1" customWidth="1"/>
    <col min="976" max="976" width="8.6640625" style="1" customWidth="1"/>
    <col min="977" max="977" width="11.6640625" style="1" customWidth="1"/>
    <col min="978" max="978" width="8.6640625" style="1" customWidth="1"/>
    <col min="979" max="979" width="11.6640625" style="1" customWidth="1"/>
    <col min="980" max="980" width="8.6640625" style="1" customWidth="1"/>
    <col min="981" max="981" width="11.6640625" style="1" customWidth="1"/>
    <col min="982" max="982" width="8.6640625" style="1" customWidth="1"/>
    <col min="983" max="983" width="11.6640625" style="1" customWidth="1"/>
    <col min="984" max="984" width="8.6640625" style="1" customWidth="1"/>
    <col min="985" max="986" width="11.6640625" style="1" customWidth="1"/>
    <col min="987" max="987" width="13.33203125" style="1" customWidth="1"/>
    <col min="988" max="988" width="8.5546875" style="1" customWidth="1"/>
    <col min="989" max="991" width="11.6640625" style="1" customWidth="1"/>
    <col min="992" max="992" width="9.44140625" style="1" customWidth="1"/>
    <col min="993" max="993" width="11.6640625" style="1" customWidth="1"/>
    <col min="994" max="995" width="11.33203125" style="1" customWidth="1"/>
    <col min="996" max="996" width="8.5546875" style="1" customWidth="1"/>
    <col min="997" max="997" width="11.6640625" style="1" customWidth="1"/>
    <col min="998" max="999" width="11.33203125" style="1" customWidth="1"/>
    <col min="1000" max="1000" width="8.5546875" style="1" customWidth="1"/>
    <col min="1001" max="1001" width="11.6640625" style="1" customWidth="1"/>
    <col min="1002" max="1003" width="6.6640625" style="1" customWidth="1"/>
    <col min="1004" max="1004" width="8.5546875" style="1" customWidth="1"/>
    <col min="1005" max="1005" width="11.6640625" style="1" customWidth="1"/>
    <col min="1006" max="1006" width="10.6640625" style="1" customWidth="1"/>
    <col min="1007" max="1007" width="9.6640625" style="1" customWidth="1"/>
    <col min="1008" max="1008" width="8.6640625" style="1" customWidth="1"/>
    <col min="1009" max="1010" width="11.6640625" style="1" customWidth="1"/>
    <col min="1011" max="1011" width="9.6640625" style="1" customWidth="1"/>
    <col min="1012" max="1012" width="8.5546875" style="1" customWidth="1"/>
    <col min="1013" max="1013" width="11.6640625" style="1" customWidth="1"/>
    <col min="1014" max="1014" width="10.6640625" style="1" customWidth="1"/>
    <col min="1015" max="1015" width="9.6640625" style="1" customWidth="1"/>
    <col min="1016" max="1016" width="8.5546875" style="1" customWidth="1"/>
    <col min="1017" max="1017" width="11.6640625" style="1" customWidth="1"/>
    <col min="1018" max="1019" width="10.6640625" style="1" customWidth="1"/>
    <col min="1020" max="1020" width="8.5546875" style="1" customWidth="1"/>
    <col min="1021" max="1021" width="11.6640625" style="1" customWidth="1"/>
    <col min="1022" max="1023" width="10.6640625" style="1" customWidth="1"/>
    <col min="1024" max="1024" width="8.6640625" style="1" customWidth="1"/>
    <col min="1025" max="1026" width="11.6640625" style="1" customWidth="1"/>
    <col min="1027" max="1027" width="10.6640625" style="1" customWidth="1"/>
    <col min="1028" max="1028" width="8.5546875" style="1" customWidth="1"/>
    <col min="1029" max="1029" width="11.6640625" style="1" customWidth="1"/>
    <col min="1030" max="1031" width="10.6640625" style="1" customWidth="1"/>
    <col min="1032" max="1032" width="8.6640625" style="1" customWidth="1"/>
    <col min="1033" max="1034" width="11.6640625" style="1" customWidth="1"/>
    <col min="1035" max="1035" width="10.6640625" style="1" customWidth="1"/>
    <col min="1036" max="1036" width="8.6640625" style="1" customWidth="1"/>
    <col min="1037" max="1039" width="11.6640625" style="1" customWidth="1"/>
    <col min="1040" max="1040" width="8.6640625" style="1" customWidth="1"/>
    <col min="1041" max="1043" width="11.6640625" style="1" customWidth="1"/>
    <col min="1044" max="1044" width="8.6640625" style="1" customWidth="1"/>
    <col min="1045" max="1047" width="11.6640625" style="1" customWidth="1"/>
    <col min="1048" max="1048" width="10.33203125" style="1" customWidth="1"/>
    <col min="1049" max="1049" width="11.6640625" style="1" customWidth="1"/>
    <col min="1050" max="1050" width="13.44140625" style="1" customWidth="1"/>
    <col min="1051" max="1051" width="11.33203125" style="1" customWidth="1"/>
    <col min="1052" max="1052" width="11.6640625" style="1" customWidth="1"/>
    <col min="1053" max="1053" width="14" style="1" customWidth="1"/>
    <col min="1054" max="1054" width="8.5546875" style="1" customWidth="1"/>
    <col min="1055" max="1055" width="11.6640625" style="1" customWidth="1"/>
    <col min="1056" max="1056" width="11.33203125" style="1" customWidth="1"/>
    <col min="1057" max="1057" width="8.5546875" style="1" customWidth="1"/>
    <col min="1058" max="1058" width="11.6640625" style="1" customWidth="1"/>
    <col min="1059" max="1059" width="11.33203125" style="1" customWidth="1"/>
    <col min="1060" max="1060" width="8.5546875" style="1" customWidth="1"/>
    <col min="1061" max="1061" width="11.6640625" style="1" customWidth="1"/>
    <col min="1062" max="1062" width="9.6640625" style="1" customWidth="1"/>
    <col min="1063" max="1063" width="8.5546875" style="1" customWidth="1"/>
    <col min="1064" max="1064" width="11.6640625" style="1" customWidth="1"/>
    <col min="1065" max="1065" width="10.6640625" style="1" customWidth="1"/>
    <col min="1066" max="1066" width="8.6640625" style="1" customWidth="1"/>
    <col min="1067" max="1068" width="11.6640625" style="1" customWidth="1"/>
    <col min="1069" max="1069" width="14.44140625" style="1" customWidth="1"/>
    <col min="1070" max="1070" width="22" style="1" customWidth="1"/>
    <col min="1071" max="1071" width="14.44140625" style="1" customWidth="1"/>
    <col min="1072" max="1072" width="22" style="1" customWidth="1"/>
    <col min="1073" max="1073" width="14.44140625" style="1" customWidth="1"/>
    <col min="1074" max="1074" width="22" style="1" customWidth="1"/>
    <col min="1075" max="1075" width="3.6640625" style="1" customWidth="1"/>
    <col min="1076" max="1076" width="6.6640625" style="1" customWidth="1"/>
    <col min="1077" max="1077" width="7.6640625" style="1" customWidth="1"/>
    <col min="1078" max="1078" width="10.6640625" style="1" customWidth="1"/>
    <col min="1079" max="1079" width="7.6640625" style="1" customWidth="1"/>
    <col min="1080" max="1080" width="10.6640625" style="1" customWidth="1"/>
    <col min="1081" max="1081" width="7.6640625" style="1" customWidth="1"/>
    <col min="1082" max="1082" width="10.6640625" style="1" customWidth="1"/>
    <col min="1083" max="1083" width="8.6640625" style="1" customWidth="1"/>
    <col min="1084" max="1084" width="6.6640625" style="1" customWidth="1"/>
    <col min="1085" max="1085" width="11.6640625" style="1" customWidth="1"/>
    <col min="1086" max="1086" width="8.6640625" style="1" customWidth="1"/>
    <col min="1087" max="1087" width="11.6640625" style="1" customWidth="1"/>
    <col min="1088" max="1088" width="8.6640625" style="1" customWidth="1"/>
    <col min="1089" max="1089" width="11.6640625" style="1" customWidth="1"/>
    <col min="1090" max="1090" width="8.6640625" style="1" customWidth="1"/>
    <col min="1091" max="1091" width="11.6640625" style="1" customWidth="1"/>
    <col min="1092" max="1092" width="8.6640625" style="1" customWidth="1"/>
    <col min="1093" max="1093" width="11.6640625" style="1" customWidth="1"/>
    <col min="1094" max="1094" width="8.6640625" style="1" customWidth="1"/>
    <col min="1095" max="1096" width="11.6640625" style="1" customWidth="1"/>
    <col min="1097" max="1097" width="13.33203125" style="1" customWidth="1"/>
    <col min="1098" max="1098" width="8.5546875" style="1" customWidth="1"/>
    <col min="1099" max="1101" width="11.6640625" style="1" customWidth="1"/>
    <col min="1102" max="1102" width="16" style="1" customWidth="1"/>
    <col min="1103" max="1103" width="20.109375" style="1" customWidth="1"/>
    <col min="1104" max="1104" width="17.6640625" style="1" customWidth="1"/>
    <col min="1105" max="1105" width="20.109375" style="1" customWidth="1"/>
    <col min="1106" max="1106" width="17.6640625" style="1" customWidth="1"/>
    <col min="1107" max="1107" width="20.109375" style="1" customWidth="1"/>
    <col min="1108" max="1108" width="16.5546875" style="1" customWidth="1"/>
    <col min="1109" max="1109" width="20.109375" style="1" customWidth="1"/>
    <col min="1110" max="1110" width="16" style="1" customWidth="1"/>
    <col min="1111" max="1111" width="20.109375" style="1" customWidth="1"/>
    <col min="1112" max="1113" width="11.6640625" style="1" customWidth="1"/>
    <col min="1114" max="1114" width="11" style="1" customWidth="1"/>
    <col min="1115" max="1115" width="11.6640625" style="1" customWidth="1"/>
    <col min="1116" max="1116" width="13.44140625" style="1" customWidth="1"/>
    <col min="1117" max="1117" width="11.6640625" style="1" customWidth="1"/>
    <col min="1118" max="1118" width="12.33203125" style="1" customWidth="1"/>
    <col min="1119" max="1119" width="8.5546875" style="1" customWidth="1"/>
    <col min="1120" max="1120" width="11.6640625" style="1" customWidth="1"/>
    <col min="1121" max="1124" width="11.33203125" style="1" customWidth="1"/>
    <col min="1125" max="1125" width="11.6640625" style="1" customWidth="1"/>
    <col min="1126" max="1126" width="14" style="1" customWidth="1"/>
    <col min="1127" max="1127" width="11.6640625" style="1" customWidth="1"/>
    <col min="1128" max="1128" width="14" style="1" customWidth="1"/>
    <col min="1129" max="1129" width="10.33203125" style="1" customWidth="1"/>
    <col min="1130" max="1130" width="11.6640625" style="1" customWidth="1"/>
    <col min="1131" max="1131" width="11.33203125" style="1" customWidth="1"/>
    <col min="1132" max="1132" width="11.6640625" style="1" customWidth="1"/>
    <col min="1133" max="1133" width="13" style="1" customWidth="1"/>
    <col min="1134" max="1134" width="8.5546875" style="1" customWidth="1"/>
    <col min="1135" max="1135" width="11.6640625" style="1" customWidth="1"/>
    <col min="1136" max="1136" width="11.33203125" style="1" customWidth="1"/>
    <col min="1137" max="1137" width="11.6640625" style="1" customWidth="1"/>
    <col min="1138" max="1138" width="11.33203125" style="1" customWidth="1"/>
    <col min="1139" max="1139" width="8.5546875" style="1" customWidth="1"/>
    <col min="1140" max="1140" width="11.6640625" style="1" customWidth="1"/>
    <col min="1141" max="1143" width="11.33203125" style="1" customWidth="1"/>
    <col min="1144" max="1144" width="8.5546875" style="1" customWidth="1"/>
    <col min="1145" max="1145" width="11.6640625" style="1" customWidth="1"/>
    <col min="1146" max="1148" width="6.6640625" style="1" customWidth="1"/>
    <col min="1149" max="1149" width="8.5546875" style="1" customWidth="1"/>
    <col min="1150" max="1150" width="11.6640625" style="1" customWidth="1"/>
    <col min="1151" max="1151" width="9.6640625" style="1" customWidth="1"/>
    <col min="1152" max="1152" width="11.6640625" style="1" customWidth="1"/>
    <col min="1153" max="1153" width="8.6640625" style="1" customWidth="1"/>
    <col min="1154" max="1154" width="8.5546875" style="1" customWidth="1"/>
    <col min="1155" max="1155" width="11.6640625" style="1" customWidth="1"/>
    <col min="1156" max="1156" width="10.6640625" style="1" customWidth="1"/>
    <col min="1157" max="1157" width="11.6640625" style="1" customWidth="1"/>
    <col min="1158" max="1158" width="8.6640625" style="1" customWidth="1"/>
    <col min="1159" max="1159" width="8.5546875" style="1" customWidth="1"/>
    <col min="1160" max="1160" width="11.6640625" style="1" customWidth="1"/>
    <col min="1161" max="1163" width="10.6640625" style="1" customWidth="1"/>
    <col min="1164" max="1164" width="8.5546875" style="1" customWidth="1"/>
    <col min="1165" max="1165" width="11.6640625" style="1" customWidth="1"/>
    <col min="1166" max="1166" width="10.6640625" style="1" customWidth="1"/>
    <col min="1167" max="1167" width="9.6640625" style="1" customWidth="1"/>
    <col min="1168" max="1168" width="10.6640625" style="1" customWidth="1"/>
    <col min="1169" max="1169" width="8.5546875" style="1" customWidth="1"/>
    <col min="1170" max="1170" width="11.6640625" style="1" customWidth="1"/>
    <col min="1171" max="1173" width="10.6640625" style="1" customWidth="1"/>
    <col min="1174" max="1174" width="8.5546875" style="1" customWidth="1"/>
    <col min="1175" max="1175" width="11.6640625" style="1" customWidth="1"/>
    <col min="1176" max="1178" width="10.6640625" style="1" customWidth="1"/>
    <col min="1179" max="1179" width="8.6640625" style="1" customWidth="1"/>
    <col min="1180" max="1181" width="11.6640625" style="1" customWidth="1"/>
    <col min="1182" max="1182" width="9.6640625" style="1" customWidth="1"/>
    <col min="1183" max="1183" width="10.6640625" style="1" customWidth="1"/>
    <col min="1184" max="1184" width="8.5546875" style="1" customWidth="1"/>
    <col min="1185" max="1185" width="11.6640625" style="1" customWidth="1"/>
    <col min="1186" max="1186" width="10.6640625" style="1" customWidth="1"/>
    <col min="1187" max="1187" width="9.6640625" style="1" customWidth="1"/>
    <col min="1188" max="1188" width="10.6640625" style="1" customWidth="1"/>
    <col min="1189" max="1189" width="8.6640625" style="1" customWidth="1"/>
    <col min="1190" max="1193" width="11.6640625" style="1" customWidth="1"/>
    <col min="1194" max="1194" width="8.6640625" style="1" customWidth="1"/>
    <col min="1195" max="1195" width="11.6640625" style="1" bestFit="1" customWidth="1"/>
    <col min="1196" max="1196" width="11.6640625" style="1" customWidth="1"/>
    <col min="1197" max="1197" width="10.6640625" style="1" customWidth="1"/>
    <col min="1198" max="1198" width="11.6640625" style="1" bestFit="1" customWidth="1"/>
    <col min="1199" max="1199" width="8.6640625" style="1" customWidth="1"/>
    <col min="1200" max="1201" width="11.6640625" style="1" customWidth="1"/>
    <col min="1202" max="1202" width="10.6640625" style="1" customWidth="1"/>
    <col min="1203" max="1203" width="11.6640625" style="1" customWidth="1"/>
    <col min="1204" max="1204" width="8.6640625" style="1" customWidth="1"/>
    <col min="1205" max="1205" width="11.6640625" style="1" bestFit="1" customWidth="1"/>
    <col min="1206" max="1208" width="11.6640625" style="1" customWidth="1"/>
    <col min="1209" max="1209" width="8.6640625" style="1" customWidth="1"/>
    <col min="1210" max="1213" width="11.6640625" style="1" customWidth="1"/>
    <col min="1214" max="1214" width="8.6640625" style="1" customWidth="1"/>
    <col min="1215" max="1218" width="11.6640625" style="1" customWidth="1"/>
    <col min="1219" max="1219" width="14.44140625" style="1" customWidth="1"/>
    <col min="1220" max="1220" width="22" style="1" customWidth="1"/>
    <col min="1221" max="1221" width="14.44140625" style="1" customWidth="1"/>
    <col min="1222" max="1222" width="22" style="1" customWidth="1"/>
    <col min="1223" max="1223" width="14.44140625" style="1" customWidth="1"/>
    <col min="1224" max="1224" width="22" style="1" customWidth="1"/>
    <col min="1225" max="1225" width="3.6640625" style="1" customWidth="1"/>
    <col min="1226" max="1226" width="6.6640625" style="1" customWidth="1"/>
    <col min="1227" max="1227" width="7.6640625" style="1" customWidth="1"/>
    <col min="1228" max="1228" width="10.6640625" style="1" customWidth="1"/>
    <col min="1229" max="1229" width="7.88671875" style="1" customWidth="1"/>
    <col min="1230" max="1230" width="10.6640625" style="1" customWidth="1"/>
    <col min="1231" max="1231" width="7.6640625" style="1" customWidth="1"/>
    <col min="1232" max="1232" width="10.6640625" style="1" customWidth="1"/>
    <col min="1233" max="1233" width="8.6640625" style="1" customWidth="1"/>
    <col min="1234" max="1234" width="7.88671875" style="1" customWidth="1"/>
    <col min="1235" max="1235" width="11.6640625" style="1" customWidth="1"/>
    <col min="1236" max="1236" width="8.6640625" style="1" customWidth="1"/>
    <col min="1237" max="1237" width="11.6640625" style="1" customWidth="1"/>
    <col min="1238" max="1238" width="8.6640625" style="1" customWidth="1"/>
    <col min="1239" max="1239" width="11.6640625" style="1" customWidth="1"/>
    <col min="1240" max="1240" width="8.6640625" style="1" customWidth="1"/>
    <col min="1241" max="1241" width="11.6640625" style="1" customWidth="1"/>
    <col min="1242" max="1242" width="8.6640625" style="1" customWidth="1"/>
    <col min="1243" max="1243" width="11.6640625" style="1" customWidth="1"/>
    <col min="1244" max="1244" width="8.6640625" style="1" customWidth="1"/>
    <col min="1245" max="1246" width="11.6640625" style="1" customWidth="1"/>
    <col min="1247" max="1247" width="13.33203125" style="1" customWidth="1"/>
    <col min="1248" max="1248" width="8.5546875" style="1" customWidth="1"/>
    <col min="1249" max="1252" width="11.6640625" style="1" customWidth="1"/>
    <col min="1253" max="1253" width="10.33203125" style="1" customWidth="1"/>
    <col min="1254" max="1254" width="11.6640625" style="1" customWidth="1"/>
    <col min="1255" max="1255" width="13.44140625" style="1" customWidth="1"/>
    <col min="1256" max="1256" width="11.6640625" style="1" customWidth="1"/>
    <col min="1257" max="1257" width="12.33203125" style="1" customWidth="1"/>
    <col min="1258" max="1258" width="8.5546875" style="1" customWidth="1"/>
    <col min="1259" max="1259" width="11.6640625" style="1" bestFit="1" customWidth="1"/>
    <col min="1260" max="1263" width="11.33203125" style="1" customWidth="1"/>
    <col min="1264" max="1264" width="11.6640625" style="1" customWidth="1"/>
    <col min="1265" max="1265" width="14" style="1" customWidth="1"/>
    <col min="1266" max="1266" width="11.6640625" style="1" customWidth="1"/>
    <col min="1267" max="1267" width="14" style="1" customWidth="1"/>
    <col min="1268" max="1268" width="10.33203125" style="1" customWidth="1"/>
    <col min="1269" max="1269" width="11.6640625" style="1" customWidth="1"/>
    <col min="1270" max="1270" width="11.33203125" style="1" customWidth="1"/>
    <col min="1271" max="1271" width="11.6640625" style="1" customWidth="1"/>
    <col min="1272" max="1272" width="13" style="1" customWidth="1"/>
    <col min="1273" max="1273" width="8.5546875" style="1" customWidth="1"/>
    <col min="1274" max="1274" width="11.6640625" style="1" customWidth="1"/>
    <col min="1275" max="1275" width="11.33203125" style="1" customWidth="1"/>
    <col min="1276" max="1276" width="11.6640625" style="1" customWidth="1"/>
    <col min="1277" max="1277" width="11.33203125" style="1" customWidth="1"/>
    <col min="1278" max="1278" width="8.5546875" style="1" customWidth="1"/>
    <col min="1279" max="1279" width="11.6640625" style="1" customWidth="1"/>
    <col min="1280" max="1282" width="11.33203125" style="1" customWidth="1"/>
    <col min="1283" max="1283" width="8.5546875" style="1" customWidth="1"/>
    <col min="1284" max="1284" width="11.6640625" style="1" customWidth="1"/>
    <col min="1285" max="1287" width="6.6640625" style="1" customWidth="1"/>
    <col min="1288" max="1288" width="8.5546875" style="1" customWidth="1"/>
    <col min="1289" max="1289" width="11.6640625" style="1" customWidth="1"/>
    <col min="1290" max="1290" width="9.6640625" style="1" customWidth="1"/>
    <col min="1291" max="1291" width="11.6640625" style="1" customWidth="1"/>
    <col min="1292" max="1292" width="8.6640625" style="1" customWidth="1"/>
    <col min="1293" max="1293" width="8.5546875" style="1" customWidth="1"/>
    <col min="1294" max="1294" width="11.6640625" style="1" customWidth="1"/>
    <col min="1295" max="1295" width="10.6640625" style="1" customWidth="1"/>
    <col min="1296" max="1296" width="11.6640625" style="1" customWidth="1"/>
    <col min="1297" max="1297" width="8.6640625" style="1" customWidth="1"/>
    <col min="1298" max="1298" width="8.5546875" style="1" customWidth="1"/>
    <col min="1299" max="1299" width="11.6640625" style="1" customWidth="1"/>
    <col min="1300" max="1302" width="10.6640625" style="1" customWidth="1"/>
    <col min="1303" max="1303" width="8.5546875" style="1" customWidth="1"/>
    <col min="1304" max="1304" width="11.6640625" style="1" customWidth="1"/>
    <col min="1305" max="1305" width="10.6640625" style="1" customWidth="1"/>
    <col min="1306" max="1306" width="9.6640625" style="1" customWidth="1"/>
    <col min="1307" max="1307" width="10.6640625" style="1" customWidth="1"/>
    <col min="1308" max="1308" width="8.5546875" style="1" customWidth="1"/>
    <col min="1309" max="1309" width="11.6640625" style="1" customWidth="1"/>
    <col min="1310" max="1312" width="10.6640625" style="1" customWidth="1"/>
    <col min="1313" max="1313" width="8.5546875" style="1" customWidth="1"/>
    <col min="1314" max="1314" width="11.6640625" style="1" customWidth="1"/>
    <col min="1315" max="1317" width="10.6640625" style="1" customWidth="1"/>
    <col min="1318" max="1318" width="8.6640625" style="1" customWidth="1"/>
    <col min="1319" max="1320" width="11.6640625" style="1" customWidth="1"/>
    <col min="1321" max="1321" width="9.6640625" style="1" customWidth="1"/>
    <col min="1322" max="1322" width="10.6640625" style="1" customWidth="1"/>
    <col min="1323" max="1323" width="8.5546875" style="1" customWidth="1"/>
    <col min="1324" max="1324" width="11.6640625" style="1" customWidth="1"/>
    <col min="1325" max="1325" width="10.6640625" style="1" customWidth="1"/>
    <col min="1326" max="1326" width="9.6640625" style="1" customWidth="1"/>
    <col min="1327" max="1327" width="10.6640625" style="1" customWidth="1"/>
    <col min="1328" max="1328" width="8.6640625" style="1" customWidth="1"/>
    <col min="1329" max="1332" width="11.6640625" style="1" customWidth="1"/>
    <col min="1333" max="1333" width="8.6640625" style="1" customWidth="1"/>
    <col min="1334" max="1335" width="11.6640625" style="1" customWidth="1"/>
    <col min="1336" max="1336" width="10.6640625" style="1" customWidth="1"/>
    <col min="1337" max="1337" width="11.6640625" style="1" customWidth="1"/>
    <col min="1338" max="1338" width="8.6640625" style="1" customWidth="1"/>
    <col min="1339" max="1340" width="11.6640625" style="1" customWidth="1"/>
    <col min="1341" max="1341" width="10.6640625" style="1" customWidth="1"/>
    <col min="1342" max="1342" width="11.6640625" style="1" customWidth="1"/>
    <col min="1343" max="1343" width="8.6640625" style="1" customWidth="1"/>
    <col min="1344" max="1344" width="11.6640625" style="1" bestFit="1" customWidth="1"/>
    <col min="1345" max="1347" width="11.6640625" style="1" customWidth="1"/>
    <col min="1348" max="1348" width="8.6640625" style="1" customWidth="1"/>
    <col min="1349" max="1352" width="11.6640625" style="1" customWidth="1"/>
    <col min="1353" max="1353" width="8.6640625" style="1" customWidth="1"/>
    <col min="1354" max="1357" width="11.6640625" style="1" customWidth="1"/>
    <col min="1358" max="1358" width="14.44140625" style="1" customWidth="1"/>
    <col min="1359" max="1359" width="22" style="1" bestFit="1" customWidth="1"/>
    <col min="1360" max="1360" width="14.44140625" style="1" customWidth="1"/>
    <col min="1361" max="1361" width="22" style="1" customWidth="1"/>
    <col min="1362" max="1362" width="14.44140625" style="1" customWidth="1"/>
    <col min="1363" max="1363" width="22" style="1" customWidth="1"/>
    <col min="1364" max="1364" width="3.6640625" style="1" customWidth="1"/>
    <col min="1365" max="1365" width="6.6640625" style="1" customWidth="1"/>
    <col min="1366" max="1366" width="7.6640625" style="1" customWidth="1"/>
    <col min="1367" max="1367" width="10.6640625" style="1" customWidth="1"/>
    <col min="1368" max="1368" width="7.6640625" style="1" customWidth="1"/>
    <col min="1369" max="1369" width="10.6640625" style="1" customWidth="1"/>
    <col min="1370" max="1370" width="7.6640625" style="1" customWidth="1"/>
    <col min="1371" max="1371" width="10.6640625" style="1" customWidth="1"/>
    <col min="1372" max="1372" width="8.6640625" style="1" customWidth="1"/>
    <col min="1373" max="1373" width="6.6640625" style="1" customWidth="1"/>
    <col min="1374" max="1374" width="11.6640625" style="1" customWidth="1"/>
    <col min="1375" max="1375" width="8.6640625" style="1" customWidth="1"/>
    <col min="1376" max="1376" width="11.6640625" style="1" bestFit="1" customWidth="1"/>
    <col min="1377" max="1377" width="8.6640625" style="1" customWidth="1"/>
    <col min="1378" max="1378" width="11.6640625" style="1" customWidth="1"/>
    <col min="1379" max="1379" width="8.6640625" style="1" customWidth="1"/>
    <col min="1380" max="1380" width="11.6640625" style="1" customWidth="1"/>
    <col min="1381" max="1381" width="8.6640625" style="1" customWidth="1"/>
    <col min="1382" max="1382" width="11.6640625" style="1" bestFit="1" customWidth="1"/>
    <col min="1383" max="1383" width="8.6640625" style="1" customWidth="1"/>
    <col min="1384" max="1385" width="11.6640625" style="1" customWidth="1"/>
    <col min="1386" max="1386" width="13.33203125" style="1" customWidth="1"/>
    <col min="1387" max="1387" width="8.5546875" style="1" customWidth="1"/>
    <col min="1388" max="1391" width="11.6640625" style="1" customWidth="1"/>
    <col min="1392" max="1392" width="16" style="1" customWidth="1"/>
    <col min="1393" max="1393" width="20.109375" style="1" customWidth="1"/>
    <col min="1394" max="1394" width="17.6640625" style="1" customWidth="1"/>
    <col min="1395" max="1395" width="20.109375" style="1" customWidth="1"/>
    <col min="1396" max="1396" width="17.6640625" style="1" customWidth="1"/>
    <col min="1397" max="1397" width="20.109375" style="1" customWidth="1"/>
    <col min="1398" max="1398" width="16.5546875" style="1" customWidth="1"/>
    <col min="1399" max="1399" width="20.109375" style="1" customWidth="1"/>
    <col min="1400" max="1400" width="16" style="1" customWidth="1"/>
    <col min="1401" max="1401" width="20.109375" style="1" customWidth="1"/>
    <col min="1402" max="1402" width="11.6640625" style="1" customWidth="1"/>
    <col min="1403" max="1403" width="8.5546875" style="1" customWidth="1"/>
    <col min="1404" max="1405" width="11.6640625" style="1" bestFit="1" customWidth="1"/>
    <col min="1406" max="1408" width="11.6640625" style="1" customWidth="1"/>
    <col min="1409" max="1409" width="14.44140625" style="1" customWidth="1"/>
    <col min="1410" max="1410" width="22" style="1" bestFit="1" customWidth="1"/>
    <col min="1411" max="1413" width="11.6640625" style="1" customWidth="1"/>
    <col min="1414" max="1414" width="21" style="1" customWidth="1"/>
    <col min="1415" max="1415" width="14.44140625" style="1" customWidth="1"/>
    <col min="1416" max="1416" width="22" style="1" customWidth="1"/>
    <col min="1417" max="1419" width="11.6640625" style="1" customWidth="1"/>
    <col min="1420" max="1420" width="22" style="1" customWidth="1"/>
    <col min="1421" max="1421" width="14.44140625" style="1" customWidth="1"/>
    <col min="1422" max="1422" width="22" style="1" bestFit="1" customWidth="1"/>
    <col min="1423" max="1425" width="11.6640625" style="1" customWidth="1"/>
    <col min="1426" max="1426" width="22" style="1" customWidth="1"/>
    <col min="1427" max="1427" width="8.5546875" style="1" customWidth="1"/>
    <col min="1428" max="1428" width="6.6640625" style="1" customWidth="1"/>
    <col min="1429" max="1431" width="11.6640625" style="1" customWidth="1"/>
    <col min="1432" max="1432" width="6.6640625" style="1" customWidth="1"/>
    <col min="1433" max="1433" width="8.5546875" style="1" customWidth="1"/>
    <col min="1434" max="1434" width="10.6640625" style="1" customWidth="1"/>
    <col min="1435" max="1437" width="11.6640625" style="1" customWidth="1"/>
    <col min="1438" max="1438" width="10.6640625" style="1" customWidth="1"/>
    <col min="1439" max="1439" width="8.5546875" style="1" customWidth="1"/>
    <col min="1440" max="1440" width="10.6640625" style="1" customWidth="1"/>
    <col min="1441" max="1443" width="11.6640625" style="1" customWidth="1"/>
    <col min="1444" max="1444" width="10.6640625" style="1" customWidth="1"/>
    <col min="1445" max="1445" width="8.6640625" style="1" customWidth="1"/>
    <col min="1446" max="1450" width="11.6640625" style="1" customWidth="1"/>
    <col min="1451" max="1451" width="8.6640625" style="1" customWidth="1"/>
    <col min="1452" max="1452" width="11.6640625" style="1" bestFit="1" customWidth="1"/>
    <col min="1453" max="1456" width="11.6640625" style="1" customWidth="1"/>
    <col min="1457" max="1457" width="8.6640625" style="1" customWidth="1"/>
    <col min="1458" max="1458" width="10.6640625" style="1" customWidth="1"/>
    <col min="1459" max="1462" width="11.6640625" style="1" customWidth="1"/>
    <col min="1463" max="1463" width="8.6640625" style="1" customWidth="1"/>
    <col min="1464" max="1468" width="11.6640625" style="1" customWidth="1"/>
    <col min="1469" max="1469" width="8.6640625" style="1" customWidth="1"/>
    <col min="1470" max="1474" width="11.6640625" style="1" customWidth="1"/>
    <col min="1475" max="1475" width="8.6640625" style="1" customWidth="1"/>
    <col min="1476" max="1480" width="11.6640625" style="1" customWidth="1"/>
    <col min="1481" max="1481" width="8.6640625" style="1" customWidth="1"/>
    <col min="1482" max="1484" width="11.6640625" style="1" customWidth="1"/>
    <col min="1485" max="1485" width="11.6640625" style="1" bestFit="1" customWidth="1"/>
    <col min="1486" max="1486" width="11.6640625" style="1" customWidth="1"/>
    <col min="1487" max="1487" width="8.6640625" style="1" customWidth="1"/>
    <col min="1488" max="1488" width="11.6640625" style="1" bestFit="1" customWidth="1"/>
    <col min="1489" max="1492" width="11.6640625" style="1" customWidth="1"/>
    <col min="1493" max="1493" width="12.6640625" style="1" customWidth="1"/>
    <col min="1494" max="1494" width="13.33203125" style="1" customWidth="1"/>
    <col min="1495" max="1497" width="11.6640625" style="1" customWidth="1"/>
    <col min="1498" max="1498" width="15.33203125" style="1" customWidth="1"/>
    <col min="1499" max="1499" width="10.33203125" style="1" customWidth="1"/>
    <col min="1500" max="1500" width="11.6640625" style="1" customWidth="1"/>
    <col min="1501" max="1501" width="13.44140625" style="1" customWidth="1"/>
    <col min="1502" max="1502" width="11.6640625" style="1" customWidth="1"/>
    <col min="1503" max="1503" width="12.33203125" style="1" bestFit="1" customWidth="1"/>
    <col min="1504" max="1504" width="8.5546875" style="1" customWidth="1"/>
    <col min="1505" max="1505" width="11.6640625" style="1" customWidth="1"/>
    <col min="1506" max="1509" width="11.33203125" style="1" customWidth="1"/>
    <col min="1510" max="1510" width="11.6640625" style="1" bestFit="1" customWidth="1"/>
    <col min="1511" max="1511" width="14" style="1" customWidth="1"/>
    <col min="1512" max="1512" width="11.6640625" style="1" customWidth="1"/>
    <col min="1513" max="1513" width="14" style="1" customWidth="1"/>
    <col min="1514" max="1514" width="10.33203125" style="1" customWidth="1"/>
    <col min="1515" max="1515" width="11.6640625" style="1" customWidth="1"/>
    <col min="1516" max="1516" width="11.33203125" style="1" customWidth="1"/>
    <col min="1517" max="1517" width="11.6640625" style="1" customWidth="1"/>
    <col min="1518" max="1518" width="13" style="1" customWidth="1"/>
    <col min="1519" max="1519" width="8.5546875" style="1" customWidth="1"/>
    <col min="1520" max="1520" width="11.6640625" style="1" customWidth="1"/>
    <col min="1521" max="1521" width="11.33203125" style="1" customWidth="1"/>
    <col min="1522" max="1522" width="11.6640625" style="1" customWidth="1"/>
    <col min="1523" max="1523" width="11.33203125" style="1" customWidth="1"/>
    <col min="1524" max="1524" width="8.5546875" style="1" customWidth="1"/>
    <col min="1525" max="1525" width="11.6640625" style="1" customWidth="1"/>
    <col min="1526" max="1528" width="11.33203125" style="1" customWidth="1"/>
    <col min="1529" max="1529" width="8.5546875" style="1" customWidth="1"/>
    <col min="1530" max="1530" width="11.6640625" style="1" customWidth="1"/>
    <col min="1531" max="1533" width="6.6640625" style="1" customWidth="1"/>
    <col min="1534" max="1534" width="8.5546875" style="1" customWidth="1"/>
    <col min="1535" max="1535" width="11.6640625" style="1" customWidth="1"/>
    <col min="1536" max="1536" width="9.6640625" style="1" customWidth="1"/>
    <col min="1537" max="1537" width="11.6640625" style="1" customWidth="1"/>
    <col min="1538" max="1538" width="8.6640625" style="1" customWidth="1"/>
    <col min="1539" max="1539" width="8.5546875" style="1" customWidth="1"/>
    <col min="1540" max="1540" width="11.6640625" style="1" customWidth="1"/>
    <col min="1541" max="1541" width="10.6640625" style="1" customWidth="1"/>
    <col min="1542" max="1542" width="11.6640625" style="1" customWidth="1"/>
    <col min="1543" max="1543" width="8.6640625" style="1" customWidth="1"/>
    <col min="1544" max="1544" width="8.5546875" style="1" customWidth="1"/>
    <col min="1545" max="1545" width="11.6640625" style="1" customWidth="1"/>
    <col min="1546" max="1548" width="10.6640625" style="1" customWidth="1"/>
    <col min="1549" max="1549" width="8.5546875" style="1" customWidth="1"/>
    <col min="1550" max="1550" width="11.6640625" style="1" bestFit="1" customWidth="1"/>
    <col min="1551" max="1551" width="10.6640625" style="1" customWidth="1"/>
    <col min="1552" max="1552" width="9.6640625" style="1" customWidth="1"/>
    <col min="1553" max="1553" width="10.6640625" style="1" customWidth="1"/>
    <col min="1554" max="1554" width="8.5546875" style="1" customWidth="1"/>
    <col min="1555" max="1555" width="11.6640625" style="1" customWidth="1"/>
    <col min="1556" max="1558" width="10.6640625" style="1" customWidth="1"/>
    <col min="1559" max="1559" width="8.5546875" style="1" customWidth="1"/>
    <col min="1560" max="1560" width="11.6640625" style="1" customWidth="1"/>
    <col min="1561" max="1563" width="10.6640625" style="1" customWidth="1"/>
    <col min="1564" max="1564" width="8.6640625" style="1" customWidth="1"/>
    <col min="1565" max="1566" width="11.6640625" style="1" customWidth="1"/>
    <col min="1567" max="1567" width="9.6640625" style="1" customWidth="1"/>
    <col min="1568" max="1568" width="10.6640625" style="1" customWidth="1"/>
    <col min="1569" max="1569" width="8.5546875" style="1" customWidth="1"/>
    <col min="1570" max="1570" width="11.6640625" style="1" customWidth="1"/>
    <col min="1571" max="1571" width="10.6640625" style="1" customWidth="1"/>
    <col min="1572" max="1572" width="9.6640625" style="1" customWidth="1"/>
    <col min="1573" max="1573" width="10.6640625" style="1" customWidth="1"/>
    <col min="1574" max="1574" width="8.6640625" style="1" customWidth="1"/>
    <col min="1575" max="1575" width="11.6640625" style="1" customWidth="1"/>
    <col min="1576" max="1576" width="11.6640625" style="1" bestFit="1" customWidth="1"/>
    <col min="1577" max="1578" width="11.6640625" style="1" customWidth="1"/>
    <col min="1579" max="1579" width="8.6640625" style="1" customWidth="1"/>
    <col min="1580" max="1580" width="11.6640625" style="1" customWidth="1"/>
    <col min="1581" max="1581" width="11.6640625" style="1" bestFit="1" customWidth="1"/>
    <col min="1582" max="1582" width="10.6640625" style="1" customWidth="1"/>
    <col min="1583" max="1583" width="11.6640625" style="1" bestFit="1" customWidth="1"/>
    <col min="1584" max="1584" width="8.6640625" style="1" customWidth="1"/>
    <col min="1585" max="1586" width="11.6640625" style="1" customWidth="1"/>
    <col min="1587" max="1587" width="10.6640625" style="1" customWidth="1"/>
    <col min="1588" max="1588" width="11.6640625" style="1" bestFit="1" customWidth="1"/>
    <col min="1589" max="1589" width="8.6640625" style="1" customWidth="1"/>
    <col min="1590" max="1590" width="11.6640625" style="1" bestFit="1" customWidth="1"/>
    <col min="1591" max="1593" width="11.6640625" style="1" customWidth="1"/>
    <col min="1594" max="1594" width="8.6640625" style="1" customWidth="1"/>
    <col min="1595" max="1596" width="11.6640625" style="1" bestFit="1" customWidth="1"/>
    <col min="1597" max="1598" width="11.6640625" style="1" customWidth="1"/>
    <col min="1599" max="1599" width="8.6640625" style="1" customWidth="1"/>
    <col min="1600" max="1603" width="11.6640625" style="1" customWidth="1"/>
    <col min="1604" max="1604" width="8.5546875" style="1" customWidth="1"/>
    <col min="1605" max="1605" width="11.6640625" style="1" bestFit="1" customWidth="1"/>
    <col min="1606" max="1609" width="11.6640625" style="1" customWidth="1"/>
    <col min="1610" max="1610" width="14.44140625" style="1" customWidth="1"/>
    <col min="1611" max="1611" width="22" style="1" customWidth="1"/>
    <col min="1612" max="1612" width="11.6640625" style="1" bestFit="1" customWidth="1"/>
    <col min="1613" max="1614" width="11.6640625" style="1" customWidth="1"/>
    <col min="1615" max="1615" width="21" style="1" customWidth="1"/>
    <col min="1616" max="1616" width="14.44140625" style="1" customWidth="1"/>
    <col min="1617" max="1617" width="22" style="1" customWidth="1"/>
    <col min="1618" max="1618" width="11.6640625" style="1" bestFit="1" customWidth="1"/>
    <col min="1619" max="1620" width="11.6640625" style="1" customWidth="1"/>
    <col min="1621" max="1621" width="22" style="1" customWidth="1"/>
    <col min="1622" max="1622" width="14.44140625" style="1" customWidth="1"/>
    <col min="1623" max="1623" width="22" style="1" customWidth="1"/>
    <col min="1624" max="1626" width="11.6640625" style="1" customWidth="1"/>
    <col min="1627" max="1627" width="22" style="1" customWidth="1"/>
    <col min="1628" max="1628" width="8.5546875" style="1" customWidth="1"/>
    <col min="1629" max="1629" width="6.6640625" style="1" customWidth="1"/>
    <col min="1630" max="1632" width="11.6640625" style="1" customWidth="1"/>
    <col min="1633" max="1633" width="6.6640625" style="1" customWidth="1"/>
    <col min="1634" max="1634" width="8.5546875" style="1" customWidth="1"/>
    <col min="1635" max="1635" width="10.6640625" style="1" customWidth="1"/>
    <col min="1636" max="1638" width="11.6640625" style="1" customWidth="1"/>
    <col min="1639" max="1639" width="10.6640625" style="1" customWidth="1"/>
    <col min="1640" max="1640" width="8.5546875" style="1" customWidth="1"/>
    <col min="1641" max="1641" width="10.6640625" style="1" customWidth="1"/>
    <col min="1642" max="1642" width="11.6640625" style="1" bestFit="1" customWidth="1"/>
    <col min="1643" max="1644" width="11.6640625" style="1" customWidth="1"/>
    <col min="1645" max="1645" width="10.6640625" style="1" customWidth="1"/>
    <col min="1646" max="1646" width="8.6640625" style="1" customWidth="1"/>
    <col min="1647" max="1648" width="11.6640625" style="1" customWidth="1"/>
    <col min="1649" max="1649" width="11.6640625" style="1" bestFit="1" customWidth="1"/>
    <col min="1650" max="1651" width="11.6640625" style="1" customWidth="1"/>
    <col min="1652" max="1652" width="8.6640625" style="1" customWidth="1"/>
    <col min="1653" max="1656" width="11.6640625" style="1" customWidth="1"/>
    <col min="1657" max="1657" width="11.6640625" style="1" bestFit="1" customWidth="1"/>
    <col min="1658" max="1658" width="8.6640625" style="1" customWidth="1"/>
    <col min="1659" max="1659" width="10.6640625" style="1" customWidth="1"/>
    <col min="1660" max="1661" width="11.6640625" style="1" customWidth="1"/>
    <col min="1662" max="1662" width="11.6640625" style="1" bestFit="1" customWidth="1"/>
    <col min="1663" max="1663" width="11.6640625" style="1" customWidth="1"/>
    <col min="1664" max="1664" width="8.6640625" style="1" customWidth="1"/>
    <col min="1665" max="1668" width="11.6640625" style="1" customWidth="1"/>
    <col min="1669" max="1669" width="11.6640625" style="1" bestFit="1" customWidth="1"/>
    <col min="1670" max="1670" width="8.6640625" style="1" customWidth="1"/>
    <col min="1671" max="1675" width="11.6640625" style="1" customWidth="1"/>
    <col min="1676" max="1676" width="8.6640625" style="1" customWidth="1"/>
    <col min="1677" max="1677" width="11.6640625" style="1" bestFit="1" customWidth="1"/>
    <col min="1678" max="1681" width="11.6640625" style="1" customWidth="1"/>
    <col min="1682" max="1682" width="8.6640625" style="1" customWidth="1"/>
    <col min="1683" max="1687" width="11.6640625" style="1" customWidth="1"/>
    <col min="1688" max="1688" width="8.6640625" style="1" customWidth="1"/>
    <col min="1689" max="1691" width="11.6640625" style="1" customWidth="1"/>
    <col min="1692" max="1692" width="11.6640625" style="1" bestFit="1" customWidth="1"/>
    <col min="1693" max="1693" width="11.6640625" style="1" customWidth="1"/>
    <col min="1694" max="1694" width="12.6640625" style="1" customWidth="1"/>
    <col min="1695" max="1695" width="13.33203125" style="1" customWidth="1"/>
    <col min="1696" max="1698" width="11.6640625" style="1" customWidth="1"/>
    <col min="1699" max="1699" width="15.33203125" style="1" customWidth="1"/>
    <col min="1700" max="1700" width="10.33203125" style="1" customWidth="1"/>
    <col min="1701" max="1701" width="11.6640625" style="1" customWidth="1"/>
    <col min="1702" max="1702" width="13.44140625" style="1" customWidth="1"/>
    <col min="1703" max="1703" width="11.6640625" style="1" customWidth="1"/>
    <col min="1704" max="1704" width="12.33203125" style="1" bestFit="1" customWidth="1"/>
    <col min="1705" max="1705" width="8.5546875" style="1" customWidth="1"/>
    <col min="1706" max="1706" width="11.6640625" style="1" customWidth="1"/>
    <col min="1707" max="1710" width="11.33203125" style="1" customWidth="1"/>
    <col min="1711" max="1711" width="11.6640625" style="1" customWidth="1"/>
    <col min="1712" max="1712" width="14" style="1" bestFit="1" customWidth="1"/>
    <col min="1713" max="1713" width="11.6640625" style="1" customWidth="1"/>
    <col min="1714" max="1714" width="14" style="1" customWidth="1"/>
    <col min="1715" max="1715" width="10.33203125" style="1" customWidth="1"/>
    <col min="1716" max="1716" width="11.6640625" style="1" customWidth="1"/>
    <col min="1717" max="1717" width="11.33203125" style="1" customWidth="1"/>
    <col min="1718" max="1718" width="11.6640625" style="1" customWidth="1"/>
    <col min="1719" max="1719" width="13" style="1" customWidth="1"/>
    <col min="1720" max="1720" width="8.5546875" style="1" customWidth="1"/>
    <col min="1721" max="1721" width="11.6640625" style="1" customWidth="1"/>
    <col min="1722" max="1722" width="11.33203125" style="1" customWidth="1"/>
    <col min="1723" max="1723" width="11.6640625" style="1" customWidth="1"/>
    <col min="1724" max="1724" width="11.33203125" style="1" customWidth="1"/>
    <col min="1725" max="1725" width="8.5546875" style="1" customWidth="1"/>
    <col min="1726" max="1726" width="11.6640625" style="1" customWidth="1"/>
    <col min="1727" max="1729" width="11.33203125" style="1" customWidth="1"/>
    <col min="1730" max="1730" width="8.5546875" style="1" customWidth="1"/>
    <col min="1731" max="1731" width="11.6640625" style="1" customWidth="1"/>
    <col min="1732" max="1734" width="6.6640625" style="1" customWidth="1"/>
    <col min="1735" max="1735" width="8.5546875" style="1" customWidth="1"/>
    <col min="1736" max="1736" width="11.6640625" style="1" customWidth="1"/>
    <col min="1737" max="1737" width="9.6640625" style="1" customWidth="1"/>
    <col min="1738" max="1738" width="11.6640625" style="1" customWidth="1"/>
    <col min="1739" max="1739" width="8.6640625" style="1" customWidth="1"/>
    <col min="1740" max="1740" width="8.5546875" style="1" customWidth="1"/>
    <col min="1741" max="1741" width="11.6640625" style="1" customWidth="1"/>
    <col min="1742" max="1742" width="10.6640625" style="1" customWidth="1"/>
    <col min="1743" max="1743" width="11.6640625" style="1" customWidth="1"/>
    <col min="1744" max="1744" width="8.6640625" style="1" customWidth="1"/>
    <col min="1745" max="1745" width="8.5546875" style="1" customWidth="1"/>
    <col min="1746" max="1746" width="11.6640625" style="1" customWidth="1"/>
    <col min="1747" max="1749" width="10.6640625" style="1" customWidth="1"/>
    <col min="1750" max="1750" width="8.5546875" style="1" customWidth="1"/>
    <col min="1751" max="1751" width="11.6640625" style="1" customWidth="1"/>
    <col min="1752" max="1752" width="10.6640625" style="1" customWidth="1"/>
    <col min="1753" max="1753" width="9.6640625" style="1" customWidth="1"/>
    <col min="1754" max="1754" width="10.6640625" style="1" customWidth="1"/>
    <col min="1755" max="1755" width="8.5546875" style="1" customWidth="1"/>
    <col min="1756" max="1756" width="11.6640625" style="1" customWidth="1"/>
    <col min="1757" max="1759" width="10.6640625" style="1" customWidth="1"/>
    <col min="1760" max="1760" width="8.5546875" style="1" customWidth="1"/>
    <col min="1761" max="1761" width="11.6640625" style="1" customWidth="1"/>
    <col min="1762" max="1764" width="10.6640625" style="1" customWidth="1"/>
    <col min="1765" max="1765" width="8.6640625" style="1" customWidth="1"/>
    <col min="1766" max="1767" width="11.6640625" style="1" customWidth="1"/>
    <col min="1768" max="1768" width="9.6640625" style="1" customWidth="1"/>
    <col min="1769" max="1769" width="10.6640625" style="1" customWidth="1"/>
    <col min="1770" max="1770" width="8.5546875" style="1" customWidth="1"/>
    <col min="1771" max="1771" width="11.6640625" style="1" customWidth="1"/>
    <col min="1772" max="1772" width="10.6640625" style="1" customWidth="1"/>
    <col min="1773" max="1773" width="9.6640625" style="1" customWidth="1"/>
    <col min="1774" max="1774" width="10.6640625" style="1" customWidth="1"/>
    <col min="1775" max="1775" width="8.6640625" style="1" customWidth="1"/>
    <col min="1776" max="1779" width="11.6640625" style="1" customWidth="1"/>
    <col min="1780" max="1780" width="8.6640625" style="1" customWidth="1"/>
    <col min="1781" max="1782" width="11.6640625" style="1" customWidth="1"/>
    <col min="1783" max="1783" width="10.6640625" style="1" customWidth="1"/>
    <col min="1784" max="1784" width="11.6640625" style="1" customWidth="1"/>
    <col min="1785" max="1785" width="8.6640625" style="1" customWidth="1"/>
    <col min="1786" max="1787" width="11.6640625" style="1" customWidth="1"/>
    <col min="1788" max="1788" width="10.6640625" style="1" customWidth="1"/>
    <col min="1789" max="1789" width="11.6640625" style="1" customWidth="1"/>
    <col min="1790" max="1790" width="8.6640625" style="1" customWidth="1"/>
    <col min="1791" max="1794" width="11.6640625" style="1" customWidth="1"/>
    <col min="1795" max="1795" width="8.6640625" style="1" customWidth="1"/>
    <col min="1796" max="1799" width="11.6640625" style="1" customWidth="1"/>
    <col min="1800" max="1800" width="8.6640625" style="1" customWidth="1"/>
    <col min="1801" max="1804" width="11.6640625" style="1" customWidth="1"/>
    <col min="1805" max="1805" width="8.5546875" style="1" customWidth="1"/>
    <col min="1806" max="1808" width="11.6640625" style="1" bestFit="1" customWidth="1"/>
    <col min="1809" max="1810" width="11.6640625" style="1" customWidth="1"/>
    <col min="1811" max="1811" width="14.44140625" style="1" customWidth="1"/>
    <col min="1812" max="1812" width="22" style="1" customWidth="1"/>
    <col min="1813" max="1814" width="11.6640625" style="1" bestFit="1" customWidth="1"/>
    <col min="1815" max="1815" width="11.6640625" style="1" customWidth="1"/>
    <col min="1816" max="1816" width="21" style="1" customWidth="1"/>
    <col min="1817" max="1817" width="14.44140625" style="1" customWidth="1"/>
    <col min="1818" max="1818" width="22" style="1" customWidth="1"/>
    <col min="1819" max="1819" width="11.6640625" style="1" customWidth="1"/>
    <col min="1820" max="1820" width="11.6640625" style="1" bestFit="1" customWidth="1"/>
    <col min="1821" max="1821" width="11.6640625" style="1" customWidth="1"/>
    <col min="1822" max="1822" width="22" style="1" customWidth="1"/>
    <col min="1823" max="1823" width="14.44140625" style="1" customWidth="1"/>
    <col min="1824" max="1824" width="22" style="1" customWidth="1"/>
    <col min="1825" max="1827" width="11.6640625" style="1" customWidth="1"/>
    <col min="1828" max="1828" width="22" style="1" customWidth="1"/>
    <col min="1829" max="1829" width="8.5546875" style="1" customWidth="1"/>
    <col min="1830" max="1830" width="6.6640625" style="1" customWidth="1"/>
    <col min="1831" max="1833" width="11.6640625" style="1" customWidth="1"/>
    <col min="1834" max="1834" width="6.6640625" style="1" customWidth="1"/>
    <col min="1835" max="1835" width="8.5546875" style="1" customWidth="1"/>
    <col min="1836" max="1836" width="10.6640625" style="1" customWidth="1"/>
    <col min="1837" max="1837" width="11.6640625" style="1" customWidth="1"/>
    <col min="1838" max="1838" width="11.6640625" style="1" bestFit="1" customWidth="1"/>
    <col min="1839" max="1839" width="11.6640625" style="1" customWidth="1"/>
    <col min="1840" max="1840" width="10.6640625" style="1" customWidth="1"/>
    <col min="1841" max="1841" width="8.5546875" style="1" customWidth="1"/>
    <col min="1842" max="1842" width="10.6640625" style="1" customWidth="1"/>
    <col min="1843" max="1845" width="11.6640625" style="1" customWidth="1"/>
    <col min="1846" max="1846" width="10.6640625" style="1" customWidth="1"/>
    <col min="1847" max="1847" width="8.6640625" style="1" customWidth="1"/>
    <col min="1848" max="1852" width="11.6640625" style="1" customWidth="1"/>
    <col min="1853" max="1853" width="8.6640625" style="1" customWidth="1"/>
    <col min="1854" max="1858" width="11.6640625" style="1" customWidth="1"/>
    <col min="1859" max="1859" width="8.6640625" style="1" customWidth="1"/>
    <col min="1860" max="1860" width="10.6640625" style="1" customWidth="1"/>
    <col min="1861" max="1864" width="11.6640625" style="1" customWidth="1"/>
    <col min="1865" max="1865" width="8.6640625" style="1" customWidth="1"/>
    <col min="1866" max="1866" width="11.6640625" style="1" bestFit="1" customWidth="1"/>
    <col min="1867" max="1870" width="11.6640625" style="1" customWidth="1"/>
    <col min="1871" max="1871" width="8.6640625" style="1" customWidth="1"/>
    <col min="1872" max="1876" width="11.6640625" style="1" customWidth="1"/>
    <col min="1877" max="1877" width="8.6640625" style="1" customWidth="1"/>
    <col min="1878" max="1878" width="11.6640625" style="1" customWidth="1"/>
    <col min="1879" max="1879" width="11.6640625" style="1" bestFit="1" customWidth="1"/>
    <col min="1880" max="1882" width="11.6640625" style="1" customWidth="1"/>
    <col min="1883" max="1883" width="8.6640625" style="1" customWidth="1"/>
    <col min="1884" max="1885" width="11.6640625" style="1" customWidth="1"/>
    <col min="1886" max="1886" width="11.6640625" style="1" bestFit="1" customWidth="1"/>
    <col min="1887" max="1888" width="11.6640625" style="1" customWidth="1"/>
    <col min="1889" max="1889" width="8.6640625" style="1" customWidth="1"/>
    <col min="1890" max="1894" width="11.6640625" style="1" customWidth="1"/>
    <col min="1895" max="1895" width="12.6640625" style="1" customWidth="1"/>
    <col min="1896" max="1896" width="13.33203125" style="1" customWidth="1"/>
    <col min="1897" max="1899" width="11.6640625" style="1" customWidth="1"/>
    <col min="1900" max="1900" width="15.33203125" style="1" customWidth="1"/>
    <col min="1901" max="1901" width="10.33203125" style="1" customWidth="1"/>
    <col min="1902" max="1902" width="11.6640625" style="1" customWidth="1"/>
    <col min="1903" max="1903" width="13.44140625" style="1" customWidth="1"/>
    <col min="1904" max="1904" width="11.6640625" style="1" customWidth="1"/>
    <col min="1905" max="1905" width="12.33203125" style="1" customWidth="1"/>
    <col min="1906" max="1906" width="8.5546875" style="1" customWidth="1"/>
    <col min="1907" max="1907" width="11.6640625" style="1" customWidth="1"/>
    <col min="1908" max="1911" width="11.33203125" style="1" customWidth="1"/>
    <col min="1912" max="1912" width="11.6640625" style="1" customWidth="1"/>
    <col min="1913" max="1913" width="14" style="1" customWidth="1"/>
    <col min="1914" max="1914" width="11.6640625" style="1" bestFit="1" customWidth="1"/>
    <col min="1915" max="1915" width="14" style="1" customWidth="1"/>
    <col min="1916" max="1916" width="10.33203125" style="1" customWidth="1"/>
    <col min="1917" max="1917" width="11.6640625" style="1" customWidth="1"/>
    <col min="1918" max="1918" width="11.33203125" style="1" customWidth="1"/>
    <col min="1919" max="1919" width="11.6640625" style="1" customWidth="1"/>
    <col min="1920" max="1920" width="13" style="1" customWidth="1"/>
    <col min="1921" max="1921" width="8.5546875" style="1" customWidth="1"/>
    <col min="1922" max="1922" width="11.6640625" style="1" customWidth="1"/>
    <col min="1923" max="1923" width="11.33203125" style="1" customWidth="1"/>
    <col min="1924" max="1924" width="11.6640625" style="1" customWidth="1"/>
    <col min="1925" max="1925" width="11.33203125" style="1" customWidth="1"/>
    <col min="1926" max="1926" width="8.5546875" style="1" customWidth="1"/>
    <col min="1927" max="1927" width="11.6640625" style="1" customWidth="1"/>
    <col min="1928" max="1930" width="11.33203125" style="1" customWidth="1"/>
    <col min="1931" max="1931" width="8.5546875" style="1" customWidth="1"/>
    <col min="1932" max="1932" width="11.6640625" style="1" customWidth="1"/>
    <col min="1933" max="1935" width="6.6640625" style="1" customWidth="1"/>
    <col min="1936" max="1936" width="8.5546875" style="1" customWidth="1"/>
    <col min="1937" max="1937" width="11.6640625" style="1" customWidth="1"/>
    <col min="1938" max="1938" width="9.6640625" style="1" customWidth="1"/>
    <col min="1939" max="1939" width="11.6640625" style="1" customWidth="1"/>
    <col min="1940" max="1940" width="8.6640625" style="1" customWidth="1"/>
    <col min="1941" max="1941" width="8.5546875" style="1" customWidth="1"/>
    <col min="1942" max="1942" width="11.6640625" style="1" customWidth="1"/>
    <col min="1943" max="1943" width="10.6640625" style="1" customWidth="1"/>
    <col min="1944" max="1944" width="11.6640625" style="1" customWidth="1"/>
    <col min="1945" max="1945" width="8.6640625" style="1" customWidth="1"/>
    <col min="1946" max="1946" width="8.5546875" style="1" customWidth="1"/>
    <col min="1947" max="1947" width="11.6640625" style="1" customWidth="1"/>
    <col min="1948" max="1950" width="10.6640625" style="1" customWidth="1"/>
    <col min="1951" max="1951" width="8.5546875" style="1" customWidth="1"/>
    <col min="1952" max="1952" width="11.6640625" style="1" customWidth="1"/>
    <col min="1953" max="1953" width="10.6640625" style="1" customWidth="1"/>
    <col min="1954" max="1954" width="9.6640625" style="1" customWidth="1"/>
    <col min="1955" max="1955" width="10.6640625" style="1" customWidth="1"/>
    <col min="1956" max="1956" width="8.5546875" style="1" customWidth="1"/>
    <col min="1957" max="1957" width="11.6640625" style="1" customWidth="1"/>
    <col min="1958" max="1960" width="10.6640625" style="1" customWidth="1"/>
    <col min="1961" max="1961" width="8.5546875" style="1" customWidth="1"/>
    <col min="1962" max="1962" width="11.6640625" style="1" customWidth="1"/>
    <col min="1963" max="1965" width="10.6640625" style="1" customWidth="1"/>
    <col min="1966" max="1966" width="8.6640625" style="1" customWidth="1"/>
    <col min="1967" max="1968" width="11.6640625" style="1" customWidth="1"/>
    <col min="1969" max="1969" width="9.6640625" style="1" customWidth="1"/>
    <col min="1970" max="1970" width="10.6640625" style="1" customWidth="1"/>
    <col min="1971" max="1971" width="8.5546875" style="1" customWidth="1"/>
    <col min="1972" max="1972" width="11.6640625" style="1" customWidth="1"/>
    <col min="1973" max="1973" width="10.6640625" style="1" customWidth="1"/>
    <col min="1974" max="1974" width="9.6640625" style="1" customWidth="1"/>
    <col min="1975" max="1975" width="10.6640625" style="1" customWidth="1"/>
    <col min="1976" max="1976" width="8.6640625" style="1" customWidth="1"/>
    <col min="1977" max="1977" width="11.6640625" style="1" customWidth="1"/>
    <col min="1978" max="1978" width="11.6640625" style="1" bestFit="1" customWidth="1"/>
    <col min="1979" max="1980" width="11.6640625" style="1" customWidth="1"/>
    <col min="1981" max="1981" width="8.6640625" style="1" customWidth="1"/>
    <col min="1982" max="1982" width="11.6640625" style="1" bestFit="1" customWidth="1"/>
    <col min="1983" max="1983" width="11.6640625" style="1" customWidth="1"/>
    <col min="1984" max="1984" width="10.6640625" style="1" customWidth="1"/>
    <col min="1985" max="1985" width="11.6640625" style="1" customWidth="1"/>
    <col min="1986" max="1986" width="8.6640625" style="1" customWidth="1"/>
    <col min="1987" max="1988" width="11.6640625" style="1" customWidth="1"/>
    <col min="1989" max="1989" width="10.6640625" style="1" customWidth="1"/>
    <col min="1990" max="1990" width="11.6640625" style="1" customWidth="1"/>
    <col min="1991" max="1991" width="8.6640625" style="1" customWidth="1"/>
    <col min="1992" max="1995" width="11.6640625" style="1" customWidth="1"/>
    <col min="1996" max="1996" width="8.6640625" style="1" customWidth="1"/>
    <col min="1997" max="1998" width="11.6640625" style="1" bestFit="1" customWidth="1"/>
    <col min="1999" max="2000" width="11.6640625" style="1" customWidth="1"/>
    <col min="2001" max="2001" width="8.6640625" style="1" customWidth="1"/>
    <col min="2002" max="2004" width="11.6640625" style="1" bestFit="1" customWidth="1"/>
    <col min="2005" max="2005" width="11.6640625" style="1" customWidth="1"/>
    <col min="2006" max="2006" width="8.5546875" style="1" customWidth="1"/>
    <col min="2007" max="2007" width="11.6640625" style="1" customWidth="1"/>
    <col min="2008" max="2009" width="11.6640625" style="1" bestFit="1" customWidth="1"/>
    <col min="2010" max="2011" width="11.6640625" style="1" customWidth="1"/>
    <col min="2012" max="2012" width="16" style="1" bestFit="1" customWidth="1"/>
    <col min="2013" max="2013" width="20.109375" style="1" customWidth="1"/>
    <col min="2014" max="2014" width="17.6640625" style="1" customWidth="1"/>
    <col min="2015" max="2015" width="20.109375" style="1" bestFit="1" customWidth="1"/>
    <col min="2016" max="2016" width="17.6640625" style="1" customWidth="1"/>
    <col min="2017" max="2017" width="20.109375" style="1" bestFit="1" customWidth="1"/>
    <col min="2018" max="2018" width="16.5546875" style="1" customWidth="1"/>
    <col min="2019" max="2019" width="20.109375" style="1" bestFit="1" customWidth="1"/>
    <col min="2020" max="2020" width="16" style="1" bestFit="1" customWidth="1"/>
    <col min="2021" max="2021" width="20.109375" style="1" customWidth="1"/>
    <col min="2022" max="2024" width="11.6640625" style="1" bestFit="1" customWidth="1"/>
    <col min="2025" max="2026" width="11.6640625" style="1" customWidth="1"/>
    <col min="2027" max="2027" width="11.6640625" style="1" bestFit="1" customWidth="1"/>
    <col min="2028" max="2028" width="8.6640625" style="1" customWidth="1"/>
    <col min="2029" max="2030" width="11.6640625" style="1" bestFit="1" customWidth="1"/>
    <col min="2031" max="2031" width="11.6640625" style="1" customWidth="1"/>
    <col min="2032" max="2032" width="11.6640625" style="1" bestFit="1" customWidth="1"/>
    <col min="2033" max="2034" width="11.6640625" style="1" customWidth="1"/>
    <col min="2035" max="2035" width="12.6640625" style="1" customWidth="1"/>
    <col min="2036" max="2036" width="13.33203125" style="1" customWidth="1"/>
    <col min="2037" max="2038" width="11.6640625" style="1" bestFit="1" customWidth="1"/>
    <col min="2039" max="2039" width="11.6640625" style="1" customWidth="1"/>
    <col min="2040" max="2040" width="15.33203125" style="1" customWidth="1"/>
    <col min="2041" max="2041" width="14.33203125" style="1" customWidth="1"/>
    <col min="2042" max="2042" width="14.44140625" style="1" bestFit="1" customWidth="1"/>
    <col min="2043" max="2043" width="22" style="1" bestFit="1" customWidth="1"/>
    <col min="2044" max="2044" width="11.6640625" style="1" bestFit="1" customWidth="1"/>
    <col min="2045" max="2046" width="11.6640625" style="1" customWidth="1"/>
    <col min="2047" max="2047" width="21" style="1" customWidth="1"/>
    <col min="2048" max="2048" width="14.44140625" style="1" bestFit="1" customWidth="1"/>
    <col min="2049" max="2049" width="22" style="1" bestFit="1" customWidth="1"/>
    <col min="2050" max="2050" width="11.6640625" style="1" bestFit="1" customWidth="1"/>
    <col min="2051" max="2052" width="11.6640625" style="1" customWidth="1"/>
    <col min="2053" max="2053" width="22" style="1" bestFit="1" customWidth="1"/>
    <col min="2054" max="2054" width="8.6640625" style="1" customWidth="1"/>
    <col min="2055" max="2057" width="11.6640625" style="1" bestFit="1" customWidth="1"/>
    <col min="2058" max="2059" width="11.6640625" style="1" customWidth="1"/>
    <col min="2060" max="2060" width="10.33203125" style="1" customWidth="1"/>
    <col min="2061" max="2061" width="11.6640625" style="1" bestFit="1" customWidth="1"/>
    <col min="2062" max="2062" width="13.44140625" style="1" customWidth="1"/>
    <col min="2063" max="2063" width="11.6640625" style="1" bestFit="1" customWidth="1"/>
    <col min="2064" max="2064" width="12.33203125" style="1" bestFit="1" customWidth="1"/>
    <col min="2065" max="2065" width="8.5546875" style="1" customWidth="1"/>
    <col min="2066" max="2066" width="11.6640625" style="1" bestFit="1" customWidth="1"/>
    <col min="2067" max="2070" width="11.33203125" style="1" customWidth="1"/>
    <col min="2071" max="2071" width="11.6640625" style="1" customWidth="1"/>
    <col min="2072" max="2072" width="14" style="1" customWidth="1"/>
    <col min="2073" max="2073" width="11.6640625" style="1" customWidth="1"/>
    <col min="2074" max="2074" width="14" style="1" bestFit="1" customWidth="1"/>
    <col min="2075" max="2075" width="10.33203125" style="1" customWidth="1"/>
    <col min="2076" max="2076" width="11.6640625" style="1" customWidth="1"/>
    <col min="2077" max="2077" width="11.33203125" style="1" customWidth="1"/>
    <col min="2078" max="2078" width="11.6640625" style="1" customWidth="1"/>
    <col min="2079" max="2079" width="13" style="1" customWidth="1"/>
    <col min="2080" max="2080" width="8.5546875" style="1" customWidth="1"/>
    <col min="2081" max="2081" width="11.6640625" style="1" customWidth="1"/>
    <col min="2082" max="2082" width="11.33203125" style="1" customWidth="1"/>
    <col min="2083" max="2083" width="11.6640625" style="1" bestFit="1" customWidth="1"/>
    <col min="2084" max="2084" width="11.33203125" style="1" customWidth="1"/>
    <col min="2085" max="2085" width="8.5546875" style="1" customWidth="1"/>
    <col min="2086" max="2086" width="11.6640625" style="1" customWidth="1"/>
    <col min="2087" max="2089" width="11.33203125" style="1" customWidth="1"/>
    <col min="2090" max="2090" width="8.5546875" style="1" customWidth="1"/>
    <col min="2091" max="2091" width="11.6640625" style="1" bestFit="1" customWidth="1"/>
    <col min="2092" max="2094" width="6.6640625" style="1" customWidth="1"/>
    <col min="2095" max="2095" width="8.5546875" style="1" customWidth="1"/>
    <col min="2096" max="2096" width="11.6640625" style="1" bestFit="1" customWidth="1"/>
    <col min="2097" max="2097" width="9.6640625" style="1" customWidth="1"/>
    <col min="2098" max="2098" width="11.6640625" style="1" bestFit="1" customWidth="1"/>
    <col min="2099" max="2099" width="8.6640625" style="1" customWidth="1"/>
    <col min="2100" max="2100" width="8.5546875" style="1" customWidth="1"/>
    <col min="2101" max="2101" width="11.6640625" style="1" customWidth="1"/>
    <col min="2102" max="2102" width="10.6640625" style="1" customWidth="1"/>
    <col min="2103" max="2103" width="11.6640625" style="1" bestFit="1" customWidth="1"/>
    <col min="2104" max="2104" width="8.6640625" style="1" customWidth="1"/>
    <col min="2105" max="2105" width="8.5546875" style="1" customWidth="1"/>
    <col min="2106" max="2106" width="11.6640625" style="1" bestFit="1" customWidth="1"/>
    <col min="2107" max="2109" width="10.6640625" style="1" customWidth="1"/>
    <col min="2110" max="2110" width="8.5546875" style="1" customWidth="1"/>
    <col min="2111" max="2111" width="11.6640625" style="1" bestFit="1" customWidth="1"/>
    <col min="2112" max="2112" width="10.6640625" style="1" customWidth="1"/>
    <col min="2113" max="2113" width="9.6640625" style="1" customWidth="1"/>
    <col min="2114" max="2114" width="10.6640625" style="1" customWidth="1"/>
    <col min="2115" max="2115" width="8.5546875" style="1" customWidth="1"/>
    <col min="2116" max="2116" width="11.6640625" style="1" bestFit="1" customWidth="1"/>
    <col min="2117" max="2119" width="10.6640625" style="1" customWidth="1"/>
    <col min="2120" max="2120" width="8.5546875" style="1" customWidth="1"/>
    <col min="2121" max="2121" width="11.6640625" style="1" customWidth="1"/>
    <col min="2122" max="2124" width="10.6640625" style="1" customWidth="1"/>
    <col min="2125" max="2125" width="8.6640625" style="1" customWidth="1"/>
    <col min="2126" max="2127" width="11.6640625" style="1" customWidth="1"/>
    <col min="2128" max="2128" width="9.6640625" style="1" customWidth="1"/>
    <col min="2129" max="2129" width="10.6640625" style="1" customWidth="1"/>
    <col min="2130" max="2130" width="8.5546875" style="1" customWidth="1"/>
    <col min="2131" max="2131" width="11.6640625" style="1" bestFit="1" customWidth="1"/>
    <col min="2132" max="2132" width="10.6640625" style="1" customWidth="1"/>
    <col min="2133" max="2133" width="9.6640625" style="1" customWidth="1"/>
    <col min="2134" max="2134" width="10.6640625" style="1" customWidth="1"/>
    <col min="2135" max="2135" width="8.6640625" style="1" customWidth="1"/>
    <col min="2136" max="2136" width="11.6640625" style="1" customWidth="1"/>
    <col min="2137" max="2138" width="11.6640625" style="1" bestFit="1" customWidth="1"/>
    <col min="2139" max="2139" width="11.6640625" style="1" customWidth="1"/>
    <col min="2140" max="2140" width="8.6640625" style="1" customWidth="1"/>
    <col min="2141" max="2141" width="11.6640625" style="1" customWidth="1"/>
    <col min="2142" max="2142" width="11.6640625" style="1" bestFit="1" customWidth="1"/>
    <col min="2143" max="2143" width="10.6640625" style="1" customWidth="1"/>
    <col min="2144" max="2144" width="11.6640625" style="1" customWidth="1"/>
    <col min="2145" max="2145" width="8.6640625" style="1" customWidth="1"/>
    <col min="2146" max="2147" width="11.6640625" style="1" customWidth="1"/>
    <col min="2148" max="2148" width="10.6640625" style="1" customWidth="1"/>
    <col min="2149" max="2149" width="11.6640625" style="1" customWidth="1"/>
    <col min="2150" max="2150" width="8.6640625" style="1" customWidth="1"/>
    <col min="2151" max="2151" width="11.6640625" style="1" customWidth="1"/>
    <col min="2152" max="2152" width="11.6640625" style="1" bestFit="1" customWidth="1"/>
    <col min="2153" max="2154" width="11.6640625" style="1" customWidth="1"/>
    <col min="2155" max="2155" width="8.6640625" style="1" customWidth="1"/>
    <col min="2156" max="2159" width="11.6640625" style="1" customWidth="1"/>
    <col min="2160" max="2160" width="8.6640625" style="1" customWidth="1"/>
    <col min="2161" max="2164" width="11.6640625" style="1" customWidth="1"/>
    <col min="2165" max="2165" width="8.5546875" style="1" customWidth="1"/>
    <col min="2166" max="2167" width="11.6640625" style="1" customWidth="1"/>
    <col min="2168" max="2168" width="11.6640625" style="1" bestFit="1" customWidth="1"/>
    <col min="2169" max="2171" width="11.6640625" style="1" customWidth="1"/>
    <col min="2172" max="2172" width="16" style="1" customWidth="1"/>
    <col min="2173" max="2173" width="20.109375" style="1" customWidth="1"/>
    <col min="2174" max="2174" width="17.6640625" style="1" customWidth="1"/>
    <col min="2175" max="2175" width="20.109375" style="1" bestFit="1" customWidth="1"/>
    <col min="2176" max="2176" width="17.6640625" style="1" customWidth="1"/>
    <col min="2177" max="2177" width="20.109375" style="1" bestFit="1" customWidth="1"/>
    <col min="2178" max="2178" width="16.5546875" style="1" customWidth="1"/>
    <col min="2179" max="2179" width="20.109375" style="1" customWidth="1"/>
    <col min="2180" max="2180" width="16" style="1" customWidth="1"/>
    <col min="2181" max="2181" width="20.109375" style="1" customWidth="1"/>
    <col min="2182" max="2182" width="11.6640625" style="1" customWidth="1"/>
    <col min="2183" max="2183" width="8.6640625" style="1" customWidth="1"/>
    <col min="2184" max="2184" width="8.5546875" style="1" customWidth="1"/>
    <col min="2185" max="2185" width="11.6640625" style="1" bestFit="1" customWidth="1"/>
    <col min="2186" max="2188" width="10.6640625" style="1" customWidth="1"/>
    <col min="2189" max="2189" width="8.5546875" style="1" customWidth="1"/>
    <col min="2190" max="2190" width="11.6640625" style="1" bestFit="1" customWidth="1"/>
    <col min="2191" max="2191" width="10.6640625" style="1" customWidth="1"/>
    <col min="2192" max="2192" width="9.6640625" style="1" customWidth="1"/>
    <col min="2193" max="2193" width="10.6640625" style="1" customWidth="1"/>
    <col min="2194" max="2194" width="8.5546875" style="1" customWidth="1"/>
    <col min="2195" max="2195" width="11.6640625" style="1" bestFit="1" customWidth="1"/>
    <col min="2196" max="2198" width="10.6640625" style="1" customWidth="1"/>
    <col min="2199" max="2199" width="8.5546875" style="1" customWidth="1"/>
    <col min="2200" max="2200" width="11.6640625" style="1" customWidth="1"/>
    <col min="2201" max="2203" width="10.6640625" style="1" customWidth="1"/>
    <col min="2204" max="2204" width="8.6640625" style="1" customWidth="1"/>
    <col min="2205" max="2206" width="11.6640625" style="1" bestFit="1" customWidth="1"/>
    <col min="2207" max="2207" width="9.6640625" style="1" customWidth="1"/>
    <col min="2208" max="2208" width="10.6640625" style="1" customWidth="1"/>
    <col min="2209" max="2209" width="8.5546875" style="1" customWidth="1"/>
    <col min="2210" max="2210" width="11.6640625" style="1" bestFit="1" customWidth="1"/>
    <col min="2211" max="2211" width="10.6640625" style="1" customWidth="1"/>
    <col min="2212" max="2212" width="9.6640625" style="1" customWidth="1"/>
    <col min="2213" max="2213" width="10.6640625" style="1" customWidth="1"/>
    <col min="2214" max="2214" width="8.6640625" style="1" customWidth="1"/>
    <col min="2215" max="2217" width="11.6640625" style="1" bestFit="1" customWidth="1"/>
    <col min="2218" max="2218" width="11.6640625" style="1" customWidth="1"/>
    <col min="2219" max="2219" width="8.6640625" style="1" customWidth="1"/>
    <col min="2220" max="2221" width="11.6640625" style="1" bestFit="1" customWidth="1"/>
    <col min="2222" max="2222" width="10.6640625" style="1" bestFit="1" customWidth="1"/>
    <col min="2223" max="2223" width="11.6640625" style="1" customWidth="1"/>
    <col min="2224" max="2224" width="8.6640625" style="1" customWidth="1"/>
    <col min="2225" max="2226" width="11.6640625" style="1" bestFit="1" customWidth="1"/>
    <col min="2227" max="2227" width="10.6640625" style="1" bestFit="1" customWidth="1"/>
    <col min="2228" max="2228" width="11.6640625" style="1" customWidth="1"/>
    <col min="2229" max="2229" width="8.6640625" style="1" customWidth="1"/>
    <col min="2230" max="2232" width="11.6640625" style="1" bestFit="1" customWidth="1"/>
    <col min="2233" max="2233" width="11.6640625" style="1" customWidth="1"/>
    <col min="2234" max="2234" width="8.5546875" style="1" customWidth="1"/>
    <col min="2235" max="2237" width="11.6640625" style="1" bestFit="1" customWidth="1"/>
    <col min="2238" max="2238" width="11.6640625" style="1" customWidth="1"/>
    <col min="2239" max="2241" width="11.6640625" style="1" bestFit="1" customWidth="1"/>
    <col min="2242" max="2242" width="16" style="1" bestFit="1" customWidth="1"/>
    <col min="2243" max="2243" width="20.109375" style="1" customWidth="1"/>
    <col min="2244" max="2244" width="17.6640625" style="1" bestFit="1" customWidth="1"/>
    <col min="2245" max="2245" width="20.109375" style="1" bestFit="1" customWidth="1"/>
    <col min="2246" max="2246" width="17.6640625" style="1" bestFit="1" customWidth="1"/>
    <col min="2247" max="2247" width="20.109375" style="1" bestFit="1" customWidth="1"/>
    <col min="2248" max="2248" width="16.5546875" style="1" customWidth="1"/>
    <col min="2249" max="2249" width="20.109375" style="1" bestFit="1" customWidth="1"/>
    <col min="2250" max="2250" width="16" style="1" bestFit="1" customWidth="1"/>
    <col min="2251" max="2251" width="20.109375" style="1" bestFit="1" customWidth="1"/>
    <col min="2252" max="2252" width="11.6640625" style="1" bestFit="1" customWidth="1"/>
    <col min="2253" max="2253" width="8.6640625" style="1" customWidth="1"/>
    <col min="2254" max="2255" width="11.6640625" style="1" bestFit="1" customWidth="1"/>
    <col min="2256" max="2256" width="10.6640625" style="1" bestFit="1" customWidth="1"/>
    <col min="2257" max="2257" width="11.6640625" style="1" bestFit="1" customWidth="1"/>
    <col min="2258" max="2258" width="8.6640625" style="1" customWidth="1"/>
    <col min="2259" max="2262" width="11.6640625" style="1" bestFit="1" customWidth="1"/>
    <col min="2263" max="2263" width="8.5546875" style="1" customWidth="1"/>
    <col min="2264" max="2271" width="11.6640625" style="1" bestFit="1" customWidth="1"/>
    <col min="2272" max="2272" width="16" style="1" bestFit="1" customWidth="1"/>
    <col min="2273" max="2273" width="20.109375" style="1" bestFit="1" customWidth="1"/>
    <col min="2274" max="2274" width="17.6640625" style="1" bestFit="1" customWidth="1"/>
    <col min="2275" max="2275" width="20.109375" style="1" bestFit="1" customWidth="1"/>
    <col min="2276" max="2276" width="17.6640625" style="1" bestFit="1" customWidth="1"/>
    <col min="2277" max="2277" width="20.109375" style="1" bestFit="1" customWidth="1"/>
    <col min="2278" max="2278" width="16.5546875" style="1" bestFit="1" customWidth="1"/>
    <col min="2279" max="2279" width="20.109375" style="1" bestFit="1" customWidth="1"/>
    <col min="2280" max="2280" width="16" style="1" bestFit="1" customWidth="1"/>
    <col min="2281" max="2281" width="20.109375" style="1" bestFit="1" customWidth="1"/>
    <col min="2282" max="16384" width="8.88671875" style="1"/>
  </cols>
  <sheetData>
    <row r="1" spans="1:2281" ht="15.6" x14ac:dyDescent="0.3">
      <c r="A1" s="3" t="s">
        <v>108</v>
      </c>
    </row>
    <row r="2" spans="1:2281" x14ac:dyDescent="0.25">
      <c r="A2" s="1" t="s">
        <v>234</v>
      </c>
    </row>
    <row r="3" spans="1:2281" ht="39.6" customHeight="1" x14ac:dyDescent="0.25">
      <c r="A3" s="175" t="s">
        <v>94</v>
      </c>
      <c r="B3" s="176" t="s">
        <v>96</v>
      </c>
      <c r="C3" s="177" t="s">
        <v>97</v>
      </c>
      <c r="D3" s="176" t="s">
        <v>102</v>
      </c>
      <c r="E3" s="177" t="s">
        <v>98</v>
      </c>
      <c r="F3" s="176" t="s">
        <v>103</v>
      </c>
      <c r="G3" s="177" t="s">
        <v>99</v>
      </c>
      <c r="H3" s="176" t="s">
        <v>104</v>
      </c>
      <c r="I3" s="177" t="s">
        <v>100</v>
      </c>
      <c r="J3" s="185" t="s">
        <v>172</v>
      </c>
      <c r="K3" s="185" t="s">
        <v>173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</row>
    <row r="4" spans="1:2281" x14ac:dyDescent="0.25">
      <c r="A4" s="178" t="s">
        <v>5</v>
      </c>
      <c r="B4" s="179"/>
      <c r="C4" s="180"/>
      <c r="D4" s="179">
        <v>0</v>
      </c>
      <c r="E4" s="180">
        <v>-12600</v>
      </c>
      <c r="F4" s="179">
        <v>79712</v>
      </c>
      <c r="G4" s="180">
        <v>-27099</v>
      </c>
      <c r="H4" s="179">
        <v>82103.360000000001</v>
      </c>
      <c r="I4" s="180">
        <v>-95503.37</v>
      </c>
      <c r="J4" s="181">
        <v>84566.460800000001</v>
      </c>
      <c r="K4" s="181">
        <v>-105169.37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</row>
    <row r="5" spans="1:2281" x14ac:dyDescent="0.25">
      <c r="A5" s="182" t="s">
        <v>11</v>
      </c>
      <c r="B5" s="179"/>
      <c r="C5" s="180">
        <v>97792</v>
      </c>
      <c r="D5" s="179">
        <v>210882.5</v>
      </c>
      <c r="E5" s="180">
        <v>753276</v>
      </c>
      <c r="F5" s="179">
        <v>583951.64</v>
      </c>
      <c r="G5" s="180">
        <v>1351767.9</v>
      </c>
      <c r="H5" s="179">
        <v>474352.04000000004</v>
      </c>
      <c r="I5" s="180">
        <v>1521662</v>
      </c>
      <c r="J5" s="181">
        <v>433303.80120000005</v>
      </c>
      <c r="K5" s="181">
        <v>1522105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</row>
    <row r="6" spans="1:2281" x14ac:dyDescent="0.25">
      <c r="A6" s="182" t="s">
        <v>26</v>
      </c>
      <c r="B6" s="179">
        <v>-77975</v>
      </c>
      <c r="C6" s="180">
        <v>0</v>
      </c>
      <c r="D6" s="179">
        <v>52674</v>
      </c>
      <c r="E6" s="180"/>
      <c r="F6" s="179">
        <v>-378638</v>
      </c>
      <c r="G6" s="180">
        <v>-15133.679999999993</v>
      </c>
      <c r="H6" s="179">
        <v>-883448</v>
      </c>
      <c r="I6" s="180">
        <v>-368280</v>
      </c>
      <c r="J6" s="181">
        <v>-3220954.5305086747</v>
      </c>
      <c r="K6" s="181">
        <v>-1002225.6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</row>
    <row r="7" spans="1:2281" x14ac:dyDescent="0.25">
      <c r="A7" s="183" t="s">
        <v>38</v>
      </c>
      <c r="B7" s="179"/>
      <c r="C7" s="180"/>
      <c r="D7" s="179">
        <v>222856.57499999998</v>
      </c>
      <c r="E7" s="180"/>
      <c r="F7" s="179">
        <v>255731.24440000003</v>
      </c>
      <c r="G7" s="180"/>
      <c r="H7" s="179">
        <v>-132324.74600000004</v>
      </c>
      <c r="I7" s="180"/>
      <c r="J7" s="181">
        <v>-1625912.3834004649</v>
      </c>
      <c r="K7" s="181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</row>
    <row r="8" spans="1:2281" x14ac:dyDescent="0.25">
      <c r="A8" s="184" t="s">
        <v>95</v>
      </c>
      <c r="B8" s="179">
        <v>-77975</v>
      </c>
      <c r="C8" s="180">
        <v>97792</v>
      </c>
      <c r="D8" s="179">
        <v>486413.07499999995</v>
      </c>
      <c r="E8" s="180">
        <v>740676</v>
      </c>
      <c r="F8" s="179">
        <v>540756.8844000001</v>
      </c>
      <c r="G8" s="180">
        <v>1309535.22</v>
      </c>
      <c r="H8" s="179">
        <v>-459317.34600000002</v>
      </c>
      <c r="I8" s="180">
        <v>1057878.6299999999</v>
      </c>
      <c r="J8" s="181">
        <v>-4328996.651909139</v>
      </c>
      <c r="K8" s="181">
        <v>414710.02999999991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</row>
    <row r="9" spans="1:2281" ht="39.6" x14ac:dyDescent="0.25">
      <c r="A9" s="172" t="s">
        <v>306</v>
      </c>
      <c r="B9" s="173">
        <f>GETPIVOTDATA(" 2017 Labor",$A$3)</f>
        <v>-77975</v>
      </c>
      <c r="C9" s="173">
        <f>GETPIVOTDATA(" 2017 Non Labor",$A$3)</f>
        <v>97792</v>
      </c>
      <c r="D9" s="173">
        <f>GETPIVOTDATA("  2018 Labor  ",$A$3)-GETPIVOTDATA(" 2017 Labor",$A$3)</f>
        <v>564388.07499999995</v>
      </c>
      <c r="E9" s="173">
        <f>GETPIVOTDATA(" 2018 Non Labor",$A$3)-GETPIVOTDATA(" 2017 Non Labor",$A$3)</f>
        <v>642884</v>
      </c>
      <c r="F9" s="173">
        <f>GETPIVOTDATA("  2019 Labor  ",$A$3)-GETPIVOTDATA("  2018 Labor  ",$A$3)</f>
        <v>54343.809400000144</v>
      </c>
      <c r="G9" s="173">
        <f>GETPIVOTDATA(" 2019 Non Labor",$A$3)-GETPIVOTDATA(" 2018 Non Labor",$A$3)</f>
        <v>568859.22</v>
      </c>
      <c r="H9" s="173">
        <f>GETPIVOTDATA("  2020 Labor",$A$3)-GETPIVOTDATA("  2019 Labor  ",$A$3)</f>
        <v>-1000074.2304000001</v>
      </c>
      <c r="I9" s="173">
        <f>GETPIVOTDATA(" 2020 Non Labor",$A$3)-GETPIVOTDATA(" 2019 Non Labor",$A$3)</f>
        <v>-251656.59000000008</v>
      </c>
      <c r="J9" s="173">
        <f>GETPIVOTDATA(" 2021 Labor",$A$3)-GETPIVOTDATA("  2020 Labor",$A$3)</f>
        <v>-3869679.3059091391</v>
      </c>
      <c r="K9" s="173">
        <f>GETPIVOTDATA(" 2021 Non Labor",$A$3)-GETPIVOTDATA(" 2020 Non Labor",$A$3)</f>
        <v>-643168.6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</row>
    <row r="10" spans="1:228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</row>
    <row r="11" spans="1:228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</row>
    <row r="12" spans="1:228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</row>
    <row r="13" spans="1:228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</row>
    <row r="14" spans="1:228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</row>
    <row r="15" spans="1:228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</row>
    <row r="16" spans="1:228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</row>
    <row r="17" spans="1:228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</row>
    <row r="18" spans="1:228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</row>
    <row r="19" spans="1:228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</row>
    <row r="20" spans="1:228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228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2281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2281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228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2281" x14ac:dyDescent="0.25">
      <c r="A25"/>
      <c r="B25"/>
      <c r="C25"/>
      <c r="D25"/>
      <c r="E25"/>
      <c r="F25"/>
      <c r="G25"/>
      <c r="H25"/>
      <c r="I25"/>
      <c r="J25"/>
      <c r="K25"/>
    </row>
    <row r="26" spans="1:2281" x14ac:dyDescent="0.25">
      <c r="A26"/>
      <c r="B26"/>
      <c r="C26"/>
      <c r="D26"/>
      <c r="E26"/>
      <c r="F26"/>
      <c r="G26"/>
      <c r="H26"/>
      <c r="I26"/>
      <c r="J26"/>
      <c r="K26"/>
    </row>
    <row r="27" spans="1:2281" x14ac:dyDescent="0.25">
      <c r="A27"/>
      <c r="B27"/>
      <c r="C27"/>
      <c r="D27"/>
      <c r="E27"/>
      <c r="F27"/>
      <c r="G27"/>
      <c r="H27"/>
      <c r="I27"/>
      <c r="J27"/>
      <c r="K27"/>
    </row>
    <row r="28" spans="1:2281" x14ac:dyDescent="0.25">
      <c r="A28"/>
      <c r="B28"/>
      <c r="C28"/>
      <c r="D28"/>
      <c r="E28"/>
      <c r="F28"/>
      <c r="G28"/>
      <c r="H28"/>
      <c r="I28"/>
      <c r="J28"/>
      <c r="K28"/>
    </row>
    <row r="29" spans="1:2281" x14ac:dyDescent="0.25">
      <c r="A29"/>
      <c r="B29"/>
      <c r="C29"/>
      <c r="D29"/>
      <c r="E29"/>
      <c r="F29"/>
      <c r="G29"/>
      <c r="H29"/>
      <c r="I29"/>
      <c r="J29"/>
      <c r="K29"/>
    </row>
    <row r="30" spans="1:2281" x14ac:dyDescent="0.25">
      <c r="A30"/>
      <c r="B30"/>
      <c r="C30"/>
      <c r="D30"/>
      <c r="E30"/>
      <c r="F30"/>
      <c r="G30"/>
      <c r="H30"/>
      <c r="I30"/>
      <c r="J30"/>
      <c r="K30"/>
    </row>
    <row r="31" spans="1:2281" x14ac:dyDescent="0.25">
      <c r="A31"/>
      <c r="B31"/>
      <c r="C31"/>
      <c r="D31"/>
      <c r="E31"/>
      <c r="F31"/>
      <c r="G31"/>
      <c r="H31"/>
      <c r="I31"/>
      <c r="J31"/>
      <c r="K31"/>
    </row>
    <row r="32" spans="1:228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</sheetData>
  <printOptions horizontalCentered="1"/>
  <pageMargins left="0.7" right="0.7" top="0.75" bottom="0.75" header="0.3" footer="0.3"/>
  <pageSetup scale="99" orientation="landscape" r:id="rId2"/>
  <headerFooter>
    <oddFooter>&amp;R&amp;F;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BEF6A-7493-440C-8840-B6214F8F9959}">
  <sheetPr>
    <tabColor theme="1"/>
  </sheetPr>
  <dimension ref="A1:AA101"/>
  <sheetViews>
    <sheetView tabSelected="1" view="pageBreakPreview" zoomScale="60" zoomScaleNormal="50" workbookViewId="0">
      <pane ySplit="1" topLeftCell="A2" activePane="bottomLeft" state="frozen"/>
      <selection pane="bottomLeft" activeCell="B58" sqref="B58"/>
    </sheetView>
  </sheetViews>
  <sheetFormatPr defaultRowHeight="13.2" x14ac:dyDescent="0.25"/>
  <cols>
    <col min="1" max="1" width="28.44140625" bestFit="1" customWidth="1"/>
    <col min="2" max="2" width="17.109375" customWidth="1"/>
    <col min="3" max="4" width="15.5546875" bestFit="1" customWidth="1"/>
    <col min="5" max="5" width="14.44140625" customWidth="1"/>
    <col min="6" max="6" width="13" customWidth="1"/>
    <col min="7" max="7" width="13" style="274" customWidth="1"/>
    <col min="8" max="8" width="12.5546875" style="274" bestFit="1" customWidth="1"/>
    <col min="9" max="9" width="14" style="274" customWidth="1"/>
    <col min="10" max="10" width="14.21875" style="274" customWidth="1"/>
    <col min="11" max="11" width="13" style="274" customWidth="1"/>
    <col min="12" max="14" width="12" style="274" customWidth="1"/>
    <col min="15" max="15" width="12.5546875" style="274" bestFit="1" customWidth="1"/>
    <col min="16" max="19" width="12" style="274" customWidth="1"/>
    <col min="20" max="20" width="12.5546875" style="274" bestFit="1" customWidth="1"/>
    <col min="21" max="24" width="12" style="274" customWidth="1"/>
    <col min="25" max="26" width="12.5546875" style="274" bestFit="1" customWidth="1"/>
    <col min="27" max="27" width="15.21875" style="274" customWidth="1"/>
  </cols>
  <sheetData>
    <row r="1" spans="1:27" x14ac:dyDescent="0.25">
      <c r="C1" t="s">
        <v>336</v>
      </c>
      <c r="D1" t="s">
        <v>335</v>
      </c>
      <c r="E1" s="70">
        <v>2015</v>
      </c>
      <c r="F1" s="70">
        <v>2016</v>
      </c>
      <c r="G1" s="70">
        <v>2017</v>
      </c>
      <c r="H1" s="70">
        <v>2018</v>
      </c>
      <c r="I1" s="70">
        <v>2019</v>
      </c>
      <c r="J1" s="70">
        <v>2020</v>
      </c>
      <c r="K1" s="70">
        <v>2021</v>
      </c>
      <c r="L1" s="70">
        <v>2022</v>
      </c>
      <c r="M1" s="70">
        <v>2023</v>
      </c>
      <c r="N1" s="70">
        <v>2024</v>
      </c>
      <c r="O1" s="70">
        <v>2025</v>
      </c>
      <c r="P1" s="70">
        <v>2026</v>
      </c>
      <c r="Q1" s="70">
        <v>2027</v>
      </c>
      <c r="R1" s="70">
        <v>2028</v>
      </c>
      <c r="S1" s="70">
        <v>2029</v>
      </c>
      <c r="T1" s="70">
        <v>2030</v>
      </c>
      <c r="U1" s="70">
        <v>2031</v>
      </c>
      <c r="V1" s="70">
        <v>2032</v>
      </c>
      <c r="W1" s="70">
        <v>2033</v>
      </c>
      <c r="X1" s="70">
        <v>2034</v>
      </c>
      <c r="Y1" s="70">
        <v>2035</v>
      </c>
      <c r="Z1" s="70">
        <v>2036</v>
      </c>
      <c r="AA1" s="70">
        <v>2037</v>
      </c>
    </row>
    <row r="2" spans="1:27" x14ac:dyDescent="0.25">
      <c r="A2" s="280" t="s">
        <v>339</v>
      </c>
      <c r="B2" t="s">
        <v>329</v>
      </c>
      <c r="C2" s="281">
        <f>(NPV($B$17,F2:AA2)+E2)*0.5655</f>
        <v>4033996.3678145963</v>
      </c>
      <c r="D2" s="281">
        <f>SUM(E2:AA2)*0.56655</f>
        <v>8572396.6464830078</v>
      </c>
      <c r="E2" s="275">
        <v>0</v>
      </c>
      <c r="F2" s="275">
        <v>0</v>
      </c>
      <c r="G2" s="275">
        <f>'MDM - O&amp;M Detail by Year'!H61</f>
        <v>102326</v>
      </c>
      <c r="H2" s="275">
        <f>'MDM - O&amp;M Detail by Year'!J61</f>
        <v>648120.74</v>
      </c>
      <c r="I2" s="275">
        <f>'MDM - O&amp;M Detail by Year'!L61</f>
        <v>822899.22439999995</v>
      </c>
      <c r="J2" s="275">
        <f>'MDM - O&amp;M Detail by Year'!N61</f>
        <v>589157.20400000003</v>
      </c>
      <c r="K2" s="275">
        <f>'MDM - O&amp;M Detail by Year'!P61</f>
        <v>595929.44011999993</v>
      </c>
      <c r="L2" s="275">
        <f t="shared" ref="L2:AA2" si="0">K2*(1+$B$16)</f>
        <v>613807.32332359999</v>
      </c>
      <c r="M2" s="275">
        <f t="shared" si="0"/>
        <v>632221.54302330804</v>
      </c>
      <c r="N2" s="275">
        <f t="shared" si="0"/>
        <v>651188.18931400729</v>
      </c>
      <c r="O2" s="275">
        <f t="shared" si="0"/>
        <v>670723.8349934275</v>
      </c>
      <c r="P2" s="275">
        <f t="shared" si="0"/>
        <v>690845.55004323029</v>
      </c>
      <c r="Q2" s="275">
        <f t="shared" si="0"/>
        <v>711570.91654452716</v>
      </c>
      <c r="R2" s="275">
        <f t="shared" si="0"/>
        <v>732918.04404086305</v>
      </c>
      <c r="S2" s="275">
        <f t="shared" si="0"/>
        <v>754905.58536208898</v>
      </c>
      <c r="T2" s="275">
        <f t="shared" si="0"/>
        <v>777552.75292295171</v>
      </c>
      <c r="U2" s="275">
        <f t="shared" si="0"/>
        <v>800879.33551064029</v>
      </c>
      <c r="V2" s="275">
        <f t="shared" si="0"/>
        <v>824905.71557595953</v>
      </c>
      <c r="W2" s="275">
        <f t="shared" si="0"/>
        <v>849652.88704323838</v>
      </c>
      <c r="X2" s="275">
        <f t="shared" si="0"/>
        <v>875142.4736545356</v>
      </c>
      <c r="Y2" s="275">
        <f t="shared" si="0"/>
        <v>901396.74786417175</v>
      </c>
      <c r="Z2" s="275">
        <f t="shared" si="0"/>
        <v>928438.65030009695</v>
      </c>
      <c r="AA2" s="275">
        <f t="shared" si="0"/>
        <v>956291.80980909988</v>
      </c>
    </row>
    <row r="3" spans="1:27" x14ac:dyDescent="0.25">
      <c r="A3" s="280" t="s">
        <v>340</v>
      </c>
      <c r="B3" t="s">
        <v>330</v>
      </c>
      <c r="C3" s="281">
        <f>(NPV($B$17,F3:AA3)+E3)*0.5655</f>
        <v>16940336.150662597</v>
      </c>
      <c r="D3" s="281">
        <f>SUM(E3:AA3)*0.56655</f>
        <v>18677372.011852503</v>
      </c>
      <c r="E3" s="275">
        <f>'MDM - Capital Detail By Year'!B2</f>
        <v>282296.48</v>
      </c>
      <c r="F3" s="275">
        <f>'MDM - Capital Detail By Year'!C2</f>
        <v>14712161.480000002</v>
      </c>
      <c r="G3" s="275">
        <f>'MDM - Capital Detail By Year'!D2</f>
        <v>17679646.239999998</v>
      </c>
      <c r="H3" s="275">
        <f>'MDM - Capital Detail By Year'!E2</f>
        <v>292751.34999999992</v>
      </c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</row>
    <row r="4" spans="1:27" x14ac:dyDescent="0.25">
      <c r="A4" t="s">
        <v>325</v>
      </c>
      <c r="B4" t="s">
        <v>329</v>
      </c>
      <c r="C4" s="43">
        <f t="shared" ref="C4:C9" si="1">NPV($B$17,F4:AA4)+E4</f>
        <v>11310045.695147032</v>
      </c>
      <c r="D4" s="43">
        <f t="shared" ref="D4:D13" si="2">SUM(E4:AA4)</f>
        <v>25454972.075656746</v>
      </c>
      <c r="E4" s="275">
        <v>0</v>
      </c>
      <c r="F4" s="275">
        <v>0</v>
      </c>
      <c r="G4" s="274">
        <v>0</v>
      </c>
      <c r="H4" s="275">
        <f>'HES - O&amp;M Detail by Year'!J61</f>
        <v>285058.53500000003</v>
      </c>
      <c r="I4" s="275">
        <f>'HES - O&amp;M Detail by Year'!L61</f>
        <v>687083.48</v>
      </c>
      <c r="J4" s="275">
        <f>'HES - O&amp;M Detail by Year'!N61</f>
        <v>898668.38840000005</v>
      </c>
      <c r="K4" s="275">
        <f>'HES - O&amp;M Detail by Year'!P61</f>
        <v>1083751.8820519999</v>
      </c>
      <c r="L4" s="275">
        <f t="shared" ref="L4:AA4" si="3">K4*(1+$B$16)</f>
        <v>1116264.43851356</v>
      </c>
      <c r="M4" s="275">
        <f t="shared" si="3"/>
        <v>1149752.3716689667</v>
      </c>
      <c r="N4" s="275">
        <f t="shared" si="3"/>
        <v>1184244.9428190358</v>
      </c>
      <c r="O4" s="275">
        <f t="shared" si="3"/>
        <v>1219772.291103607</v>
      </c>
      <c r="P4" s="275">
        <f t="shared" si="3"/>
        <v>1256365.4598367154</v>
      </c>
      <c r="Q4" s="275">
        <f t="shared" si="3"/>
        <v>1294056.4236318169</v>
      </c>
      <c r="R4" s="275">
        <f t="shared" si="3"/>
        <v>1332878.1163407713</v>
      </c>
      <c r="S4" s="275">
        <f t="shared" si="3"/>
        <v>1372864.4598309945</v>
      </c>
      <c r="T4" s="275">
        <f t="shared" si="3"/>
        <v>1414050.3936259244</v>
      </c>
      <c r="U4" s="275">
        <f t="shared" si="3"/>
        <v>1456471.9054347021</v>
      </c>
      <c r="V4" s="275">
        <f t="shared" si="3"/>
        <v>1500166.0625977432</v>
      </c>
      <c r="W4" s="275">
        <f t="shared" si="3"/>
        <v>1545171.0444756756</v>
      </c>
      <c r="X4" s="275">
        <f t="shared" si="3"/>
        <v>1591526.1758099459</v>
      </c>
      <c r="Y4" s="275">
        <f t="shared" si="3"/>
        <v>1639271.9610842443</v>
      </c>
      <c r="Z4" s="275">
        <f t="shared" si="3"/>
        <v>1688450.1199167718</v>
      </c>
      <c r="AA4" s="275">
        <f t="shared" si="3"/>
        <v>1739103.6235142751</v>
      </c>
    </row>
    <row r="5" spans="1:27" x14ac:dyDescent="0.25">
      <c r="A5" t="s">
        <v>325</v>
      </c>
      <c r="B5" t="s">
        <v>330</v>
      </c>
      <c r="C5" s="43">
        <f t="shared" si="1"/>
        <v>19582649.404950976</v>
      </c>
      <c r="D5" s="43">
        <f t="shared" si="2"/>
        <v>24285807.730000004</v>
      </c>
      <c r="E5" s="275">
        <f>'HES - Capital Detail By Year'!B8</f>
        <v>0</v>
      </c>
      <c r="F5" s="275">
        <f>'HES - Capital Detail By Year'!C8</f>
        <v>89280.23</v>
      </c>
      <c r="G5" s="275">
        <f>'HES - Capital Detail By Year'!D8</f>
        <v>2633450.7800000007</v>
      </c>
      <c r="H5" s="275">
        <f>'HES - Capital Detail By Year'!E8</f>
        <v>9415840.4200000018</v>
      </c>
      <c r="I5" s="275">
        <f>'HES - Capital Detail By Year'!F8</f>
        <v>10025385.380000001</v>
      </c>
      <c r="J5" s="275">
        <f>'HES - Capital Detail By Year'!G8</f>
        <v>2038950.92</v>
      </c>
      <c r="K5" s="275">
        <f>'HES - Capital Detail By Year'!H8</f>
        <v>82900</v>
      </c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</row>
    <row r="6" spans="1:27" x14ac:dyDescent="0.25">
      <c r="A6" t="s">
        <v>326</v>
      </c>
      <c r="B6" t="s">
        <v>329</v>
      </c>
      <c r="C6" s="43">
        <f t="shared" si="1"/>
        <v>8013026.3125725081</v>
      </c>
      <c r="D6" s="43">
        <f t="shared" si="2"/>
        <v>17772459.131934453</v>
      </c>
      <c r="E6" s="275">
        <v>0</v>
      </c>
      <c r="F6" s="275">
        <v>0</v>
      </c>
      <c r="G6" s="274">
        <v>0</v>
      </c>
      <c r="H6" s="275">
        <f>'CI - O&amp;M Detail by Year'!J61</f>
        <v>236983.8</v>
      </c>
      <c r="I6" s="275">
        <f>'CI - O&amp;M Detail by Year'!L61</f>
        <v>668791.6</v>
      </c>
      <c r="J6" s="275">
        <f>'CI - O&amp;M Detail by Year'!N61</f>
        <v>731819.60000000009</v>
      </c>
      <c r="K6" s="275">
        <f>'CI - O&amp;M Detail by Year'!P61</f>
        <v>741437.81799999997</v>
      </c>
      <c r="L6" s="275">
        <f t="shared" ref="L6:AA6" si="4">K6*(1+$B$16)</f>
        <v>763680.95253999997</v>
      </c>
      <c r="M6" s="275">
        <f t="shared" si="4"/>
        <v>786591.38111620001</v>
      </c>
      <c r="N6" s="275">
        <f t="shared" si="4"/>
        <v>810189.122549686</v>
      </c>
      <c r="O6" s="275">
        <f t="shared" si="4"/>
        <v>834494.79622617655</v>
      </c>
      <c r="P6" s="275">
        <f t="shared" si="4"/>
        <v>859529.64011296188</v>
      </c>
      <c r="Q6" s="275">
        <f t="shared" si="4"/>
        <v>885315.5293163507</v>
      </c>
      <c r="R6" s="275">
        <f t="shared" si="4"/>
        <v>911874.9951958413</v>
      </c>
      <c r="S6" s="275">
        <f t="shared" si="4"/>
        <v>939231.24505171657</v>
      </c>
      <c r="T6" s="275">
        <f t="shared" si="4"/>
        <v>967408.18240326806</v>
      </c>
      <c r="U6" s="275">
        <f t="shared" si="4"/>
        <v>996430.42787536618</v>
      </c>
      <c r="V6" s="275">
        <f t="shared" si="4"/>
        <v>1026323.3407116272</v>
      </c>
      <c r="W6" s="275">
        <f t="shared" si="4"/>
        <v>1057113.0409329759</v>
      </c>
      <c r="X6" s="275">
        <f t="shared" si="4"/>
        <v>1088826.4321609652</v>
      </c>
      <c r="Y6" s="275">
        <f t="shared" si="4"/>
        <v>1121491.2251257941</v>
      </c>
      <c r="Z6" s="275">
        <f t="shared" si="4"/>
        <v>1155135.9618795679</v>
      </c>
      <c r="AA6" s="275">
        <f t="shared" si="4"/>
        <v>1189790.0407359551</v>
      </c>
    </row>
    <row r="7" spans="1:27" x14ac:dyDescent="0.25">
      <c r="A7" t="s">
        <v>326</v>
      </c>
      <c r="B7" t="s">
        <v>330</v>
      </c>
      <c r="C7" s="43">
        <f t="shared" si="1"/>
        <v>8609292.1353560593</v>
      </c>
      <c r="D7" s="43">
        <f t="shared" si="2"/>
        <v>11010509.457998987</v>
      </c>
      <c r="E7" s="275">
        <f>'CI - Capital Detail By Year'!B2</f>
        <v>5526.46</v>
      </c>
      <c r="F7" s="275">
        <f>'CI - Capital Detail By Year'!C2</f>
        <v>654197.6399999999</v>
      </c>
      <c r="G7" s="275">
        <f>'CI - Capital Detail By Year'!D2</f>
        <v>752903.19</v>
      </c>
      <c r="H7" s="275">
        <f>'CI - Capital Detail By Year'!E2</f>
        <v>1828799.4750000003</v>
      </c>
      <c r="I7" s="275">
        <f>'CI - Capital Detail By Year'!F2</f>
        <v>3250455.9600000004</v>
      </c>
      <c r="J7" s="275">
        <f>'CI - Capital Detail By Year'!G2</f>
        <v>3732648.6979214512</v>
      </c>
      <c r="K7" s="275">
        <f>'CI - Capital Detail By Year'!H2</f>
        <v>785978.03507753368</v>
      </c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</row>
    <row r="8" spans="1:27" x14ac:dyDescent="0.25">
      <c r="A8" t="s">
        <v>327</v>
      </c>
      <c r="B8" t="s">
        <v>329</v>
      </c>
      <c r="C8" s="43">
        <f t="shared" si="1"/>
        <v>3490301.2065425036</v>
      </c>
      <c r="D8" s="43">
        <f t="shared" si="2"/>
        <v>7038507.0858924566</v>
      </c>
      <c r="E8" s="275">
        <v>0</v>
      </c>
      <c r="F8" s="275">
        <v>0</v>
      </c>
      <c r="G8" s="275">
        <v>0</v>
      </c>
      <c r="I8" s="275">
        <f>'Meter Dep - O&amp;M Detail by Year'!K61</f>
        <v>487314.03419999999</v>
      </c>
      <c r="J8" s="275">
        <f>'Meter Dep - O&amp;M Detail by Year'!M61</f>
        <v>495183.45522600005</v>
      </c>
      <c r="K8" s="275">
        <f>'Meter Dep - O&amp;M Detail by Year'!O61</f>
        <v>278288.95888277999</v>
      </c>
      <c r="L8" s="275">
        <f t="shared" ref="L8:AA8" si="5">K8*(1+$B$16)</f>
        <v>286637.62764926342</v>
      </c>
      <c r="M8" s="275">
        <f t="shared" si="5"/>
        <v>295236.75647874136</v>
      </c>
      <c r="N8" s="275">
        <f t="shared" si="5"/>
        <v>304093.85917310358</v>
      </c>
      <c r="O8" s="275">
        <f t="shared" si="5"/>
        <v>313216.67494829668</v>
      </c>
      <c r="P8" s="275">
        <f t="shared" si="5"/>
        <v>322613.17519674561</v>
      </c>
      <c r="Q8" s="275">
        <f t="shared" si="5"/>
        <v>332291.57045264798</v>
      </c>
      <c r="R8" s="275">
        <f t="shared" si="5"/>
        <v>342260.31756622746</v>
      </c>
      <c r="S8" s="275">
        <f t="shared" si="5"/>
        <v>352528.12709321431</v>
      </c>
      <c r="T8" s="275">
        <f t="shared" si="5"/>
        <v>363103.97090601077</v>
      </c>
      <c r="U8" s="275">
        <f t="shared" si="5"/>
        <v>373997.09003319108</v>
      </c>
      <c r="V8" s="275">
        <f t="shared" si="5"/>
        <v>385217.00273418683</v>
      </c>
      <c r="W8" s="275">
        <f t="shared" si="5"/>
        <v>396773.51281621243</v>
      </c>
      <c r="X8" s="275">
        <f t="shared" si="5"/>
        <v>408676.71820069879</v>
      </c>
      <c r="Y8" s="275">
        <f t="shared" si="5"/>
        <v>420937.01974671974</v>
      </c>
      <c r="Z8" s="275">
        <f t="shared" si="5"/>
        <v>433565.13033912133</v>
      </c>
      <c r="AA8" s="275">
        <f t="shared" si="5"/>
        <v>446572.084249295</v>
      </c>
    </row>
    <row r="9" spans="1:27" x14ac:dyDescent="0.25">
      <c r="A9" t="s">
        <v>327</v>
      </c>
      <c r="B9" t="s">
        <v>330</v>
      </c>
      <c r="C9" s="43">
        <f t="shared" si="1"/>
        <v>65640911.902517639</v>
      </c>
      <c r="D9" s="43">
        <f t="shared" si="2"/>
        <v>85343608.375570223</v>
      </c>
      <c r="E9" s="275">
        <f>'Meter - Capital Detail By Year'!B2</f>
        <v>328100.39999999997</v>
      </c>
      <c r="F9" s="275">
        <f>'Meter - Capital Detail By Year'!C2</f>
        <v>374671.49300000002</v>
      </c>
      <c r="G9" s="275">
        <f>'Meter - Capital Detail By Year'!D2</f>
        <v>839877.15000000014</v>
      </c>
      <c r="H9" s="275">
        <f>'Meter - Capital Detail By Year'!E2</f>
        <v>9161928.1600000001</v>
      </c>
      <c r="I9" s="275">
        <f>'Meter - Capital Detail By Year'!F2</f>
        <v>43843094.739999995</v>
      </c>
      <c r="J9" s="275">
        <f>'Meter - Capital Detail By Year'!G2</f>
        <v>28496488.300245259</v>
      </c>
      <c r="K9" s="275">
        <f>'Meter - Capital Detail By Year'!H2</f>
        <v>2299448.1323249619</v>
      </c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</row>
    <row r="10" spans="1:27" x14ac:dyDescent="0.25">
      <c r="A10" t="s">
        <v>328</v>
      </c>
      <c r="B10" t="s">
        <v>329</v>
      </c>
      <c r="C10" s="43">
        <f t="shared" ref="C10:C12" si="6">NPV($B$17,F10:AA10)+E10</f>
        <v>5701098.6684300993</v>
      </c>
      <c r="D10" s="43">
        <f t="shared" si="2"/>
        <v>13138243.690837234</v>
      </c>
      <c r="E10" s="275">
        <v>0</v>
      </c>
      <c r="F10" s="275">
        <v>0</v>
      </c>
      <c r="G10" s="275">
        <v>0</v>
      </c>
      <c r="H10" s="275">
        <v>30000</v>
      </c>
      <c r="I10" s="275">
        <v>388630</v>
      </c>
      <c r="J10" s="275">
        <v>343325</v>
      </c>
      <c r="K10" s="275">
        <v>345966.94999999995</v>
      </c>
      <c r="L10" s="275">
        <v>596834.47849999997</v>
      </c>
      <c r="M10" s="275">
        <v>614739.51285499998</v>
      </c>
      <c r="N10" s="275">
        <v>633181.69824065</v>
      </c>
      <c r="O10" s="275">
        <v>652177.14918786963</v>
      </c>
      <c r="P10" s="275">
        <v>671742.46366350574</v>
      </c>
      <c r="Q10" s="275">
        <v>691894.73757341097</v>
      </c>
      <c r="R10" s="275">
        <v>712651.57970061328</v>
      </c>
      <c r="S10" s="275">
        <v>734031.12709163176</v>
      </c>
      <c r="T10" s="275">
        <v>756052.06090438063</v>
      </c>
      <c r="U10" s="275">
        <v>778733.62273151218</v>
      </c>
      <c r="V10" s="275">
        <v>802095.63141345745</v>
      </c>
      <c r="W10" s="275">
        <v>826158.50035586127</v>
      </c>
      <c r="X10" s="275">
        <v>850943.25536653702</v>
      </c>
      <c r="Y10" s="275">
        <v>876471.55302753323</v>
      </c>
      <c r="Z10" s="275">
        <v>902765.69961835933</v>
      </c>
      <c r="AA10" s="275">
        <v>929848.67060691002</v>
      </c>
    </row>
    <row r="11" spans="1:27" x14ac:dyDescent="0.25">
      <c r="A11" t="s">
        <v>328</v>
      </c>
      <c r="B11" t="s">
        <v>330</v>
      </c>
      <c r="C11" s="43">
        <f t="shared" si="6"/>
        <v>1716900.393255753</v>
      </c>
      <c r="D11" s="43">
        <f>SUM(E11:AA11)</f>
        <v>2243665</v>
      </c>
      <c r="E11" s="275">
        <v>0</v>
      </c>
      <c r="F11" s="275">
        <v>0</v>
      </c>
      <c r="G11" s="275">
        <f>56708+96316</f>
        <v>153024</v>
      </c>
      <c r="H11" s="275">
        <f>117342+278636</f>
        <v>395978</v>
      </c>
      <c r="I11" s="275">
        <f>94812+542287</f>
        <v>637099</v>
      </c>
      <c r="J11" s="275">
        <f>17375+641854</f>
        <v>659229</v>
      </c>
      <c r="K11" s="275">
        <v>398335</v>
      </c>
      <c r="L11" s="275">
        <v>0</v>
      </c>
      <c r="M11" s="275">
        <v>0</v>
      </c>
      <c r="N11" s="275">
        <v>0</v>
      </c>
      <c r="O11" s="275">
        <v>0</v>
      </c>
      <c r="P11" s="275">
        <v>0</v>
      </c>
      <c r="Q11" s="275">
        <v>0</v>
      </c>
      <c r="R11" s="275">
        <v>0</v>
      </c>
      <c r="S11" s="275">
        <v>0</v>
      </c>
      <c r="T11" s="275">
        <v>0</v>
      </c>
      <c r="U11" s="275">
        <v>0</v>
      </c>
      <c r="V11" s="275">
        <v>0</v>
      </c>
      <c r="W11" s="275">
        <v>0</v>
      </c>
      <c r="X11" s="275">
        <v>0</v>
      </c>
      <c r="Y11" s="275">
        <v>0</v>
      </c>
      <c r="Z11" s="275">
        <v>0</v>
      </c>
      <c r="AA11" s="275">
        <v>0</v>
      </c>
    </row>
    <row r="12" spans="1:27" x14ac:dyDescent="0.25">
      <c r="A12" t="s">
        <v>341</v>
      </c>
      <c r="B12" t="s">
        <v>343</v>
      </c>
      <c r="C12" s="43">
        <f t="shared" si="6"/>
        <v>1716347.4896188444</v>
      </c>
      <c r="D12" s="43">
        <f t="shared" si="2"/>
        <v>3305348.3006935208</v>
      </c>
      <c r="E12" s="275">
        <v>0</v>
      </c>
      <c r="F12" s="275">
        <v>0</v>
      </c>
      <c r="G12" s="275">
        <v>38216</v>
      </c>
      <c r="H12" s="275">
        <v>100952</v>
      </c>
      <c r="I12" s="275">
        <v>286484</v>
      </c>
      <c r="J12" s="275">
        <v>339484</v>
      </c>
      <c r="K12" s="275">
        <v>339484</v>
      </c>
      <c r="L12" s="275">
        <v>109180</v>
      </c>
      <c r="M12" s="275">
        <v>112455.40000000001</v>
      </c>
      <c r="N12" s="275">
        <v>115829.06200000001</v>
      </c>
      <c r="O12" s="275">
        <v>119303.93386</v>
      </c>
      <c r="P12" s="275">
        <v>122883.05187580001</v>
      </c>
      <c r="Q12" s="275">
        <v>126569.54343207402</v>
      </c>
      <c r="R12" s="275">
        <v>130366.62973503624</v>
      </c>
      <c r="S12" s="275">
        <v>134277.62862708734</v>
      </c>
      <c r="T12" s="275">
        <v>138305.95748589997</v>
      </c>
      <c r="U12" s="275">
        <v>142455.13621047698</v>
      </c>
      <c r="V12" s="275">
        <v>146728.7902967913</v>
      </c>
      <c r="W12" s="275">
        <v>151130.65400569505</v>
      </c>
      <c r="X12" s="275">
        <v>155664.57362586592</v>
      </c>
      <c r="Y12" s="275">
        <v>160334.5108346419</v>
      </c>
      <c r="Z12" s="275">
        <v>165144.54615968117</v>
      </c>
      <c r="AA12" s="275">
        <v>170098.88254447159</v>
      </c>
    </row>
    <row r="13" spans="1:27" x14ac:dyDescent="0.25">
      <c r="A13" t="s">
        <v>341</v>
      </c>
      <c r="B13" t="s">
        <v>342</v>
      </c>
      <c r="C13" s="43">
        <f>NPV($B$17,F13:AA13)+E13</f>
        <v>3422562.8803153066</v>
      </c>
      <c r="D13" s="43">
        <f t="shared" si="2"/>
        <v>4025354</v>
      </c>
      <c r="E13" s="275">
        <v>0</v>
      </c>
      <c r="F13" s="275">
        <v>1658511</v>
      </c>
      <c r="G13" s="275">
        <v>587659</v>
      </c>
      <c r="H13" s="275">
        <v>513308</v>
      </c>
      <c r="I13" s="275">
        <v>312304</v>
      </c>
      <c r="J13" s="275">
        <v>456022</v>
      </c>
      <c r="K13" s="275">
        <v>497550</v>
      </c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</row>
    <row r="14" spans="1:27" x14ac:dyDescent="0.25">
      <c r="C14" s="43">
        <f>SUM(C2:C13)</f>
        <v>150177468.60718387</v>
      </c>
      <c r="D14" s="43">
        <f>SUM(D2:D13)</f>
        <v>220868243.50691912</v>
      </c>
    </row>
    <row r="15" spans="1:27" x14ac:dyDescent="0.25">
      <c r="A15" t="s">
        <v>332</v>
      </c>
      <c r="C15" s="43"/>
      <c r="D15" s="43"/>
    </row>
    <row r="16" spans="1:27" x14ac:dyDescent="0.25">
      <c r="A16" t="s">
        <v>331</v>
      </c>
      <c r="B16" s="276">
        <v>0.03</v>
      </c>
      <c r="C16" s="282"/>
      <c r="D16" s="282"/>
    </row>
    <row r="17" spans="1:27" x14ac:dyDescent="0.25">
      <c r="A17" t="s">
        <v>334</v>
      </c>
      <c r="B17" s="279">
        <v>6.4299999999999996E-2</v>
      </c>
      <c r="C17" s="43"/>
      <c r="D17" s="43"/>
    </row>
    <row r="18" spans="1:27" x14ac:dyDescent="0.25">
      <c r="C18" s="43"/>
      <c r="D18" s="43"/>
    </row>
    <row r="19" spans="1:27" x14ac:dyDescent="0.25">
      <c r="A19" t="s">
        <v>337</v>
      </c>
      <c r="C19" s="43">
        <f>NPV($B$17,F19:AA19)+E19</f>
        <v>12841738.187612556</v>
      </c>
      <c r="D19" s="43">
        <f>SUM(E19:AA19)</f>
        <v>26402857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2030989</v>
      </c>
      <c r="L19" s="68">
        <v>2030989</v>
      </c>
      <c r="M19" s="68">
        <v>2030989</v>
      </c>
      <c r="N19" s="68">
        <v>2030989</v>
      </c>
      <c r="O19" s="68">
        <v>2030989</v>
      </c>
      <c r="P19" s="68">
        <v>2030989</v>
      </c>
      <c r="Q19" s="68">
        <v>2030989</v>
      </c>
      <c r="R19" s="68">
        <v>2030989</v>
      </c>
      <c r="S19" s="68">
        <v>2030989</v>
      </c>
      <c r="T19" s="68">
        <v>2030989</v>
      </c>
      <c r="U19" s="68">
        <v>2030989</v>
      </c>
      <c r="V19" s="68">
        <v>2030989</v>
      </c>
      <c r="W19" s="68">
        <v>2030989</v>
      </c>
    </row>
    <row r="20" spans="1:27" x14ac:dyDescent="0.25">
      <c r="C20" s="43"/>
      <c r="D20" s="43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7" s="18" customFormat="1" x14ac:dyDescent="0.25">
      <c r="A21" s="18" t="s">
        <v>338</v>
      </c>
      <c r="C21" s="283">
        <f>NPV($B$17,F21:AA21)+E21</f>
        <v>3344542.1120141</v>
      </c>
      <c r="D21" s="283">
        <f>SUM(E21:AA21)</f>
        <v>10964959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4">
        <v>0</v>
      </c>
      <c r="N21" s="284">
        <v>0</v>
      </c>
      <c r="O21" s="284">
        <v>0</v>
      </c>
      <c r="P21" s="284">
        <v>0</v>
      </c>
      <c r="Q21" s="284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637489</v>
      </c>
      <c r="W21" s="284">
        <v>2802334</v>
      </c>
      <c r="X21" s="284">
        <v>3325605</v>
      </c>
      <c r="Y21" s="284">
        <v>3358899</v>
      </c>
      <c r="Z21" s="284">
        <v>840632</v>
      </c>
      <c r="AA21" s="284">
        <v>0</v>
      </c>
    </row>
    <row r="22" spans="1:27" x14ac:dyDescent="0.25">
      <c r="C22" s="43"/>
      <c r="D22" s="43"/>
      <c r="X22" s="68"/>
    </row>
    <row r="26" spans="1:27" x14ac:dyDescent="0.25">
      <c r="B26" s="285"/>
    </row>
    <row r="27" spans="1:27" ht="13.8" thickBot="1" x14ac:dyDescent="0.3"/>
    <row r="28" spans="1:27" ht="14.4" thickBot="1" x14ac:dyDescent="0.3">
      <c r="B28" t="s">
        <v>344</v>
      </c>
      <c r="C28" s="43">
        <f>SUM(C3,C5,C7,C9,C11,C13,C21)</f>
        <v>119257194.97907244</v>
      </c>
      <c r="D28" s="43">
        <f>SUM(D3,D5,D7,D9,D11,D13,D21)</f>
        <v>156551275.57542172</v>
      </c>
      <c r="E28" s="286">
        <v>4033996</v>
      </c>
    </row>
    <row r="29" spans="1:27" ht="14.4" thickBot="1" x14ac:dyDescent="0.3">
      <c r="B29" t="s">
        <v>329</v>
      </c>
      <c r="C29" s="43">
        <f>SUM(C2,C4,C6,C8,C10,C12,C19)</f>
        <v>47106553.927738138</v>
      </c>
      <c r="D29" s="43">
        <f>SUM(D2,D4,D6,D8,D10,D12,D19)</f>
        <v>101684783.93149742</v>
      </c>
      <c r="E29" s="287">
        <v>11310046</v>
      </c>
    </row>
    <row r="30" spans="1:27" ht="14.4" thickBot="1" x14ac:dyDescent="0.3">
      <c r="E30" s="287">
        <v>8013026</v>
      </c>
      <c r="AA30" s="68">
        <v>14202637</v>
      </c>
    </row>
    <row r="31" spans="1:27" ht="14.4" thickBot="1" x14ac:dyDescent="0.3">
      <c r="B31" t="s">
        <v>253</v>
      </c>
      <c r="C31" s="43">
        <f>C28+C29</f>
        <v>166363748.90681058</v>
      </c>
      <c r="D31" s="43">
        <f>D28+D29</f>
        <v>258236059.50691915</v>
      </c>
      <c r="E31" s="287">
        <v>5701099</v>
      </c>
    </row>
    <row r="32" spans="1:27" ht="14.4" thickBot="1" x14ac:dyDescent="0.3">
      <c r="E32" s="287">
        <v>3490301</v>
      </c>
    </row>
    <row r="33" spans="1:27" ht="14.4" thickBot="1" x14ac:dyDescent="0.3">
      <c r="C33" s="43">
        <f>C14+C19+C21</f>
        <v>166363748.90681052</v>
      </c>
      <c r="E33" s="287">
        <v>1716347</v>
      </c>
    </row>
    <row r="34" spans="1:27" ht="14.4" thickBot="1" x14ac:dyDescent="0.3">
      <c r="E34" s="287">
        <v>12841738</v>
      </c>
    </row>
    <row r="35" spans="1:27" x14ac:dyDescent="0.25">
      <c r="C35" s="43">
        <f>SUM(C3,C5,C7,C9,C11,C13)</f>
        <v>115912652.86705834</v>
      </c>
    </row>
    <row r="36" spans="1:27" x14ac:dyDescent="0.25">
      <c r="C36" s="43"/>
      <c r="E36" s="43">
        <f>SUM(E28:E34)</f>
        <v>47106553</v>
      </c>
    </row>
    <row r="40" spans="1:27" x14ac:dyDescent="0.25">
      <c r="C40" t="s">
        <v>335</v>
      </c>
      <c r="D40" t="s">
        <v>345</v>
      </c>
      <c r="E40" s="70">
        <v>2015</v>
      </c>
      <c r="F40" s="70">
        <v>2016</v>
      </c>
      <c r="G40" s="70">
        <v>2017</v>
      </c>
      <c r="H40" s="70">
        <v>2018</v>
      </c>
      <c r="I40" s="70">
        <v>2019</v>
      </c>
      <c r="J40" s="70">
        <v>2020</v>
      </c>
      <c r="K40" s="70">
        <v>2021</v>
      </c>
      <c r="L40" s="70">
        <v>2022</v>
      </c>
      <c r="M40" s="70">
        <v>2023</v>
      </c>
      <c r="N40" s="70">
        <v>2024</v>
      </c>
      <c r="O40" s="70">
        <v>2025</v>
      </c>
      <c r="P40" s="70">
        <v>2026</v>
      </c>
      <c r="Q40" s="70">
        <v>2027</v>
      </c>
      <c r="R40" s="70">
        <v>2028</v>
      </c>
      <c r="S40" s="70">
        <v>2029</v>
      </c>
      <c r="T40" s="70">
        <v>2030</v>
      </c>
      <c r="U40" s="70">
        <v>2031</v>
      </c>
      <c r="V40" s="70">
        <v>2032</v>
      </c>
      <c r="W40" s="70">
        <v>2033</v>
      </c>
      <c r="X40" s="70">
        <v>2034</v>
      </c>
      <c r="Y40" s="70">
        <v>2035</v>
      </c>
      <c r="Z40" s="70">
        <v>2036</v>
      </c>
      <c r="AA40" s="70">
        <v>2037</v>
      </c>
    </row>
    <row r="41" spans="1:27" x14ac:dyDescent="0.25">
      <c r="A41" s="280" t="s">
        <v>339</v>
      </c>
      <c r="B41" t="s">
        <v>329</v>
      </c>
      <c r="C41" s="288">
        <v>8572396.6464830078</v>
      </c>
      <c r="D41" s="289">
        <f t="shared" ref="D41:D52" si="7">SUM(E41:AA41)</f>
        <v>8.5489437918328441</v>
      </c>
      <c r="E41" s="289">
        <f>(0.000001*E2)*0.565</f>
        <v>0</v>
      </c>
      <c r="F41" s="289">
        <f t="shared" ref="F41:AA41" si="8">(0.000001*F2)*0.565</f>
        <v>0</v>
      </c>
      <c r="G41" s="289">
        <f t="shared" si="8"/>
        <v>5.7814189999999994E-2</v>
      </c>
      <c r="H41" s="289">
        <f t="shared" si="8"/>
        <v>0.36618821809999996</v>
      </c>
      <c r="I41" s="289">
        <f t="shared" si="8"/>
        <v>0.46493806178599995</v>
      </c>
      <c r="J41" s="289">
        <f t="shared" si="8"/>
        <v>0.33287382026000001</v>
      </c>
      <c r="K41" s="289">
        <f t="shared" si="8"/>
        <v>0.33670013366779994</v>
      </c>
      <c r="L41" s="289">
        <f t="shared" si="8"/>
        <v>0.34680113767783399</v>
      </c>
      <c r="M41" s="289">
        <f t="shared" si="8"/>
        <v>0.35720517180816902</v>
      </c>
      <c r="N41" s="289">
        <f t="shared" si="8"/>
        <v>0.36792132696241403</v>
      </c>
      <c r="O41" s="289">
        <f t="shared" si="8"/>
        <v>0.37895896677128649</v>
      </c>
      <c r="P41" s="289">
        <f t="shared" si="8"/>
        <v>0.39032773577442503</v>
      </c>
      <c r="Q41" s="289">
        <f t="shared" si="8"/>
        <v>0.40203756784765776</v>
      </c>
      <c r="R41" s="289">
        <f t="shared" si="8"/>
        <v>0.41409869488308759</v>
      </c>
      <c r="S41" s="289">
        <f t="shared" si="8"/>
        <v>0.42652165572958023</v>
      </c>
      <c r="T41" s="289">
        <f t="shared" si="8"/>
        <v>0.43931730540146763</v>
      </c>
      <c r="U41" s="289">
        <f t="shared" si="8"/>
        <v>0.4524968245635117</v>
      </c>
      <c r="V41" s="289">
        <f t="shared" si="8"/>
        <v>0.46607172930041707</v>
      </c>
      <c r="W41" s="289">
        <f t="shared" si="8"/>
        <v>0.48005388117942965</v>
      </c>
      <c r="X41" s="289">
        <f t="shared" si="8"/>
        <v>0.49445549761481256</v>
      </c>
      <c r="Y41" s="289">
        <f t="shared" si="8"/>
        <v>0.50928916254325696</v>
      </c>
      <c r="Z41" s="289">
        <f t="shared" si="8"/>
        <v>0.52456783741955471</v>
      </c>
      <c r="AA41" s="289">
        <f t="shared" si="8"/>
        <v>0.54030487254214143</v>
      </c>
    </row>
    <row r="42" spans="1:27" x14ac:dyDescent="0.25">
      <c r="A42" s="280" t="s">
        <v>340</v>
      </c>
      <c r="B42" t="s">
        <v>330</v>
      </c>
      <c r="C42" s="288">
        <v>18677372.011852503</v>
      </c>
      <c r="D42" s="289">
        <f t="shared" si="7"/>
        <v>18.626273385749997</v>
      </c>
      <c r="E42" s="289">
        <f>(0.000001*E3)*0.565</f>
        <v>0.15949751119999997</v>
      </c>
      <c r="F42" s="289">
        <f t="shared" ref="F42:AA42" si="9">(0.000001*F3)*0.565</f>
        <v>8.3123712362000006</v>
      </c>
      <c r="G42" s="289">
        <f t="shared" si="9"/>
        <v>9.9890001255999969</v>
      </c>
      <c r="H42" s="289">
        <f t="shared" si="9"/>
        <v>0.16540451274999993</v>
      </c>
      <c r="I42" s="289">
        <f t="shared" si="9"/>
        <v>0</v>
      </c>
      <c r="J42" s="289">
        <f t="shared" si="9"/>
        <v>0</v>
      </c>
      <c r="K42" s="289">
        <f t="shared" si="9"/>
        <v>0</v>
      </c>
      <c r="L42" s="289">
        <f t="shared" si="9"/>
        <v>0</v>
      </c>
      <c r="M42" s="289">
        <f t="shared" si="9"/>
        <v>0</v>
      </c>
      <c r="N42" s="289">
        <f t="shared" si="9"/>
        <v>0</v>
      </c>
      <c r="O42" s="289">
        <f t="shared" si="9"/>
        <v>0</v>
      </c>
      <c r="P42" s="289">
        <f t="shared" si="9"/>
        <v>0</v>
      </c>
      <c r="Q42" s="289">
        <f t="shared" si="9"/>
        <v>0</v>
      </c>
      <c r="R42" s="289">
        <f t="shared" si="9"/>
        <v>0</v>
      </c>
      <c r="S42" s="289">
        <f t="shared" si="9"/>
        <v>0</v>
      </c>
      <c r="T42" s="289">
        <f t="shared" si="9"/>
        <v>0</v>
      </c>
      <c r="U42" s="289">
        <f t="shared" si="9"/>
        <v>0</v>
      </c>
      <c r="V42" s="289">
        <f t="shared" si="9"/>
        <v>0</v>
      </c>
      <c r="W42" s="289">
        <f t="shared" si="9"/>
        <v>0</v>
      </c>
      <c r="X42" s="289">
        <f t="shared" si="9"/>
        <v>0</v>
      </c>
      <c r="Y42" s="289">
        <f t="shared" si="9"/>
        <v>0</v>
      </c>
      <c r="Z42" s="289">
        <f t="shared" si="9"/>
        <v>0</v>
      </c>
      <c r="AA42" s="289">
        <f t="shared" si="9"/>
        <v>0</v>
      </c>
    </row>
    <row r="43" spans="1:27" x14ac:dyDescent="0.25">
      <c r="A43" t="s">
        <v>325</v>
      </c>
      <c r="B43" t="s">
        <v>329</v>
      </c>
      <c r="C43" s="288">
        <v>25454972.075656746</v>
      </c>
      <c r="D43" s="289">
        <f t="shared" si="7"/>
        <v>25.454972075656752</v>
      </c>
      <c r="E43" s="289">
        <f>0.000001*E4</f>
        <v>0</v>
      </c>
      <c r="F43" s="289">
        <f t="shared" ref="F43:AA43" si="10">0.000001*F4</f>
        <v>0</v>
      </c>
      <c r="G43" s="289">
        <f t="shared" si="10"/>
        <v>0</v>
      </c>
      <c r="H43" s="289">
        <f t="shared" si="10"/>
        <v>0.285058535</v>
      </c>
      <c r="I43" s="289">
        <f t="shared" si="10"/>
        <v>0.68708347999999997</v>
      </c>
      <c r="J43" s="289">
        <f t="shared" si="10"/>
        <v>0.89866838839999996</v>
      </c>
      <c r="K43" s="289">
        <f t="shared" si="10"/>
        <v>1.0837518820519998</v>
      </c>
      <c r="L43" s="289">
        <f t="shared" si="10"/>
        <v>1.1162644385135598</v>
      </c>
      <c r="M43" s="289">
        <f t="shared" si="10"/>
        <v>1.1497523716689666</v>
      </c>
      <c r="N43" s="289">
        <f t="shared" si="10"/>
        <v>1.1842449428190358</v>
      </c>
      <c r="O43" s="289">
        <f t="shared" si="10"/>
        <v>1.2197722911036071</v>
      </c>
      <c r="P43" s="289">
        <f t="shared" si="10"/>
        <v>1.2563654598367153</v>
      </c>
      <c r="Q43" s="289">
        <f t="shared" si="10"/>
        <v>1.2940564236318168</v>
      </c>
      <c r="R43" s="289">
        <f t="shared" si="10"/>
        <v>1.3328781163407712</v>
      </c>
      <c r="S43" s="289">
        <f t="shared" si="10"/>
        <v>1.3728644598309945</v>
      </c>
      <c r="T43" s="289">
        <f t="shared" si="10"/>
        <v>1.4140503936259243</v>
      </c>
      <c r="U43" s="289">
        <f t="shared" si="10"/>
        <v>1.456471905434702</v>
      </c>
      <c r="V43" s="289">
        <f t="shared" si="10"/>
        <v>1.5001660625977431</v>
      </c>
      <c r="W43" s="289">
        <f t="shared" si="10"/>
        <v>1.5451710444756754</v>
      </c>
      <c r="X43" s="289">
        <f t="shared" si="10"/>
        <v>1.5915261758099459</v>
      </c>
      <c r="Y43" s="289">
        <f t="shared" si="10"/>
        <v>1.6392719610842443</v>
      </c>
      <c r="Z43" s="289">
        <f t="shared" si="10"/>
        <v>1.6884501199167716</v>
      </c>
      <c r="AA43" s="289">
        <f t="shared" si="10"/>
        <v>1.7391036235142749</v>
      </c>
    </row>
    <row r="44" spans="1:27" x14ac:dyDescent="0.25">
      <c r="A44" t="s">
        <v>325</v>
      </c>
      <c r="B44" t="s">
        <v>330</v>
      </c>
      <c r="C44" s="288">
        <v>24285807.730000004</v>
      </c>
      <c r="D44" s="289">
        <f t="shared" si="7"/>
        <v>24.285807730000002</v>
      </c>
      <c r="E44" s="289">
        <f>0.000001*E5</f>
        <v>0</v>
      </c>
      <c r="F44" s="289">
        <f t="shared" ref="F44:AA44" si="11">0.000001*F5</f>
        <v>8.9280229999999988E-2</v>
      </c>
      <c r="G44" s="289">
        <f t="shared" si="11"/>
        <v>2.6334507800000004</v>
      </c>
      <c r="H44" s="289">
        <f t="shared" si="11"/>
        <v>9.4158404200000021</v>
      </c>
      <c r="I44" s="289">
        <f t="shared" si="11"/>
        <v>10.025385380000001</v>
      </c>
      <c r="J44" s="289">
        <f t="shared" si="11"/>
        <v>2.03895092</v>
      </c>
      <c r="K44" s="289">
        <f t="shared" si="11"/>
        <v>8.2900000000000001E-2</v>
      </c>
      <c r="L44" s="289">
        <f t="shared" si="11"/>
        <v>0</v>
      </c>
      <c r="M44" s="289">
        <f t="shared" si="11"/>
        <v>0</v>
      </c>
      <c r="N44" s="289">
        <f t="shared" si="11"/>
        <v>0</v>
      </c>
      <c r="O44" s="289">
        <f t="shared" si="11"/>
        <v>0</v>
      </c>
      <c r="P44" s="289">
        <f t="shared" si="11"/>
        <v>0</v>
      </c>
      <c r="Q44" s="289">
        <f t="shared" si="11"/>
        <v>0</v>
      </c>
      <c r="R44" s="289">
        <f t="shared" si="11"/>
        <v>0</v>
      </c>
      <c r="S44" s="289">
        <f t="shared" si="11"/>
        <v>0</v>
      </c>
      <c r="T44" s="289">
        <f t="shared" si="11"/>
        <v>0</v>
      </c>
      <c r="U44" s="289">
        <f t="shared" si="11"/>
        <v>0</v>
      </c>
      <c r="V44" s="289">
        <f t="shared" si="11"/>
        <v>0</v>
      </c>
      <c r="W44" s="289">
        <f t="shared" si="11"/>
        <v>0</v>
      </c>
      <c r="X44" s="289">
        <f t="shared" si="11"/>
        <v>0</v>
      </c>
      <c r="Y44" s="289">
        <f t="shared" si="11"/>
        <v>0</v>
      </c>
      <c r="Z44" s="289">
        <f t="shared" si="11"/>
        <v>0</v>
      </c>
      <c r="AA44" s="289">
        <f t="shared" si="11"/>
        <v>0</v>
      </c>
    </row>
    <row r="45" spans="1:27" x14ac:dyDescent="0.25">
      <c r="A45" t="s">
        <v>326</v>
      </c>
      <c r="B45" t="s">
        <v>329</v>
      </c>
      <c r="C45" s="288">
        <v>17772459.131934453</v>
      </c>
      <c r="D45" s="289">
        <f t="shared" si="7"/>
        <v>17.77245913193445</v>
      </c>
      <c r="E45" s="289">
        <f>0.000001*E6</f>
        <v>0</v>
      </c>
      <c r="F45" s="289">
        <f t="shared" ref="F45:AA45" si="12">0.000001*F6</f>
        <v>0</v>
      </c>
      <c r="G45" s="289">
        <f t="shared" si="12"/>
        <v>0</v>
      </c>
      <c r="H45" s="289">
        <f t="shared" si="12"/>
        <v>0.23698379999999997</v>
      </c>
      <c r="I45" s="289">
        <f t="shared" si="12"/>
        <v>0.66879159999999993</v>
      </c>
      <c r="J45" s="289">
        <f t="shared" si="12"/>
        <v>0.73181960000000001</v>
      </c>
      <c r="K45" s="289">
        <f t="shared" si="12"/>
        <v>0.74143781799999997</v>
      </c>
      <c r="L45" s="289">
        <f t="shared" si="12"/>
        <v>0.7636809525399999</v>
      </c>
      <c r="M45" s="289">
        <f t="shared" si="12"/>
        <v>0.78659138111619997</v>
      </c>
      <c r="N45" s="289">
        <f t="shared" si="12"/>
        <v>0.810189122549686</v>
      </c>
      <c r="O45" s="289">
        <f t="shared" si="12"/>
        <v>0.83449479622617651</v>
      </c>
      <c r="P45" s="289">
        <f t="shared" si="12"/>
        <v>0.85952964011296185</v>
      </c>
      <c r="Q45" s="289">
        <f t="shared" si="12"/>
        <v>0.88531552931635071</v>
      </c>
      <c r="R45" s="289">
        <f t="shared" si="12"/>
        <v>0.91187499519584125</v>
      </c>
      <c r="S45" s="289">
        <f t="shared" si="12"/>
        <v>0.93923124505171651</v>
      </c>
      <c r="T45" s="289">
        <f t="shared" si="12"/>
        <v>0.96740818240326798</v>
      </c>
      <c r="U45" s="289">
        <f t="shared" si="12"/>
        <v>0.99643042787536618</v>
      </c>
      <c r="V45" s="289">
        <f t="shared" si="12"/>
        <v>1.026323340711627</v>
      </c>
      <c r="W45" s="289">
        <f t="shared" si="12"/>
        <v>1.0571130409329759</v>
      </c>
      <c r="X45" s="289">
        <f t="shared" si="12"/>
        <v>1.0888264321609651</v>
      </c>
      <c r="Y45" s="289">
        <f t="shared" si="12"/>
        <v>1.121491225125794</v>
      </c>
      <c r="Z45" s="289">
        <f t="shared" si="12"/>
        <v>1.1551359618795678</v>
      </c>
      <c r="AA45" s="289">
        <f t="shared" si="12"/>
        <v>1.189790040735955</v>
      </c>
    </row>
    <row r="46" spans="1:27" x14ac:dyDescent="0.25">
      <c r="A46" t="s">
        <v>326</v>
      </c>
      <c r="B46" t="s">
        <v>330</v>
      </c>
      <c r="C46" s="288">
        <v>11010509.457998987</v>
      </c>
      <c r="D46" s="289">
        <f t="shared" si="7"/>
        <v>11.010509457998985</v>
      </c>
      <c r="E46" s="289">
        <f>0.000001*E7</f>
        <v>5.5264599999999995E-3</v>
      </c>
      <c r="F46" s="289">
        <f t="shared" ref="F46:AA46" si="13">0.000001*F7</f>
        <v>0.65419763999999991</v>
      </c>
      <c r="G46" s="289">
        <f t="shared" si="13"/>
        <v>0.75290318999999994</v>
      </c>
      <c r="H46" s="289">
        <f t="shared" si="13"/>
        <v>1.8287994750000003</v>
      </c>
      <c r="I46" s="289">
        <f t="shared" si="13"/>
        <v>3.2504559600000005</v>
      </c>
      <c r="J46" s="289">
        <f t="shared" si="13"/>
        <v>3.732648697921451</v>
      </c>
      <c r="K46" s="289">
        <f t="shared" si="13"/>
        <v>0.78597803507753361</v>
      </c>
      <c r="L46" s="289">
        <f t="shared" si="13"/>
        <v>0</v>
      </c>
      <c r="M46" s="289">
        <f t="shared" si="13"/>
        <v>0</v>
      </c>
      <c r="N46" s="289">
        <f t="shared" si="13"/>
        <v>0</v>
      </c>
      <c r="O46" s="289">
        <f t="shared" si="13"/>
        <v>0</v>
      </c>
      <c r="P46" s="289">
        <f t="shared" si="13"/>
        <v>0</v>
      </c>
      <c r="Q46" s="289">
        <f t="shared" si="13"/>
        <v>0</v>
      </c>
      <c r="R46" s="289">
        <f t="shared" si="13"/>
        <v>0</v>
      </c>
      <c r="S46" s="289">
        <f t="shared" si="13"/>
        <v>0</v>
      </c>
      <c r="T46" s="289">
        <f t="shared" si="13"/>
        <v>0</v>
      </c>
      <c r="U46" s="289">
        <f t="shared" si="13"/>
        <v>0</v>
      </c>
      <c r="V46" s="289">
        <f t="shared" si="13"/>
        <v>0</v>
      </c>
      <c r="W46" s="289">
        <f t="shared" si="13"/>
        <v>0</v>
      </c>
      <c r="X46" s="289">
        <f t="shared" si="13"/>
        <v>0</v>
      </c>
      <c r="Y46" s="289">
        <f t="shared" si="13"/>
        <v>0</v>
      </c>
      <c r="Z46" s="289">
        <f t="shared" si="13"/>
        <v>0</v>
      </c>
      <c r="AA46" s="289">
        <f t="shared" si="13"/>
        <v>0</v>
      </c>
    </row>
    <row r="47" spans="1:27" x14ac:dyDescent="0.25">
      <c r="A47" t="s">
        <v>327</v>
      </c>
      <c r="B47" t="s">
        <v>329</v>
      </c>
      <c r="C47" s="288">
        <v>7038507.0858924566</v>
      </c>
      <c r="D47" s="289">
        <f t="shared" si="7"/>
        <v>7.0385070858924559</v>
      </c>
      <c r="E47" s="289">
        <f>0.000001*E8</f>
        <v>0</v>
      </c>
      <c r="F47" s="289">
        <f t="shared" ref="F47:AA47" si="14">0.000001*F8</f>
        <v>0</v>
      </c>
      <c r="G47" s="289">
        <f t="shared" si="14"/>
        <v>0</v>
      </c>
      <c r="H47" s="289">
        <f t="shared" si="14"/>
        <v>0</v>
      </c>
      <c r="I47" s="289">
        <f t="shared" si="14"/>
        <v>0.48731403419999997</v>
      </c>
      <c r="J47" s="289">
        <f t="shared" si="14"/>
        <v>0.49518345522600005</v>
      </c>
      <c r="K47" s="289">
        <f t="shared" si="14"/>
        <v>0.27828895888277999</v>
      </c>
      <c r="L47" s="289">
        <f t="shared" si="14"/>
        <v>0.28663762764926343</v>
      </c>
      <c r="M47" s="289">
        <f t="shared" si="14"/>
        <v>0.29523675647874137</v>
      </c>
      <c r="N47" s="289">
        <f t="shared" si="14"/>
        <v>0.30409385917310355</v>
      </c>
      <c r="O47" s="289">
        <f t="shared" si="14"/>
        <v>0.31321667494829669</v>
      </c>
      <c r="P47" s="289">
        <f t="shared" si="14"/>
        <v>0.32261317519674559</v>
      </c>
      <c r="Q47" s="289">
        <f t="shared" si="14"/>
        <v>0.33229157045264796</v>
      </c>
      <c r="R47" s="289">
        <f t="shared" si="14"/>
        <v>0.34226031756622743</v>
      </c>
      <c r="S47" s="289">
        <f t="shared" si="14"/>
        <v>0.35252812709321429</v>
      </c>
      <c r="T47" s="289">
        <f t="shared" si="14"/>
        <v>0.36310397090601076</v>
      </c>
      <c r="U47" s="289">
        <f t="shared" si="14"/>
        <v>0.37399709003319104</v>
      </c>
      <c r="V47" s="289">
        <f t="shared" si="14"/>
        <v>0.3852170027341868</v>
      </c>
      <c r="W47" s="289">
        <f t="shared" si="14"/>
        <v>0.39677351281621243</v>
      </c>
      <c r="X47" s="289">
        <f t="shared" si="14"/>
        <v>0.40867671820069879</v>
      </c>
      <c r="Y47" s="289">
        <f t="shared" si="14"/>
        <v>0.42093701974671971</v>
      </c>
      <c r="Z47" s="289">
        <f t="shared" si="14"/>
        <v>0.43356513033912131</v>
      </c>
      <c r="AA47" s="289">
        <f t="shared" si="14"/>
        <v>0.44657208424929501</v>
      </c>
    </row>
    <row r="48" spans="1:27" x14ac:dyDescent="0.25">
      <c r="A48" t="s">
        <v>327</v>
      </c>
      <c r="B48" t="s">
        <v>330</v>
      </c>
      <c r="C48" s="288">
        <f>C9+C21</f>
        <v>68985454.014531732</v>
      </c>
      <c r="D48" s="289">
        <f t="shared" si="7"/>
        <v>96.308567375570206</v>
      </c>
      <c r="E48" s="289">
        <f>(0.000001*E9)+(E21*0.000001)</f>
        <v>0.32810039999999996</v>
      </c>
      <c r="F48" s="289">
        <f t="shared" ref="F48:AA48" si="15">(0.000001*F9)+(F21*0.000001)</f>
        <v>0.37467149300000002</v>
      </c>
      <c r="G48" s="289">
        <f t="shared" si="15"/>
        <v>0.83987715000000007</v>
      </c>
      <c r="H48" s="289">
        <f t="shared" si="15"/>
        <v>9.1619281600000004</v>
      </c>
      <c r="I48" s="289">
        <f t="shared" si="15"/>
        <v>43.843094739999991</v>
      </c>
      <c r="J48" s="289">
        <f t="shared" si="15"/>
        <v>28.496488300245257</v>
      </c>
      <c r="K48" s="289">
        <f t="shared" si="15"/>
        <v>2.299448132324962</v>
      </c>
      <c r="L48" s="289">
        <f t="shared" si="15"/>
        <v>0</v>
      </c>
      <c r="M48" s="289">
        <f t="shared" si="15"/>
        <v>0</v>
      </c>
      <c r="N48" s="289">
        <f t="shared" si="15"/>
        <v>0</v>
      </c>
      <c r="O48" s="289">
        <f t="shared" si="15"/>
        <v>0</v>
      </c>
      <c r="P48" s="289">
        <f t="shared" si="15"/>
        <v>0</v>
      </c>
      <c r="Q48" s="289">
        <f t="shared" si="15"/>
        <v>0</v>
      </c>
      <c r="R48" s="289">
        <f t="shared" si="15"/>
        <v>0</v>
      </c>
      <c r="S48" s="289">
        <f t="shared" si="15"/>
        <v>0</v>
      </c>
      <c r="T48" s="289">
        <f t="shared" si="15"/>
        <v>0</v>
      </c>
      <c r="U48" s="289">
        <f t="shared" si="15"/>
        <v>0</v>
      </c>
      <c r="V48" s="289">
        <f t="shared" si="15"/>
        <v>0.63748899999999997</v>
      </c>
      <c r="W48" s="289">
        <f t="shared" si="15"/>
        <v>2.8023339999999997</v>
      </c>
      <c r="X48" s="289">
        <f t="shared" si="15"/>
        <v>3.3256049999999999</v>
      </c>
      <c r="Y48" s="289">
        <f t="shared" si="15"/>
        <v>3.3588989999999996</v>
      </c>
      <c r="Z48" s="289">
        <f t="shared" si="15"/>
        <v>0.84063199999999993</v>
      </c>
      <c r="AA48" s="289">
        <f t="shared" si="15"/>
        <v>0</v>
      </c>
    </row>
    <row r="49" spans="1:27" x14ac:dyDescent="0.25">
      <c r="A49" t="s">
        <v>328</v>
      </c>
      <c r="B49" t="s">
        <v>329</v>
      </c>
      <c r="C49" s="288">
        <v>13138243.690837234</v>
      </c>
      <c r="D49" s="289">
        <f t="shared" si="7"/>
        <v>13.138243690837234</v>
      </c>
      <c r="E49" s="289">
        <f>0.000001*E10</f>
        <v>0</v>
      </c>
      <c r="F49" s="289">
        <f t="shared" ref="F49:AA49" si="16">0.000001*F10</f>
        <v>0</v>
      </c>
      <c r="G49" s="289">
        <f t="shared" si="16"/>
        <v>0</v>
      </c>
      <c r="H49" s="289">
        <f t="shared" si="16"/>
        <v>0.03</v>
      </c>
      <c r="I49" s="289">
        <f t="shared" si="16"/>
        <v>0.38862999999999998</v>
      </c>
      <c r="J49" s="289">
        <f t="shared" si="16"/>
        <v>0.34332499999999999</v>
      </c>
      <c r="K49" s="289">
        <f t="shared" si="16"/>
        <v>0.34596694999999994</v>
      </c>
      <c r="L49" s="289">
        <f t="shared" si="16"/>
        <v>0.59683447849999993</v>
      </c>
      <c r="M49" s="289">
        <f t="shared" si="16"/>
        <v>0.61473951285499995</v>
      </c>
      <c r="N49" s="289">
        <f t="shared" si="16"/>
        <v>0.63318169824064996</v>
      </c>
      <c r="O49" s="289">
        <f t="shared" si="16"/>
        <v>0.65217714918786962</v>
      </c>
      <c r="P49" s="289">
        <f t="shared" si="16"/>
        <v>0.67174246366350576</v>
      </c>
      <c r="Q49" s="289">
        <f t="shared" si="16"/>
        <v>0.69189473757341091</v>
      </c>
      <c r="R49" s="289">
        <f t="shared" si="16"/>
        <v>0.71265157970061321</v>
      </c>
      <c r="S49" s="289">
        <f t="shared" si="16"/>
        <v>0.73403112709163176</v>
      </c>
      <c r="T49" s="289">
        <f t="shared" si="16"/>
        <v>0.7560520609043806</v>
      </c>
      <c r="U49" s="289">
        <f t="shared" si="16"/>
        <v>0.77873362273151214</v>
      </c>
      <c r="V49" s="289">
        <f t="shared" si="16"/>
        <v>0.80209563141345741</v>
      </c>
      <c r="W49" s="289">
        <f t="shared" si="16"/>
        <v>0.82615850035586125</v>
      </c>
      <c r="X49" s="289">
        <f t="shared" si="16"/>
        <v>0.85094325536653703</v>
      </c>
      <c r="Y49" s="289">
        <f t="shared" si="16"/>
        <v>0.87647155302753321</v>
      </c>
      <c r="Z49" s="289">
        <f t="shared" si="16"/>
        <v>0.90276569961835929</v>
      </c>
      <c r="AA49" s="289">
        <f t="shared" si="16"/>
        <v>0.92984867060691001</v>
      </c>
    </row>
    <row r="50" spans="1:27" x14ac:dyDescent="0.25">
      <c r="A50" t="s">
        <v>328</v>
      </c>
      <c r="B50" t="s">
        <v>330</v>
      </c>
      <c r="C50" s="288">
        <v>2243665</v>
      </c>
      <c r="D50" s="289">
        <f t="shared" si="7"/>
        <v>2.2436649999999996</v>
      </c>
      <c r="E50" s="289">
        <f>0.000001*E11</f>
        <v>0</v>
      </c>
      <c r="F50" s="289">
        <f t="shared" ref="F50:AA50" si="17">0.000001*F11</f>
        <v>0</v>
      </c>
      <c r="G50" s="289">
        <f t="shared" si="17"/>
        <v>0.15302399999999999</v>
      </c>
      <c r="H50" s="289">
        <f t="shared" si="17"/>
        <v>0.395978</v>
      </c>
      <c r="I50" s="289">
        <f t="shared" si="17"/>
        <v>0.63709899999999997</v>
      </c>
      <c r="J50" s="289">
        <f t="shared" si="17"/>
        <v>0.65922899999999995</v>
      </c>
      <c r="K50" s="289">
        <f t="shared" si="17"/>
        <v>0.39833499999999999</v>
      </c>
      <c r="L50" s="289">
        <f t="shared" si="17"/>
        <v>0</v>
      </c>
      <c r="M50" s="289">
        <f t="shared" si="17"/>
        <v>0</v>
      </c>
      <c r="N50" s="289">
        <f t="shared" si="17"/>
        <v>0</v>
      </c>
      <c r="O50" s="289">
        <f t="shared" si="17"/>
        <v>0</v>
      </c>
      <c r="P50" s="289">
        <f t="shared" si="17"/>
        <v>0</v>
      </c>
      <c r="Q50" s="289">
        <f t="shared" si="17"/>
        <v>0</v>
      </c>
      <c r="R50" s="289">
        <f t="shared" si="17"/>
        <v>0</v>
      </c>
      <c r="S50" s="289">
        <f t="shared" si="17"/>
        <v>0</v>
      </c>
      <c r="T50" s="289">
        <f t="shared" si="17"/>
        <v>0</v>
      </c>
      <c r="U50" s="289">
        <f t="shared" si="17"/>
        <v>0</v>
      </c>
      <c r="V50" s="289">
        <f t="shared" si="17"/>
        <v>0</v>
      </c>
      <c r="W50" s="289">
        <f t="shared" si="17"/>
        <v>0</v>
      </c>
      <c r="X50" s="289">
        <f t="shared" si="17"/>
        <v>0</v>
      </c>
      <c r="Y50" s="289">
        <f t="shared" si="17"/>
        <v>0</v>
      </c>
      <c r="Z50" s="289">
        <f t="shared" si="17"/>
        <v>0</v>
      </c>
      <c r="AA50" s="289">
        <f t="shared" si="17"/>
        <v>0</v>
      </c>
    </row>
    <row r="51" spans="1:27" x14ac:dyDescent="0.25">
      <c r="A51" t="s">
        <v>341</v>
      </c>
      <c r="B51" t="s">
        <v>343</v>
      </c>
      <c r="C51" s="288">
        <v>3305348.3006935208</v>
      </c>
      <c r="D51" s="289">
        <f t="shared" si="7"/>
        <v>3.3053483006935211</v>
      </c>
      <c r="E51" s="289">
        <f>0.000001*E12</f>
        <v>0</v>
      </c>
      <c r="F51" s="289">
        <f t="shared" ref="F51:AA51" si="18">0.000001*F12</f>
        <v>0</v>
      </c>
      <c r="G51" s="289">
        <f t="shared" si="18"/>
        <v>3.8216E-2</v>
      </c>
      <c r="H51" s="289">
        <f t="shared" si="18"/>
        <v>0.100952</v>
      </c>
      <c r="I51" s="289">
        <f t="shared" si="18"/>
        <v>0.28648399999999996</v>
      </c>
      <c r="J51" s="289">
        <f t="shared" si="18"/>
        <v>0.33948400000000001</v>
      </c>
      <c r="K51" s="289">
        <f t="shared" si="18"/>
        <v>0.33948400000000001</v>
      </c>
      <c r="L51" s="289">
        <f t="shared" si="18"/>
        <v>0.10918</v>
      </c>
      <c r="M51" s="289">
        <f t="shared" si="18"/>
        <v>0.1124554</v>
      </c>
      <c r="N51" s="289">
        <f t="shared" si="18"/>
        <v>0.115829062</v>
      </c>
      <c r="O51" s="289">
        <f t="shared" si="18"/>
        <v>0.11930393386</v>
      </c>
      <c r="P51" s="289">
        <f t="shared" si="18"/>
        <v>0.12288305187580001</v>
      </c>
      <c r="Q51" s="289">
        <f t="shared" si="18"/>
        <v>0.12656954343207402</v>
      </c>
      <c r="R51" s="289">
        <f t="shared" si="18"/>
        <v>0.13036662973503624</v>
      </c>
      <c r="S51" s="289">
        <f t="shared" si="18"/>
        <v>0.13427762862708734</v>
      </c>
      <c r="T51" s="289">
        <f t="shared" si="18"/>
        <v>0.13830595748589997</v>
      </c>
      <c r="U51" s="289">
        <f t="shared" si="18"/>
        <v>0.14245513621047698</v>
      </c>
      <c r="V51" s="289">
        <f t="shared" si="18"/>
        <v>0.14672879029679128</v>
      </c>
      <c r="W51" s="289">
        <f t="shared" si="18"/>
        <v>0.15113065400569503</v>
      </c>
      <c r="X51" s="289">
        <f t="shared" si="18"/>
        <v>0.15566457362586592</v>
      </c>
      <c r="Y51" s="289">
        <f t="shared" si="18"/>
        <v>0.1603345108346419</v>
      </c>
      <c r="Z51" s="289">
        <f t="shared" si="18"/>
        <v>0.16514454615968116</v>
      </c>
      <c r="AA51" s="289">
        <f t="shared" si="18"/>
        <v>0.17009888254447159</v>
      </c>
    </row>
    <row r="52" spans="1:27" x14ac:dyDescent="0.25">
      <c r="A52" t="s">
        <v>341</v>
      </c>
      <c r="B52" t="s">
        <v>342</v>
      </c>
      <c r="C52" s="288">
        <v>4025354</v>
      </c>
      <c r="D52" s="289">
        <f t="shared" si="7"/>
        <v>4.0253540000000001</v>
      </c>
      <c r="E52" s="289">
        <f>0.000001*E13</f>
        <v>0</v>
      </c>
      <c r="F52" s="289">
        <f t="shared" ref="F52:AA52" si="19">0.000001*F13</f>
        <v>1.6585109999999998</v>
      </c>
      <c r="G52" s="289">
        <f t="shared" si="19"/>
        <v>0.58765899999999993</v>
      </c>
      <c r="H52" s="289">
        <f t="shared" si="19"/>
        <v>0.51330799999999999</v>
      </c>
      <c r="I52" s="289">
        <f t="shared" si="19"/>
        <v>0.31230399999999997</v>
      </c>
      <c r="J52" s="289">
        <f t="shared" si="19"/>
        <v>0.45602199999999998</v>
      </c>
      <c r="K52" s="289">
        <f t="shared" si="19"/>
        <v>0.49754999999999999</v>
      </c>
      <c r="L52" s="289">
        <f t="shared" si="19"/>
        <v>0</v>
      </c>
      <c r="M52" s="289">
        <f t="shared" si="19"/>
        <v>0</v>
      </c>
      <c r="N52" s="289">
        <f t="shared" si="19"/>
        <v>0</v>
      </c>
      <c r="O52" s="289">
        <f t="shared" si="19"/>
        <v>0</v>
      </c>
      <c r="P52" s="289">
        <f t="shared" si="19"/>
        <v>0</v>
      </c>
      <c r="Q52" s="289">
        <f t="shared" si="19"/>
        <v>0</v>
      </c>
      <c r="R52" s="289">
        <f t="shared" si="19"/>
        <v>0</v>
      </c>
      <c r="S52" s="289">
        <f t="shared" si="19"/>
        <v>0</v>
      </c>
      <c r="T52" s="289">
        <f t="shared" si="19"/>
        <v>0</v>
      </c>
      <c r="U52" s="289">
        <f t="shared" si="19"/>
        <v>0</v>
      </c>
      <c r="V52" s="289">
        <f t="shared" si="19"/>
        <v>0</v>
      </c>
      <c r="W52" s="289">
        <f t="shared" si="19"/>
        <v>0</v>
      </c>
      <c r="X52" s="289">
        <f t="shared" si="19"/>
        <v>0</v>
      </c>
      <c r="Y52" s="289">
        <f t="shared" si="19"/>
        <v>0</v>
      </c>
      <c r="Z52" s="289">
        <f t="shared" si="19"/>
        <v>0</v>
      </c>
      <c r="AA52" s="289">
        <f t="shared" si="19"/>
        <v>0</v>
      </c>
    </row>
    <row r="53" spans="1:27" x14ac:dyDescent="0.25">
      <c r="C53" s="288">
        <f>SUM(C41:C52)</f>
        <v>204510089.14588064</v>
      </c>
      <c r="D53" s="289"/>
      <c r="E53" s="289"/>
      <c r="F53" s="289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</row>
    <row r="56" spans="1:27" x14ac:dyDescent="0.25">
      <c r="A56" t="s">
        <v>349</v>
      </c>
      <c r="B56" t="s">
        <v>346</v>
      </c>
      <c r="C56" s="43">
        <f>SUM(C3,C5,C7,C9,C11,C13,C21)</f>
        <v>119257194.97907244</v>
      </c>
      <c r="D56" s="288">
        <f>C48+C21</f>
        <v>72329996.126545832</v>
      </c>
      <c r="F56" s="43"/>
    </row>
    <row r="57" spans="1:27" x14ac:dyDescent="0.25">
      <c r="A57" t="s">
        <v>350</v>
      </c>
      <c r="B57" t="s">
        <v>353</v>
      </c>
      <c r="C57" s="295">
        <f>C21</f>
        <v>3344542.1120141</v>
      </c>
      <c r="D57" s="288"/>
      <c r="F57" s="43"/>
    </row>
    <row r="58" spans="1:27" ht="26.25" customHeight="1" x14ac:dyDescent="0.25">
      <c r="B58" s="296" t="s">
        <v>352</v>
      </c>
      <c r="C58" s="297">
        <f>C56+C57</f>
        <v>122601737.09108654</v>
      </c>
    </row>
    <row r="59" spans="1:27" ht="26.25" customHeight="1" x14ac:dyDescent="0.25">
      <c r="B59" s="296" t="s">
        <v>351</v>
      </c>
      <c r="C59" s="297">
        <f>SUM(C2,C4,C6,C8,C10,C12,C19)</f>
        <v>47106553.927738138</v>
      </c>
    </row>
    <row r="60" spans="1:27" ht="13.8" thickBot="1" x14ac:dyDescent="0.3"/>
    <row r="61" spans="1:27" ht="15" thickBot="1" x14ac:dyDescent="0.3">
      <c r="C61" s="43">
        <f>C56+C59</f>
        <v>166363748.90681058</v>
      </c>
      <c r="E61" s="291">
        <v>18.7</v>
      </c>
      <c r="F61" s="292">
        <v>8.6</v>
      </c>
      <c r="G61" s="292">
        <v>24.3</v>
      </c>
      <c r="H61" s="292">
        <v>25.5</v>
      </c>
      <c r="I61" s="292">
        <v>11</v>
      </c>
      <c r="J61" s="292">
        <v>17.8</v>
      </c>
      <c r="K61" s="292">
        <v>2.2000000000000002</v>
      </c>
      <c r="L61" s="292">
        <v>13.1</v>
      </c>
      <c r="M61" s="292">
        <v>96.3</v>
      </c>
      <c r="N61" s="292">
        <v>7</v>
      </c>
      <c r="O61" s="292">
        <v>4</v>
      </c>
      <c r="P61" s="292">
        <v>3.3</v>
      </c>
      <c r="Q61" s="293"/>
      <c r="R61" s="292">
        <v>26.4</v>
      </c>
    </row>
    <row r="62" spans="1:27" x14ac:dyDescent="0.25">
      <c r="B62" t="s">
        <v>347</v>
      </c>
      <c r="C62" s="43">
        <f>SUM(D3,D5,D7,D9,D11,D13,D21)</f>
        <v>156551275.57542172</v>
      </c>
    </row>
    <row r="63" spans="1:27" x14ac:dyDescent="0.25">
      <c r="B63" t="s">
        <v>348</v>
      </c>
      <c r="C63" s="43">
        <f>SUM(D2,D4,D6,D8,D10,D12,D19)</f>
        <v>101684783.93149742</v>
      </c>
      <c r="E63" s="285">
        <f>SUM(E61,G61,I61,K61,M61,O61,Q61)</f>
        <v>156.5</v>
      </c>
    </row>
    <row r="64" spans="1:27" x14ac:dyDescent="0.25">
      <c r="E64" s="285">
        <f>SUM(F61,H61,J61,L61,N61,P61,R61)</f>
        <v>101.69999999999999</v>
      </c>
    </row>
    <row r="67" spans="5:5" ht="13.8" thickBot="1" x14ac:dyDescent="0.3"/>
    <row r="68" spans="5:5" ht="14.4" thickBot="1" x14ac:dyDescent="0.3">
      <c r="E68" s="286">
        <v>16940336</v>
      </c>
    </row>
    <row r="69" spans="5:5" ht="14.4" thickBot="1" x14ac:dyDescent="0.3">
      <c r="E69" s="287">
        <v>19582649</v>
      </c>
    </row>
    <row r="70" spans="5:5" ht="14.4" thickBot="1" x14ac:dyDescent="0.3">
      <c r="E70" s="287">
        <v>8609292</v>
      </c>
    </row>
    <row r="71" spans="5:5" ht="14.4" thickBot="1" x14ac:dyDescent="0.3">
      <c r="E71" s="287">
        <v>1716900</v>
      </c>
    </row>
    <row r="72" spans="5:5" ht="14.4" thickBot="1" x14ac:dyDescent="0.3">
      <c r="E72" s="287">
        <v>72329996</v>
      </c>
    </row>
    <row r="73" spans="5:5" ht="14.4" thickBot="1" x14ac:dyDescent="0.3">
      <c r="E73" s="287">
        <v>3422563</v>
      </c>
    </row>
    <row r="74" spans="5:5" ht="14.4" thickBot="1" x14ac:dyDescent="0.3">
      <c r="E74" s="294">
        <v>0</v>
      </c>
    </row>
    <row r="101" spans="10:10" ht="13.8" x14ac:dyDescent="0.25">
      <c r="J101" s="277" t="s">
        <v>333</v>
      </c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1DA4-01E4-425C-8BED-456AA931CA65}">
  <sheetPr>
    <tabColor rgb="FF363C74"/>
    <pageSetUpPr fitToPage="1"/>
  </sheetPr>
  <dimension ref="A1:S96"/>
  <sheetViews>
    <sheetView zoomScale="80" zoomScaleNormal="80" zoomScaleSheetLayoutView="80" workbookViewId="0">
      <pane xSplit="1" ySplit="3" topLeftCell="G4" activePane="bottomRight" state="frozen"/>
      <selection activeCell="H112" sqref="H112"/>
      <selection pane="topRight" activeCell="H112" sqref="H112"/>
      <selection pane="bottomLeft" activeCell="H112" sqref="H112"/>
      <selection pane="bottomRight" activeCell="M115" sqref="M115"/>
    </sheetView>
  </sheetViews>
  <sheetFormatPr defaultColWidth="9.109375" defaultRowHeight="15.6" x14ac:dyDescent="0.3"/>
  <cols>
    <col min="1" max="1" width="39.5546875" style="85" customWidth="1"/>
    <col min="2" max="2" width="23.5546875" style="85" customWidth="1"/>
    <col min="3" max="3" width="23.109375" style="85" customWidth="1"/>
    <col min="4" max="4" width="5.44140625" style="85" hidden="1" customWidth="1"/>
    <col min="5" max="5" width="14.33203125" style="86" hidden="1" customWidth="1"/>
    <col min="6" max="6" width="14.88671875" style="95" hidden="1" customWidth="1"/>
    <col min="7" max="8" width="11.88671875" style="95" customWidth="1"/>
    <col min="9" max="9" width="12.33203125" style="95" bestFit="1" customWidth="1"/>
    <col min="10" max="10" width="11.88671875" style="95" customWidth="1"/>
    <col min="11" max="11" width="14.44140625" style="95" bestFit="1" customWidth="1"/>
    <col min="12" max="12" width="12.33203125" style="95" bestFit="1" customWidth="1"/>
    <col min="13" max="13" width="14.44140625" style="95" bestFit="1" customWidth="1"/>
    <col min="14" max="14" width="12.33203125" style="95" bestFit="1" customWidth="1"/>
    <col min="15" max="15" width="14.44140625" style="95" bestFit="1" customWidth="1"/>
    <col min="16" max="16" width="11.88671875" style="85" customWidth="1"/>
    <col min="17" max="17" width="78.6640625" style="88" customWidth="1"/>
    <col min="18" max="18" width="11.5546875" style="85" bestFit="1" customWidth="1"/>
    <col min="19" max="20" width="13.33203125" style="85" bestFit="1" customWidth="1"/>
    <col min="21" max="16384" width="9.109375" style="85"/>
  </cols>
  <sheetData>
    <row r="1" spans="1:19" s="86" customFormat="1" x14ac:dyDescent="0.3">
      <c r="A1" s="195" t="s">
        <v>109</v>
      </c>
      <c r="B1" s="195"/>
      <c r="D1" s="196" t="s">
        <v>241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/>
    </row>
    <row r="2" spans="1:19" s="86" customFormat="1" x14ac:dyDescent="0.3">
      <c r="F2" s="95"/>
      <c r="G2" s="87"/>
      <c r="H2" s="87"/>
      <c r="I2" s="87"/>
      <c r="J2" s="87"/>
      <c r="K2" s="87"/>
      <c r="L2" s="87"/>
      <c r="M2" s="87"/>
      <c r="N2" s="87"/>
      <c r="O2" s="87"/>
      <c r="P2" s="87"/>
      <c r="Q2" s="110"/>
    </row>
    <row r="3" spans="1:19" s="94" customFormat="1" ht="44.4" customHeight="1" thickBot="1" x14ac:dyDescent="0.35">
      <c r="A3" s="89" t="s">
        <v>1</v>
      </c>
      <c r="B3" s="89" t="s">
        <v>294</v>
      </c>
      <c r="C3" s="89" t="s">
        <v>2</v>
      </c>
      <c r="D3" s="89" t="s">
        <v>3</v>
      </c>
      <c r="E3" s="89" t="s">
        <v>0</v>
      </c>
      <c r="F3" s="90" t="s">
        <v>4</v>
      </c>
      <c r="G3" s="91" t="s">
        <v>86</v>
      </c>
      <c r="H3" s="92" t="s">
        <v>87</v>
      </c>
      <c r="I3" s="91" t="s">
        <v>88</v>
      </c>
      <c r="J3" s="92" t="s">
        <v>89</v>
      </c>
      <c r="K3" s="91" t="s">
        <v>90</v>
      </c>
      <c r="L3" s="92" t="s">
        <v>91</v>
      </c>
      <c r="M3" s="91" t="s">
        <v>92</v>
      </c>
      <c r="N3" s="92" t="s">
        <v>93</v>
      </c>
      <c r="O3" s="91" t="s">
        <v>169</v>
      </c>
      <c r="P3" s="92" t="s">
        <v>168</v>
      </c>
      <c r="Q3" s="93" t="s">
        <v>39</v>
      </c>
    </row>
    <row r="4" spans="1:19" s="86" customFormat="1" hidden="1" x14ac:dyDescent="0.3">
      <c r="A4" s="94" t="s">
        <v>6</v>
      </c>
      <c r="B4" s="94"/>
      <c r="C4" s="86" t="s">
        <v>7</v>
      </c>
      <c r="D4" s="86" t="s">
        <v>8</v>
      </c>
      <c r="E4" s="86" t="s">
        <v>5</v>
      </c>
      <c r="F4" s="95"/>
      <c r="G4" s="96"/>
      <c r="H4" s="97"/>
      <c r="I4" s="96"/>
      <c r="J4" s="98"/>
      <c r="K4" s="96"/>
      <c r="L4" s="97">
        <v>-14499</v>
      </c>
      <c r="M4" s="96"/>
      <c r="N4" s="97">
        <v>-38664</v>
      </c>
      <c r="O4" s="96"/>
      <c r="P4" s="97">
        <v>-48330</v>
      </c>
      <c r="Q4" s="99" t="s">
        <v>40</v>
      </c>
    </row>
    <row r="5" spans="1:19" s="86" customFormat="1" hidden="1" x14ac:dyDescent="0.3">
      <c r="A5" s="100" t="s">
        <v>12</v>
      </c>
      <c r="B5" s="100"/>
      <c r="C5" s="101" t="s">
        <v>13</v>
      </c>
      <c r="D5" s="101" t="s">
        <v>161</v>
      </c>
      <c r="E5" s="101" t="s">
        <v>11</v>
      </c>
      <c r="F5" s="102">
        <v>-76846</v>
      </c>
      <c r="G5" s="105"/>
      <c r="H5" s="104"/>
      <c r="I5" s="103"/>
      <c r="J5" s="104"/>
      <c r="K5" s="103"/>
      <c r="L5" s="106">
        <f>-40333*0.7</f>
        <v>-28233.1</v>
      </c>
      <c r="M5" s="103"/>
      <c r="N5" s="106">
        <v>-40333</v>
      </c>
      <c r="O5" s="103"/>
      <c r="P5" s="106">
        <v>-40333</v>
      </c>
      <c r="Q5" s="107" t="s">
        <v>41</v>
      </c>
      <c r="R5" s="108"/>
    </row>
    <row r="6" spans="1:19" s="86" customFormat="1" hidden="1" x14ac:dyDescent="0.3">
      <c r="A6" s="94" t="s">
        <v>27</v>
      </c>
      <c r="B6" s="94"/>
      <c r="C6" s="86" t="s">
        <v>28</v>
      </c>
      <c r="D6" s="86" t="s">
        <v>29</v>
      </c>
      <c r="E6" s="86" t="s">
        <v>26</v>
      </c>
      <c r="F6" s="95"/>
      <c r="G6" s="96">
        <v>-102975</v>
      </c>
      <c r="H6" s="97">
        <v>0</v>
      </c>
      <c r="I6" s="96">
        <v>-50326</v>
      </c>
      <c r="J6" s="98"/>
      <c r="K6" s="96">
        <v>-667038</v>
      </c>
      <c r="L6" s="97"/>
      <c r="M6" s="96">
        <v>-1648000</v>
      </c>
      <c r="N6" s="97"/>
      <c r="O6" s="96">
        <v>-2783960</v>
      </c>
      <c r="P6" s="109"/>
      <c r="Q6" s="110" t="s">
        <v>42</v>
      </c>
    </row>
    <row r="7" spans="1:19" s="86" customFormat="1" ht="31.2" hidden="1" x14ac:dyDescent="0.3">
      <c r="A7" s="94" t="s">
        <v>307</v>
      </c>
      <c r="B7" s="94"/>
      <c r="C7" s="86" t="s">
        <v>28</v>
      </c>
      <c r="D7" s="86" t="s">
        <v>29</v>
      </c>
      <c r="E7" s="86" t="s">
        <v>26</v>
      </c>
      <c r="F7" s="95"/>
      <c r="G7" s="96"/>
      <c r="H7" s="97"/>
      <c r="I7" s="174"/>
      <c r="J7" s="98"/>
      <c r="K7" s="96"/>
      <c r="L7" s="97">
        <f>K6*0.36</f>
        <v>-240133.68</v>
      </c>
      <c r="M7" s="96"/>
      <c r="N7" s="97">
        <f>M6*0.36</f>
        <v>-593280</v>
      </c>
      <c r="O7" s="96"/>
      <c r="P7" s="97">
        <f>O6*0.36</f>
        <v>-1002225.6</v>
      </c>
      <c r="Q7" s="110" t="s">
        <v>43</v>
      </c>
    </row>
    <row r="8" spans="1:19" s="86" customFormat="1" ht="31.2" hidden="1" x14ac:dyDescent="0.3">
      <c r="A8" s="94" t="s">
        <v>230</v>
      </c>
      <c r="B8" s="94"/>
      <c r="C8" s="86" t="s">
        <v>28</v>
      </c>
      <c r="D8" s="86" t="s">
        <v>67</v>
      </c>
      <c r="E8" s="86" t="s">
        <v>26</v>
      </c>
      <c r="F8" s="95">
        <v>-973467</v>
      </c>
      <c r="G8" s="111"/>
      <c r="H8" s="112"/>
      <c r="I8" s="111">
        <v>0</v>
      </c>
      <c r="J8" s="112"/>
      <c r="K8" s="111">
        <v>0</v>
      </c>
      <c r="L8" s="112"/>
      <c r="M8" s="111">
        <v>400000</v>
      </c>
      <c r="N8" s="112"/>
      <c r="O8" s="111">
        <v>-882008.09050867404</v>
      </c>
      <c r="P8" s="113"/>
      <c r="Q8" s="99" t="s">
        <v>231</v>
      </c>
      <c r="R8" s="114"/>
    </row>
    <row r="9" spans="1:19" s="86" customFormat="1" ht="46.8" hidden="1" x14ac:dyDescent="0.3">
      <c r="A9" s="100" t="s">
        <v>160</v>
      </c>
      <c r="B9" s="100"/>
      <c r="C9" s="101" t="s">
        <v>16</v>
      </c>
      <c r="D9" s="101" t="s">
        <v>161</v>
      </c>
      <c r="E9" s="101" t="s">
        <v>11</v>
      </c>
      <c r="F9" s="102"/>
      <c r="G9" s="105"/>
      <c r="H9" s="104"/>
      <c r="I9" s="103"/>
      <c r="J9" s="104"/>
      <c r="K9" s="103"/>
      <c r="L9" s="106"/>
      <c r="M9" s="103"/>
      <c r="N9" s="106"/>
      <c r="O9" s="103"/>
      <c r="P9" s="106"/>
      <c r="Q9" s="107" t="s">
        <v>179</v>
      </c>
      <c r="R9" s="108"/>
    </row>
    <row r="10" spans="1:19" s="86" customFormat="1" ht="46.8" hidden="1" x14ac:dyDescent="0.3">
      <c r="A10" s="100" t="s">
        <v>162</v>
      </c>
      <c r="B10" s="100"/>
      <c r="C10" s="101" t="s">
        <v>16</v>
      </c>
      <c r="D10" s="101" t="s">
        <v>161</v>
      </c>
      <c r="E10" s="101" t="s">
        <v>11</v>
      </c>
      <c r="F10" s="102"/>
      <c r="G10" s="105"/>
      <c r="H10" s="104"/>
      <c r="I10" s="103"/>
      <c r="J10" s="104"/>
      <c r="K10" s="103"/>
      <c r="L10" s="106"/>
      <c r="M10" s="103"/>
      <c r="N10" s="106"/>
      <c r="O10" s="103"/>
      <c r="P10" s="106"/>
      <c r="Q10" s="107" t="s">
        <v>179</v>
      </c>
      <c r="R10" s="108"/>
    </row>
    <row r="11" spans="1:19" s="86" customFormat="1" ht="46.8" hidden="1" x14ac:dyDescent="0.3">
      <c r="A11" s="100" t="s">
        <v>163</v>
      </c>
      <c r="B11" s="100"/>
      <c r="C11" s="101" t="s">
        <v>16</v>
      </c>
      <c r="D11" s="101" t="s">
        <v>161</v>
      </c>
      <c r="E11" s="101" t="s">
        <v>11</v>
      </c>
      <c r="F11" s="102">
        <v>-10800</v>
      </c>
      <c r="G11" s="105"/>
      <c r="H11" s="104"/>
      <c r="I11" s="103"/>
      <c r="J11" s="104"/>
      <c r="K11" s="103"/>
      <c r="L11" s="106"/>
      <c r="M11" s="103"/>
      <c r="N11" s="106"/>
      <c r="O11" s="103"/>
      <c r="P11" s="106"/>
      <c r="Q11" s="107" t="s">
        <v>179</v>
      </c>
      <c r="R11" s="108"/>
    </row>
    <row r="12" spans="1:19" s="108" customFormat="1" hidden="1" x14ac:dyDescent="0.3">
      <c r="A12" s="115" t="s">
        <v>202</v>
      </c>
      <c r="B12" s="115"/>
      <c r="C12" s="116" t="s">
        <v>20</v>
      </c>
      <c r="D12" s="116" t="s">
        <v>191</v>
      </c>
      <c r="E12" s="116" t="s">
        <v>11</v>
      </c>
      <c r="F12" s="117">
        <v>-46000</v>
      </c>
      <c r="G12" s="103"/>
      <c r="H12" s="106"/>
      <c r="I12" s="118"/>
      <c r="J12" s="117">
        <v>-11100</v>
      </c>
      <c r="K12" s="118"/>
      <c r="L12" s="117">
        <v>-46000</v>
      </c>
      <c r="M12" s="118"/>
      <c r="N12" s="117">
        <v>-46000</v>
      </c>
      <c r="O12" s="118"/>
      <c r="P12" s="117">
        <v>-46000</v>
      </c>
      <c r="Q12" s="99" t="s">
        <v>182</v>
      </c>
      <c r="R12" s="119"/>
    </row>
    <row r="13" spans="1:19" s="108" customFormat="1" hidden="1" x14ac:dyDescent="0.3">
      <c r="A13" s="120" t="s">
        <v>174</v>
      </c>
      <c r="B13" s="120"/>
      <c r="C13" s="86" t="s">
        <v>7</v>
      </c>
      <c r="D13" s="86" t="s">
        <v>8</v>
      </c>
      <c r="E13" s="86" t="s">
        <v>5</v>
      </c>
      <c r="F13" s="117"/>
      <c r="G13" s="103"/>
      <c r="H13" s="106"/>
      <c r="I13" s="118"/>
      <c r="J13" s="106">
        <v>-12600</v>
      </c>
      <c r="K13" s="118"/>
      <c r="L13" s="106">
        <v>-12600</v>
      </c>
      <c r="M13" s="118"/>
      <c r="N13" s="106">
        <v>-12600</v>
      </c>
      <c r="O13" s="118"/>
      <c r="P13" s="106">
        <v>-12600</v>
      </c>
      <c r="Q13" s="99"/>
      <c r="R13" s="119"/>
    </row>
    <row r="14" spans="1:19" s="108" customFormat="1" hidden="1" x14ac:dyDescent="0.3">
      <c r="A14" s="120" t="s">
        <v>175</v>
      </c>
      <c r="B14" s="120"/>
      <c r="C14" s="86" t="s">
        <v>7</v>
      </c>
      <c r="D14" s="86" t="s">
        <v>8</v>
      </c>
      <c r="E14" s="86" t="s">
        <v>5</v>
      </c>
      <c r="F14" s="117"/>
      <c r="G14" s="103"/>
      <c r="H14" s="106"/>
      <c r="I14" s="118"/>
      <c r="J14" s="106"/>
      <c r="K14" s="118"/>
      <c r="L14" s="106">
        <v>0</v>
      </c>
      <c r="M14" s="118"/>
      <c r="N14" s="106">
        <v>-44239.37</v>
      </c>
      <c r="O14" s="118"/>
      <c r="P14" s="106">
        <v>-44239.37</v>
      </c>
      <c r="Q14" s="99"/>
      <c r="R14" s="119"/>
    </row>
    <row r="15" spans="1:19" s="122" customFormat="1" hidden="1" x14ac:dyDescent="0.3">
      <c r="A15" s="121" t="s">
        <v>35</v>
      </c>
      <c r="B15" s="165"/>
      <c r="C15" s="122" t="s">
        <v>36</v>
      </c>
      <c r="D15" s="122" t="s">
        <v>37</v>
      </c>
      <c r="E15" s="122" t="s">
        <v>38</v>
      </c>
      <c r="F15" s="123">
        <f>(F6+F8)*0.62</f>
        <v>-603549.54</v>
      </c>
      <c r="G15" s="125"/>
      <c r="H15" s="124"/>
      <c r="I15" s="126"/>
      <c r="J15" s="127"/>
      <c r="K15" s="125">
        <f>(K6+K8)*0.63</f>
        <v>-420233.94</v>
      </c>
      <c r="L15" s="124"/>
      <c r="M15" s="125">
        <f>(M6+M8)*0.63</f>
        <v>-786240</v>
      </c>
      <c r="N15" s="124"/>
      <c r="O15" s="125">
        <f>(O6+O8)*0.63</f>
        <v>-2309559.8970204648</v>
      </c>
      <c r="P15" s="128"/>
      <c r="Q15" s="129" t="s">
        <v>44</v>
      </c>
    </row>
    <row r="16" spans="1:19" s="86" customFormat="1" ht="31.2" hidden="1" x14ac:dyDescent="0.3">
      <c r="A16" s="94" t="s">
        <v>159</v>
      </c>
      <c r="B16" s="94" t="s">
        <v>285</v>
      </c>
      <c r="C16" s="101" t="s">
        <v>9</v>
      </c>
      <c r="D16" s="86" t="s">
        <v>10</v>
      </c>
      <c r="E16" s="86" t="s">
        <v>5</v>
      </c>
      <c r="F16" s="95"/>
      <c r="G16" s="96"/>
      <c r="H16" s="97"/>
      <c r="I16" s="96">
        <f>(F16*1.03)</f>
        <v>0</v>
      </c>
      <c r="J16" s="97"/>
      <c r="K16" s="96">
        <f>F16*1.06</f>
        <v>0</v>
      </c>
      <c r="L16" s="97"/>
      <c r="M16" s="96">
        <f>K16*1.03</f>
        <v>0</v>
      </c>
      <c r="N16" s="97"/>
      <c r="O16" s="96">
        <f t="shared" ref="O16:O19" si="0">M16*1.03</f>
        <v>0</v>
      </c>
      <c r="P16" s="109"/>
      <c r="Q16" s="110" t="s">
        <v>286</v>
      </c>
      <c r="R16" s="114"/>
      <c r="S16" s="139"/>
    </row>
    <row r="17" spans="1:19" s="86" customFormat="1" hidden="1" x14ac:dyDescent="0.3">
      <c r="A17" s="94" t="s">
        <v>164</v>
      </c>
      <c r="B17" s="94" t="s">
        <v>247</v>
      </c>
      <c r="C17" s="101" t="s">
        <v>164</v>
      </c>
      <c r="D17" s="86" t="s">
        <v>165</v>
      </c>
      <c r="E17" s="86" t="s">
        <v>11</v>
      </c>
      <c r="F17" s="95">
        <v>100000</v>
      </c>
      <c r="G17" s="96"/>
      <c r="H17" s="97"/>
      <c r="I17" s="96">
        <v>0</v>
      </c>
      <c r="J17" s="97"/>
      <c r="K17" s="96">
        <v>0</v>
      </c>
      <c r="L17" s="97"/>
      <c r="M17" s="96"/>
      <c r="N17" s="97"/>
      <c r="O17" s="96">
        <f t="shared" si="0"/>
        <v>0</v>
      </c>
      <c r="P17" s="109"/>
      <c r="Q17" s="110" t="s">
        <v>280</v>
      </c>
      <c r="R17" s="114"/>
      <c r="S17" s="139"/>
    </row>
    <row r="18" spans="1:19" s="86" customFormat="1" hidden="1" x14ac:dyDescent="0.3">
      <c r="A18" s="94" t="s">
        <v>15</v>
      </c>
      <c r="B18" s="94" t="s">
        <v>248</v>
      </c>
      <c r="C18" s="101" t="s">
        <v>13</v>
      </c>
      <c r="D18" s="86" t="s">
        <v>166</v>
      </c>
      <c r="E18" s="86" t="s">
        <v>11</v>
      </c>
      <c r="F18" s="198">
        <v>114000</v>
      </c>
      <c r="G18" s="96"/>
      <c r="H18" s="97"/>
      <c r="I18" s="96">
        <f>F18*0.53</f>
        <v>60420</v>
      </c>
      <c r="J18" s="97"/>
      <c r="K18" s="96">
        <f>F18*1.06</f>
        <v>120840</v>
      </c>
      <c r="L18" s="97"/>
      <c r="M18" s="96">
        <f>(+F18*1.09)*0.25</f>
        <v>31065.000000000004</v>
      </c>
      <c r="N18" s="97"/>
      <c r="O18" s="96">
        <f t="shared" si="0"/>
        <v>31996.950000000004</v>
      </c>
      <c r="P18" s="109"/>
      <c r="Q18" s="199" t="s">
        <v>308</v>
      </c>
      <c r="R18" s="114"/>
      <c r="S18" s="139"/>
    </row>
    <row r="19" spans="1:19" s="108" customFormat="1" hidden="1" x14ac:dyDescent="0.3">
      <c r="A19" s="94" t="s">
        <v>15</v>
      </c>
      <c r="B19" s="94" t="s">
        <v>249</v>
      </c>
      <c r="C19" s="101" t="s">
        <v>13</v>
      </c>
      <c r="D19" s="86" t="s">
        <v>166</v>
      </c>
      <c r="E19" s="86" t="s">
        <v>11</v>
      </c>
      <c r="F19" s="198">
        <v>102000</v>
      </c>
      <c r="G19" s="96"/>
      <c r="H19" s="97"/>
      <c r="I19" s="96">
        <f>F19*0.53</f>
        <v>54060</v>
      </c>
      <c r="J19" s="97"/>
      <c r="K19" s="96">
        <f>F19*1.06</f>
        <v>108120</v>
      </c>
      <c r="L19" s="97"/>
      <c r="M19" s="96">
        <f>(+F19*1.09)*0.25</f>
        <v>27795.000000000004</v>
      </c>
      <c r="N19" s="97"/>
      <c r="O19" s="96">
        <f t="shared" si="0"/>
        <v>28628.850000000006</v>
      </c>
      <c r="P19" s="109"/>
      <c r="Q19" s="199" t="s">
        <v>308</v>
      </c>
      <c r="R19" s="119"/>
      <c r="S19" s="200"/>
    </row>
    <row r="20" spans="1:19" s="108" customFormat="1" hidden="1" x14ac:dyDescent="0.3">
      <c r="A20" s="94" t="s">
        <v>282</v>
      </c>
      <c r="B20" s="94" t="s">
        <v>283</v>
      </c>
      <c r="C20" s="101" t="s">
        <v>284</v>
      </c>
      <c r="D20" s="86" t="s">
        <v>166</v>
      </c>
      <c r="E20" s="86" t="s">
        <v>11</v>
      </c>
      <c r="F20" s="198">
        <v>100000</v>
      </c>
      <c r="G20" s="96"/>
      <c r="H20" s="97"/>
      <c r="I20" s="96">
        <v>0</v>
      </c>
      <c r="J20" s="97"/>
      <c r="K20" s="96">
        <v>0</v>
      </c>
      <c r="L20" s="97"/>
      <c r="M20" s="96">
        <f>(+F20*1.09)*0.7</f>
        <v>76300</v>
      </c>
      <c r="N20" s="97"/>
      <c r="O20" s="96">
        <f>M20*1.03</f>
        <v>78589</v>
      </c>
      <c r="P20" s="109"/>
      <c r="Q20" s="199" t="s">
        <v>290</v>
      </c>
      <c r="R20" s="119"/>
      <c r="S20" s="200"/>
    </row>
    <row r="21" spans="1:19" s="86" customFormat="1" hidden="1" x14ac:dyDescent="0.3">
      <c r="A21" s="94" t="s">
        <v>101</v>
      </c>
      <c r="B21" s="94" t="s">
        <v>250</v>
      </c>
      <c r="C21" s="101" t="s">
        <v>16</v>
      </c>
      <c r="D21" s="86" t="s">
        <v>14</v>
      </c>
      <c r="E21" s="86" t="s">
        <v>11</v>
      </c>
      <c r="F21" s="95">
        <v>100000</v>
      </c>
      <c r="G21" s="141"/>
      <c r="H21" s="142"/>
      <c r="I21" s="141"/>
      <c r="J21" s="142"/>
      <c r="K21" s="96">
        <f>($F$21*1.06)*0.1</f>
        <v>10600</v>
      </c>
      <c r="L21" s="142"/>
      <c r="M21" s="96">
        <f>(+F21*1.09)</f>
        <v>109000.00000000001</v>
      </c>
      <c r="N21" s="96"/>
      <c r="O21" s="96">
        <f>M21*1.03</f>
        <v>112270.00000000001</v>
      </c>
      <c r="P21" s="109"/>
      <c r="Q21" s="110" t="s">
        <v>318</v>
      </c>
      <c r="R21" s="114"/>
      <c r="S21" s="139"/>
    </row>
    <row r="22" spans="1:19" s="217" customFormat="1" x14ac:dyDescent="0.3">
      <c r="A22" s="215" t="s">
        <v>232</v>
      </c>
      <c r="B22" s="215" t="s">
        <v>303</v>
      </c>
      <c r="C22" s="216" t="s">
        <v>17</v>
      </c>
      <c r="D22" s="217" t="s">
        <v>18</v>
      </c>
      <c r="E22" s="217" t="s">
        <v>11</v>
      </c>
      <c r="F22" s="169">
        <v>63494</v>
      </c>
      <c r="G22" s="218"/>
      <c r="H22" s="219"/>
      <c r="I22" s="220">
        <f>F22</f>
        <v>63494</v>
      </c>
      <c r="J22" s="221"/>
      <c r="K22" s="222">
        <f>F22*1.06</f>
        <v>67303.64</v>
      </c>
      <c r="L22" s="221"/>
      <c r="M22" s="220"/>
      <c r="N22" s="221"/>
      <c r="O22" s="220"/>
      <c r="P22" s="223"/>
      <c r="Q22" s="224" t="s">
        <v>300</v>
      </c>
      <c r="R22" s="225"/>
      <c r="S22" s="226"/>
    </row>
    <row r="23" spans="1:19" s="133" customFormat="1" hidden="1" x14ac:dyDescent="0.3">
      <c r="A23" s="132" t="s">
        <v>170</v>
      </c>
      <c r="B23" s="132" t="s">
        <v>251</v>
      </c>
      <c r="C23" s="130" t="s">
        <v>17</v>
      </c>
      <c r="D23" s="133" t="s">
        <v>18</v>
      </c>
      <c r="E23" s="133" t="s">
        <v>11</v>
      </c>
      <c r="F23" s="134">
        <v>114162</v>
      </c>
      <c r="G23" s="135"/>
      <c r="H23" s="136"/>
      <c r="I23" s="135">
        <v>0</v>
      </c>
      <c r="J23" s="136"/>
      <c r="K23" s="135">
        <v>0</v>
      </c>
      <c r="L23" s="136"/>
      <c r="M23" s="135">
        <f>I23*0.5</f>
        <v>0</v>
      </c>
      <c r="N23" s="136"/>
      <c r="O23" s="135">
        <f>I23*0.25</f>
        <v>0</v>
      </c>
      <c r="P23" s="137"/>
      <c r="Q23" s="168" t="s">
        <v>319</v>
      </c>
      <c r="R23" s="166"/>
      <c r="S23" s="140"/>
    </row>
    <row r="24" spans="1:19" s="86" customFormat="1" hidden="1" x14ac:dyDescent="0.3">
      <c r="A24" s="202" t="s">
        <v>255</v>
      </c>
      <c r="B24" s="94" t="s">
        <v>246</v>
      </c>
      <c r="C24" s="101" t="s">
        <v>17</v>
      </c>
      <c r="D24" s="86" t="s">
        <v>18</v>
      </c>
      <c r="E24" s="86" t="s">
        <v>11</v>
      </c>
      <c r="F24" s="198">
        <v>116000</v>
      </c>
      <c r="G24" s="96"/>
      <c r="H24" s="97"/>
      <c r="I24" s="96">
        <v>0</v>
      </c>
      <c r="J24" s="97"/>
      <c r="K24" s="96">
        <f>(F24*1.06)*0.75</f>
        <v>92220</v>
      </c>
      <c r="L24" s="97"/>
      <c r="M24" s="96">
        <f>F24*1.06</f>
        <v>122960</v>
      </c>
      <c r="N24" s="97"/>
      <c r="O24" s="96">
        <f>M24</f>
        <v>122960</v>
      </c>
      <c r="P24" s="109"/>
      <c r="Q24" s="110" t="s">
        <v>281</v>
      </c>
      <c r="R24" s="114"/>
      <c r="S24" s="139"/>
    </row>
    <row r="25" spans="1:19" s="233" customFormat="1" ht="31.2" x14ac:dyDescent="0.3">
      <c r="A25" s="229" t="s">
        <v>19</v>
      </c>
      <c r="B25" s="229" t="s">
        <v>301</v>
      </c>
      <c r="C25" s="216" t="s">
        <v>17</v>
      </c>
      <c r="D25" s="230" t="s">
        <v>18</v>
      </c>
      <c r="E25" s="230" t="s">
        <v>11</v>
      </c>
      <c r="F25" s="169">
        <v>84800</v>
      </c>
      <c r="G25" s="222"/>
      <c r="H25" s="227"/>
      <c r="I25" s="222">
        <v>0</v>
      </c>
      <c r="J25" s="227"/>
      <c r="K25" s="222"/>
      <c r="L25" s="227"/>
      <c r="M25" s="222"/>
      <c r="N25" s="227"/>
      <c r="O25" s="222"/>
      <c r="P25" s="223"/>
      <c r="Q25" s="224" t="s">
        <v>304</v>
      </c>
      <c r="R25" s="231"/>
      <c r="S25" s="232"/>
    </row>
    <row r="26" spans="1:19" s="170" customFormat="1" ht="31.5" customHeight="1" x14ac:dyDescent="0.3">
      <c r="A26" s="215" t="s">
        <v>299</v>
      </c>
      <c r="B26" s="215" t="s">
        <v>302</v>
      </c>
      <c r="C26" s="216" t="s">
        <v>30</v>
      </c>
      <c r="D26" s="217" t="s">
        <v>31</v>
      </c>
      <c r="E26" s="217" t="s">
        <v>26</v>
      </c>
      <c r="F26" s="169">
        <v>100000</v>
      </c>
      <c r="G26" s="234">
        <f>25000</f>
        <v>25000</v>
      </c>
      <c r="H26" s="235"/>
      <c r="I26" s="222">
        <f>+F26*1.03</f>
        <v>103000</v>
      </c>
      <c r="J26" s="227"/>
      <c r="K26" s="222">
        <f>F26*1.06</f>
        <v>106000</v>
      </c>
      <c r="L26" s="227"/>
      <c r="M26" s="222">
        <f>K26*1.06</f>
        <v>112360</v>
      </c>
      <c r="N26" s="227"/>
      <c r="O26" s="222">
        <f t="shared" ref="O26:O42" si="1">M26*1.03</f>
        <v>115730.8</v>
      </c>
      <c r="P26" s="223"/>
      <c r="Q26" s="224" t="s">
        <v>298</v>
      </c>
      <c r="R26" s="236"/>
    </row>
    <row r="27" spans="1:19" s="116" customFormat="1" hidden="1" x14ac:dyDescent="0.3">
      <c r="A27" s="202" t="s">
        <v>255</v>
      </c>
      <c r="B27" s="202" t="s">
        <v>256</v>
      </c>
      <c r="C27" s="207" t="s">
        <v>17</v>
      </c>
      <c r="D27" s="202" t="s">
        <v>18</v>
      </c>
      <c r="E27" s="202" t="s">
        <v>11</v>
      </c>
      <c r="F27" s="198">
        <f>115000*0.75</f>
        <v>86250</v>
      </c>
      <c r="G27" s="206"/>
      <c r="H27" s="96"/>
      <c r="I27" s="96">
        <v>0</v>
      </c>
      <c r="J27" s="96"/>
      <c r="K27" s="96">
        <f>(F27*1.06)*0.5</f>
        <v>45712.5</v>
      </c>
      <c r="L27" s="96"/>
      <c r="M27" s="96">
        <f>K27*1.06</f>
        <v>48455.25</v>
      </c>
      <c r="N27" s="96"/>
      <c r="O27" s="96">
        <f t="shared" si="1"/>
        <v>49908.907500000001</v>
      </c>
      <c r="P27" s="110"/>
      <c r="Q27" s="199" t="s">
        <v>290</v>
      </c>
    </row>
    <row r="28" spans="1:19" s="116" customFormat="1" hidden="1" x14ac:dyDescent="0.3">
      <c r="A28" s="202" t="s">
        <v>257</v>
      </c>
      <c r="B28" s="202" t="s">
        <v>258</v>
      </c>
      <c r="C28" s="207" t="s">
        <v>13</v>
      </c>
      <c r="D28" s="202" t="s">
        <v>166</v>
      </c>
      <c r="E28" s="202" t="s">
        <v>11</v>
      </c>
      <c r="F28" s="198">
        <f>(107000)*0.75</f>
        <v>80250</v>
      </c>
      <c r="G28" s="206"/>
      <c r="H28" s="96"/>
      <c r="I28" s="96">
        <v>0</v>
      </c>
      <c r="J28" s="96"/>
      <c r="K28" s="96">
        <f>(F28*1.06)*0.5</f>
        <v>42532.5</v>
      </c>
      <c r="L28" s="96"/>
      <c r="M28" s="96">
        <f>K28*1.06</f>
        <v>45084.450000000004</v>
      </c>
      <c r="N28" s="96"/>
      <c r="O28" s="96">
        <f t="shared" si="1"/>
        <v>46436.983500000002</v>
      </c>
      <c r="P28" s="110"/>
      <c r="Q28" s="199" t="s">
        <v>290</v>
      </c>
    </row>
    <row r="29" spans="1:19" s="116" customFormat="1" hidden="1" x14ac:dyDescent="0.3">
      <c r="A29" s="202" t="s">
        <v>288</v>
      </c>
      <c r="B29" s="202" t="s">
        <v>289</v>
      </c>
      <c r="C29" s="207" t="s">
        <v>17</v>
      </c>
      <c r="D29" s="202" t="s">
        <v>18</v>
      </c>
      <c r="E29" s="202" t="s">
        <v>11</v>
      </c>
      <c r="F29" s="198">
        <v>100000</v>
      </c>
      <c r="G29" s="206"/>
      <c r="H29" s="96"/>
      <c r="I29" s="96"/>
      <c r="J29" s="96"/>
      <c r="K29" s="96">
        <f>(F29*1.06)*0.5</f>
        <v>53000</v>
      </c>
      <c r="L29" s="96"/>
      <c r="M29" s="96">
        <f>F29*1.06</f>
        <v>106000</v>
      </c>
      <c r="N29" s="96"/>
      <c r="O29" s="96">
        <f>F29*1.06</f>
        <v>106000</v>
      </c>
      <c r="P29" s="110"/>
      <c r="Q29" s="146" t="s">
        <v>297</v>
      </c>
    </row>
    <row r="30" spans="1:19" s="116" customFormat="1" hidden="1" x14ac:dyDescent="0.3">
      <c r="A30" s="202" t="s">
        <v>259</v>
      </c>
      <c r="B30" s="202" t="s">
        <v>260</v>
      </c>
      <c r="C30" s="207" t="s">
        <v>13</v>
      </c>
      <c r="D30" s="202" t="s">
        <v>166</v>
      </c>
      <c r="E30" s="202" t="s">
        <v>11</v>
      </c>
      <c r="F30" s="198">
        <v>150000</v>
      </c>
      <c r="G30" s="206"/>
      <c r="H30" s="96"/>
      <c r="I30" s="96">
        <v>0</v>
      </c>
      <c r="J30" s="96"/>
      <c r="K30" s="96">
        <f>(F30*1.06)*0.1</f>
        <v>15900</v>
      </c>
      <c r="L30" s="96"/>
      <c r="M30" s="96">
        <f>K30*1.06</f>
        <v>16854</v>
      </c>
      <c r="N30" s="96"/>
      <c r="O30" s="96">
        <f t="shared" si="1"/>
        <v>17359.62</v>
      </c>
      <c r="P30" s="110"/>
      <c r="Q30" s="199" t="s">
        <v>309</v>
      </c>
    </row>
    <row r="31" spans="1:19" s="116" customFormat="1" hidden="1" x14ac:dyDescent="0.3">
      <c r="A31" s="208" t="s">
        <v>261</v>
      </c>
      <c r="B31" s="202" t="s">
        <v>262</v>
      </c>
      <c r="C31" s="207" t="s">
        <v>263</v>
      </c>
      <c r="D31" s="202" t="s">
        <v>264</v>
      </c>
      <c r="E31" s="202" t="s">
        <v>26</v>
      </c>
      <c r="F31" s="198">
        <v>70000</v>
      </c>
      <c r="G31" s="206"/>
      <c r="H31" s="96"/>
      <c r="I31" s="96">
        <v>0</v>
      </c>
      <c r="J31" s="96"/>
      <c r="K31" s="96">
        <f>(F31*1.06)</f>
        <v>74200</v>
      </c>
      <c r="L31" s="96"/>
      <c r="M31" s="96">
        <f>K31*1.06</f>
        <v>78652</v>
      </c>
      <c r="N31" s="96"/>
      <c r="O31" s="96">
        <f t="shared" si="1"/>
        <v>81011.56</v>
      </c>
      <c r="P31" s="110"/>
      <c r="Q31" s="199" t="s">
        <v>290</v>
      </c>
    </row>
    <row r="32" spans="1:19" s="116" customFormat="1" hidden="1" x14ac:dyDescent="0.3">
      <c r="A32" s="208" t="s">
        <v>261</v>
      </c>
      <c r="B32" s="202" t="s">
        <v>265</v>
      </c>
      <c r="C32" s="207" t="s">
        <v>263</v>
      </c>
      <c r="D32" s="202" t="s">
        <v>264</v>
      </c>
      <c r="E32" s="202" t="s">
        <v>26</v>
      </c>
      <c r="F32" s="198">
        <v>65000</v>
      </c>
      <c r="G32" s="206"/>
      <c r="H32" s="96"/>
      <c r="I32" s="96">
        <v>0</v>
      </c>
      <c r="J32" s="96"/>
      <c r="K32" s="96">
        <f>(F32*1.06)</f>
        <v>68900</v>
      </c>
      <c r="L32" s="96"/>
      <c r="M32" s="96">
        <v>70967</v>
      </c>
      <c r="N32" s="96"/>
      <c r="O32" s="96">
        <v>73096.009999999995</v>
      </c>
      <c r="P32" s="110"/>
      <c r="Q32" s="199" t="s">
        <v>291</v>
      </c>
    </row>
    <row r="33" spans="1:19" s="116" customFormat="1" hidden="1" x14ac:dyDescent="0.3">
      <c r="A33" s="208" t="s">
        <v>292</v>
      </c>
      <c r="B33" s="202" t="s">
        <v>310</v>
      </c>
      <c r="C33" s="207" t="s">
        <v>263</v>
      </c>
      <c r="D33" s="202" t="s">
        <v>293</v>
      </c>
      <c r="E33" s="202" t="s">
        <v>26</v>
      </c>
      <c r="F33" s="198">
        <v>65000</v>
      </c>
      <c r="G33" s="206"/>
      <c r="H33" s="96"/>
      <c r="I33" s="96"/>
      <c r="J33" s="96"/>
      <c r="K33" s="96"/>
      <c r="L33" s="96"/>
      <c r="M33" s="96"/>
      <c r="N33" s="96"/>
      <c r="O33" s="96">
        <f>F33*1.03</f>
        <v>66950</v>
      </c>
      <c r="P33" s="110"/>
      <c r="Q33" s="199" t="s">
        <v>311</v>
      </c>
    </row>
    <row r="34" spans="1:19" s="170" customFormat="1" x14ac:dyDescent="0.3">
      <c r="A34" s="237" t="s">
        <v>287</v>
      </c>
      <c r="B34" s="237" t="s">
        <v>252</v>
      </c>
      <c r="C34" s="238" t="s">
        <v>266</v>
      </c>
      <c r="D34" s="239" t="s">
        <v>267</v>
      </c>
      <c r="E34" s="237" t="s">
        <v>26</v>
      </c>
      <c r="F34" s="240">
        <v>90000</v>
      </c>
      <c r="G34" s="235"/>
      <c r="H34" s="222"/>
      <c r="I34" s="222">
        <v>0</v>
      </c>
      <c r="J34" s="222"/>
      <c r="K34" s="222">
        <f t="shared" ref="K34" si="2">(F34*1.06)</f>
        <v>95400</v>
      </c>
      <c r="L34" s="222"/>
      <c r="M34" s="222">
        <f>(K34*1.03)*0.2</f>
        <v>19652.400000000001</v>
      </c>
      <c r="N34" s="222"/>
      <c r="O34" s="222">
        <f t="shared" si="1"/>
        <v>20241.972000000002</v>
      </c>
      <c r="P34" s="224"/>
      <c r="Q34" s="236" t="s">
        <v>312</v>
      </c>
    </row>
    <row r="35" spans="1:19" s="131" customFormat="1" hidden="1" x14ac:dyDescent="0.3">
      <c r="A35" s="189" t="s">
        <v>268</v>
      </c>
      <c r="B35" s="189" t="s">
        <v>269</v>
      </c>
      <c r="C35" s="193" t="s">
        <v>266</v>
      </c>
      <c r="D35" s="194" t="s">
        <v>267</v>
      </c>
      <c r="E35" s="189" t="s">
        <v>26</v>
      </c>
      <c r="F35" s="167">
        <f>70000*0.25</f>
        <v>17500</v>
      </c>
      <c r="G35" s="191"/>
      <c r="H35" s="135"/>
      <c r="I35" s="135">
        <v>0</v>
      </c>
      <c r="J35" s="135"/>
      <c r="K35" s="135"/>
      <c r="L35" s="135"/>
      <c r="M35" s="135">
        <f t="shared" ref="M35:M40" si="3">K35*1.03</f>
        <v>0</v>
      </c>
      <c r="N35" s="135"/>
      <c r="O35" s="135">
        <f t="shared" si="1"/>
        <v>0</v>
      </c>
      <c r="P35" s="138"/>
      <c r="Q35" s="168" t="s">
        <v>290</v>
      </c>
    </row>
    <row r="36" spans="1:19" s="131" customFormat="1" hidden="1" x14ac:dyDescent="0.3">
      <c r="A36" s="189" t="s">
        <v>270</v>
      </c>
      <c r="B36" s="189" t="s">
        <v>271</v>
      </c>
      <c r="C36" s="190" t="s">
        <v>263</v>
      </c>
      <c r="D36" s="189" t="s">
        <v>264</v>
      </c>
      <c r="E36" s="189" t="s">
        <v>26</v>
      </c>
      <c r="F36" s="167">
        <v>80000</v>
      </c>
      <c r="G36" s="191"/>
      <c r="H36" s="135"/>
      <c r="I36" s="135">
        <v>0</v>
      </c>
      <c r="J36" s="135"/>
      <c r="K36" s="135">
        <f>(F36*1.06)</f>
        <v>84800</v>
      </c>
      <c r="L36" s="135"/>
      <c r="M36" s="135">
        <f t="shared" si="3"/>
        <v>87344</v>
      </c>
      <c r="N36" s="135"/>
      <c r="O36" s="135">
        <f t="shared" si="1"/>
        <v>89964.32</v>
      </c>
      <c r="P36" s="138"/>
      <c r="Q36" s="168" t="s">
        <v>290</v>
      </c>
    </row>
    <row r="37" spans="1:19" s="116" customFormat="1" hidden="1" x14ac:dyDescent="0.3">
      <c r="A37" s="202" t="s">
        <v>272</v>
      </c>
      <c r="B37" s="202" t="s">
        <v>273</v>
      </c>
      <c r="C37" s="207" t="s">
        <v>9</v>
      </c>
      <c r="D37" s="202" t="s">
        <v>8</v>
      </c>
      <c r="E37" s="202" t="s">
        <v>5</v>
      </c>
      <c r="F37" s="198">
        <f>123900*0.8</f>
        <v>99120</v>
      </c>
      <c r="G37" s="206"/>
      <c r="H37" s="96"/>
      <c r="I37" s="96">
        <v>0</v>
      </c>
      <c r="J37" s="96"/>
      <c r="K37" s="96">
        <f>(F37*1.06)*0.6</f>
        <v>63040.320000000007</v>
      </c>
      <c r="L37" s="96"/>
      <c r="M37" s="96">
        <f t="shared" si="3"/>
        <v>64931.529600000009</v>
      </c>
      <c r="N37" s="96"/>
      <c r="O37" s="96">
        <f t="shared" si="1"/>
        <v>66879.475488000011</v>
      </c>
      <c r="P37" s="110"/>
      <c r="Q37" s="199" t="s">
        <v>313</v>
      </c>
    </row>
    <row r="38" spans="1:19" s="116" customFormat="1" hidden="1" x14ac:dyDescent="0.3">
      <c r="A38" s="202" t="s">
        <v>272</v>
      </c>
      <c r="B38" s="202" t="s">
        <v>274</v>
      </c>
      <c r="C38" s="207" t="s">
        <v>9</v>
      </c>
      <c r="D38" s="202" t="s">
        <v>8</v>
      </c>
      <c r="E38" s="202" t="s">
        <v>5</v>
      </c>
      <c r="F38" s="198">
        <f>94000*0.8</f>
        <v>75200</v>
      </c>
      <c r="G38" s="206"/>
      <c r="H38" s="96"/>
      <c r="I38" s="96">
        <v>0</v>
      </c>
      <c r="J38" s="96"/>
      <c r="K38" s="96">
        <f>(F38*1.06)*0.6</f>
        <v>47827.199999999997</v>
      </c>
      <c r="L38" s="96"/>
      <c r="M38" s="96">
        <f t="shared" si="3"/>
        <v>49262.015999999996</v>
      </c>
      <c r="N38" s="96"/>
      <c r="O38" s="96">
        <f t="shared" si="1"/>
        <v>50739.876479999999</v>
      </c>
      <c r="P38" s="110"/>
      <c r="Q38" s="146" t="s">
        <v>314</v>
      </c>
    </row>
    <row r="39" spans="1:19" s="116" customFormat="1" hidden="1" x14ac:dyDescent="0.3">
      <c r="A39" s="202" t="s">
        <v>275</v>
      </c>
      <c r="B39" s="202" t="s">
        <v>276</v>
      </c>
      <c r="C39" s="207" t="s">
        <v>9</v>
      </c>
      <c r="D39" s="202" t="s">
        <v>8</v>
      </c>
      <c r="E39" s="202" t="s">
        <v>5</v>
      </c>
      <c r="F39" s="198">
        <f>107000*0.75</f>
        <v>80250</v>
      </c>
      <c r="G39" s="206"/>
      <c r="H39" s="96"/>
      <c r="I39" s="96">
        <v>0</v>
      </c>
      <c r="J39" s="96"/>
      <c r="K39" s="96">
        <f>(F39*1.06)*0.5</f>
        <v>42532.5</v>
      </c>
      <c r="L39" s="96"/>
      <c r="M39" s="96">
        <f t="shared" si="3"/>
        <v>43808.474999999999</v>
      </c>
      <c r="N39" s="96"/>
      <c r="O39" s="96">
        <f t="shared" si="1"/>
        <v>45122.729249999997</v>
      </c>
      <c r="P39" s="110"/>
      <c r="Q39" s="199" t="s">
        <v>315</v>
      </c>
    </row>
    <row r="40" spans="1:19" s="116" customFormat="1" hidden="1" x14ac:dyDescent="0.3">
      <c r="A40" s="211" t="s">
        <v>237</v>
      </c>
      <c r="B40" s="207" t="s">
        <v>277</v>
      </c>
      <c r="C40" s="211" t="s">
        <v>278</v>
      </c>
      <c r="D40" s="202" t="s">
        <v>167</v>
      </c>
      <c r="E40" s="202" t="s">
        <v>11</v>
      </c>
      <c r="F40" s="198">
        <v>127800</v>
      </c>
      <c r="G40" s="206"/>
      <c r="H40" s="96"/>
      <c r="I40" s="96">
        <f>(+F40*1.03)*0.25</f>
        <v>32908.5</v>
      </c>
      <c r="J40" s="96"/>
      <c r="K40" s="96">
        <f>F40*1.06</f>
        <v>135468</v>
      </c>
      <c r="L40" s="96"/>
      <c r="M40" s="96">
        <f t="shared" si="3"/>
        <v>139532.04</v>
      </c>
      <c r="N40" s="96"/>
      <c r="O40" s="96">
        <f t="shared" si="1"/>
        <v>143718.0012</v>
      </c>
      <c r="P40" s="110"/>
      <c r="Q40" s="146" t="s">
        <v>295</v>
      </c>
    </row>
    <row r="41" spans="1:19" s="116" customFormat="1" hidden="1" x14ac:dyDescent="0.3">
      <c r="A41" s="211" t="s">
        <v>279</v>
      </c>
      <c r="B41" s="207" t="s">
        <v>244</v>
      </c>
      <c r="C41" s="211" t="s">
        <v>263</v>
      </c>
      <c r="D41" s="202" t="s">
        <v>264</v>
      </c>
      <c r="E41" s="202" t="s">
        <v>26</v>
      </c>
      <c r="F41" s="198">
        <f>70000</f>
        <v>70000</v>
      </c>
      <c r="G41" s="206"/>
      <c r="H41" s="96"/>
      <c r="I41" s="96">
        <v>0</v>
      </c>
      <c r="J41" s="96"/>
      <c r="K41" s="96">
        <v>0</v>
      </c>
      <c r="L41" s="96"/>
      <c r="M41" s="96">
        <f>F41*0.5</f>
        <v>35000</v>
      </c>
      <c r="N41" s="96"/>
      <c r="O41" s="96">
        <f>F41*1.03</f>
        <v>72100</v>
      </c>
      <c r="P41" s="110"/>
      <c r="Q41" s="146" t="s">
        <v>296</v>
      </c>
    </row>
    <row r="42" spans="1:19" s="116" customFormat="1" hidden="1" x14ac:dyDescent="0.3">
      <c r="A42" s="143" t="s">
        <v>32</v>
      </c>
      <c r="B42" s="143" t="s">
        <v>245</v>
      </c>
      <c r="C42" s="101" t="s">
        <v>33</v>
      </c>
      <c r="D42" s="144" t="s">
        <v>34</v>
      </c>
      <c r="E42" s="202" t="s">
        <v>26</v>
      </c>
      <c r="F42" s="145">
        <v>100000</v>
      </c>
      <c r="G42" s="212"/>
      <c r="H42" s="142"/>
      <c r="I42" s="96"/>
      <c r="J42" s="97"/>
      <c r="K42" s="96">
        <v>100000</v>
      </c>
      <c r="L42" s="97"/>
      <c r="M42" s="96">
        <f>(K42*1.03)*0.5</f>
        <v>51500</v>
      </c>
      <c r="N42" s="97"/>
      <c r="O42" s="96">
        <f t="shared" si="1"/>
        <v>53045</v>
      </c>
      <c r="P42" s="109"/>
      <c r="Q42" s="110" t="s">
        <v>240</v>
      </c>
      <c r="R42" s="146"/>
    </row>
    <row r="43" spans="1:19" s="116" customFormat="1" ht="97.5" hidden="1" customHeight="1" x14ac:dyDescent="0.3">
      <c r="A43" s="94" t="s">
        <v>199</v>
      </c>
      <c r="B43" s="94"/>
      <c r="C43" s="101" t="s">
        <v>9</v>
      </c>
      <c r="D43" s="86" t="s">
        <v>10</v>
      </c>
      <c r="E43" s="86" t="s">
        <v>5</v>
      </c>
      <c r="F43" s="95">
        <v>200000</v>
      </c>
      <c r="G43" s="141"/>
      <c r="H43" s="142"/>
      <c r="I43" s="96"/>
      <c r="J43" s="97"/>
      <c r="K43" s="96">
        <v>0</v>
      </c>
      <c r="L43" s="97"/>
      <c r="M43" s="96">
        <v>0</v>
      </c>
      <c r="N43" s="97"/>
      <c r="O43" s="96">
        <v>0</v>
      </c>
      <c r="P43" s="109"/>
      <c r="Q43" s="110" t="s">
        <v>305</v>
      </c>
      <c r="R43" s="146"/>
    </row>
    <row r="44" spans="1:19" s="255" customFormat="1" x14ac:dyDescent="0.3">
      <c r="A44" s="254" t="s">
        <v>35</v>
      </c>
      <c r="B44" s="254"/>
      <c r="C44" s="255" t="s">
        <v>36</v>
      </c>
      <c r="D44" s="255" t="s">
        <v>37</v>
      </c>
      <c r="E44" s="255" t="s">
        <v>38</v>
      </c>
      <c r="F44" s="256">
        <f>(SUM(F16:H43)*0.71)</f>
        <v>1828836.46</v>
      </c>
      <c r="G44" s="259">
        <f>(G26)*0.71</f>
        <v>17750</v>
      </c>
      <c r="H44" s="258"/>
      <c r="I44" s="259">
        <f>(I22+I26)*0.71</f>
        <v>118210.73999999999</v>
      </c>
      <c r="J44" s="260"/>
      <c r="K44" s="259">
        <f>(K22+K26+K34)*0.71</f>
        <v>190779.58439999999</v>
      </c>
      <c r="L44" s="260"/>
      <c r="M44" s="259">
        <f>(M26+M34)*0.71</f>
        <v>93728.803999999989</v>
      </c>
      <c r="N44" s="260"/>
      <c r="O44" s="259">
        <f>(O26+O34)*0.71</f>
        <v>96540.668119999988</v>
      </c>
      <c r="P44" s="261"/>
      <c r="Q44" s="262" t="s">
        <v>45</v>
      </c>
      <c r="R44" s="263"/>
    </row>
    <row r="45" spans="1:19" s="217" customFormat="1" ht="31.2" x14ac:dyDescent="0.3">
      <c r="A45" s="242" t="s">
        <v>21</v>
      </c>
      <c r="B45" s="242"/>
      <c r="C45" s="170" t="s">
        <v>20</v>
      </c>
      <c r="D45" s="170" t="s">
        <v>167</v>
      </c>
      <c r="E45" s="170" t="s">
        <v>11</v>
      </c>
      <c r="F45" s="243">
        <v>363416</v>
      </c>
      <c r="G45" s="220"/>
      <c r="H45" s="221">
        <v>59576</v>
      </c>
      <c r="I45" s="244"/>
      <c r="J45" s="221">
        <v>363416</v>
      </c>
      <c r="K45" s="244"/>
      <c r="L45" s="221">
        <v>363416</v>
      </c>
      <c r="M45" s="244"/>
      <c r="N45" s="221">
        <v>363416</v>
      </c>
      <c r="O45" s="244"/>
      <c r="P45" s="221">
        <v>363416</v>
      </c>
      <c r="Q45" s="171" t="s">
        <v>106</v>
      </c>
      <c r="R45" s="245"/>
      <c r="S45" s="226"/>
    </row>
    <row r="46" spans="1:19" s="86" customFormat="1" ht="31.2" hidden="1" x14ac:dyDescent="0.3">
      <c r="A46" s="120" t="s">
        <v>192</v>
      </c>
      <c r="B46" s="120"/>
      <c r="C46" s="116" t="s">
        <v>20</v>
      </c>
      <c r="D46" s="116" t="s">
        <v>167</v>
      </c>
      <c r="E46" s="116" t="s">
        <v>11</v>
      </c>
      <c r="F46" s="117">
        <v>214900</v>
      </c>
      <c r="G46" s="103"/>
      <c r="H46" s="106"/>
      <c r="I46" s="118"/>
      <c r="J46" s="106">
        <v>53728</v>
      </c>
      <c r="K46" s="118"/>
      <c r="L46" s="106">
        <v>214900</v>
      </c>
      <c r="M46" s="118"/>
      <c r="N46" s="106">
        <f>+L46</f>
        <v>214900</v>
      </c>
      <c r="O46" s="118"/>
      <c r="P46" s="106">
        <f>+N46</f>
        <v>214900</v>
      </c>
      <c r="Q46" s="99" t="s">
        <v>171</v>
      </c>
      <c r="R46" s="108"/>
      <c r="S46" s="139"/>
    </row>
    <row r="47" spans="1:19" s="86" customFormat="1" hidden="1" x14ac:dyDescent="0.3">
      <c r="A47" s="120" t="s">
        <v>193</v>
      </c>
      <c r="B47" s="120"/>
      <c r="C47" s="116" t="s">
        <v>20</v>
      </c>
      <c r="D47" s="116" t="s">
        <v>194</v>
      </c>
      <c r="E47" s="116" t="s">
        <v>11</v>
      </c>
      <c r="F47" s="117">
        <v>164738</v>
      </c>
      <c r="G47" s="103"/>
      <c r="H47" s="106"/>
      <c r="I47" s="118"/>
      <c r="J47" s="106">
        <v>2080</v>
      </c>
      <c r="K47" s="118"/>
      <c r="L47" s="106">
        <v>78208</v>
      </c>
      <c r="M47" s="118"/>
      <c r="N47" s="106">
        <v>164738</v>
      </c>
      <c r="O47" s="118"/>
      <c r="P47" s="106">
        <f>+N47</f>
        <v>164738</v>
      </c>
      <c r="Q47" s="99"/>
      <c r="R47" s="108"/>
      <c r="S47" s="139"/>
    </row>
    <row r="48" spans="1:19" s="86" customFormat="1" hidden="1" x14ac:dyDescent="0.3">
      <c r="A48" s="115" t="s">
        <v>200</v>
      </c>
      <c r="B48" s="115"/>
      <c r="C48" s="116" t="s">
        <v>20</v>
      </c>
      <c r="D48" s="116" t="s">
        <v>167</v>
      </c>
      <c r="E48" s="116" t="s">
        <v>11</v>
      </c>
      <c r="F48" s="117">
        <v>134500</v>
      </c>
      <c r="G48" s="103"/>
      <c r="H48" s="106"/>
      <c r="I48" s="118"/>
      <c r="J48" s="106">
        <v>134500</v>
      </c>
      <c r="K48" s="118"/>
      <c r="L48" s="106">
        <v>134500</v>
      </c>
      <c r="M48" s="106"/>
      <c r="N48" s="106">
        <v>134500</v>
      </c>
      <c r="O48" s="118"/>
      <c r="P48" s="106">
        <v>134500</v>
      </c>
      <c r="Q48" s="99" t="s">
        <v>180</v>
      </c>
      <c r="R48" s="108"/>
      <c r="S48" s="139"/>
    </row>
    <row r="49" spans="1:18" s="108" customFormat="1" hidden="1" x14ac:dyDescent="0.3">
      <c r="A49" s="120" t="s">
        <v>195</v>
      </c>
      <c r="B49" s="120"/>
      <c r="C49" s="116" t="s">
        <v>20</v>
      </c>
      <c r="D49" s="116" t="s">
        <v>161</v>
      </c>
      <c r="E49" s="116" t="s">
        <v>11</v>
      </c>
      <c r="F49" s="117">
        <v>99218</v>
      </c>
      <c r="G49" s="103"/>
      <c r="H49" s="106"/>
      <c r="I49" s="118"/>
      <c r="J49" s="106">
        <v>8978</v>
      </c>
      <c r="K49" s="118"/>
      <c r="L49" s="106">
        <v>88844</v>
      </c>
      <c r="M49" s="118"/>
      <c r="N49" s="106">
        <v>99218</v>
      </c>
      <c r="O49" s="118"/>
      <c r="P49" s="106">
        <f>+F49</f>
        <v>99218</v>
      </c>
      <c r="Q49" s="99"/>
      <c r="R49" s="119"/>
    </row>
    <row r="50" spans="1:18" s="108" customFormat="1" hidden="1" x14ac:dyDescent="0.3">
      <c r="A50" s="120" t="s">
        <v>233</v>
      </c>
      <c r="B50" s="120"/>
      <c r="C50" s="116" t="s">
        <v>20</v>
      </c>
      <c r="D50" s="116" t="s">
        <v>161</v>
      </c>
      <c r="E50" s="116" t="s">
        <v>11</v>
      </c>
      <c r="F50" s="117">
        <v>2173</v>
      </c>
      <c r="G50" s="103"/>
      <c r="H50" s="106"/>
      <c r="I50" s="118"/>
      <c r="J50" s="106"/>
      <c r="K50" s="118"/>
      <c r="L50" s="106">
        <v>380</v>
      </c>
      <c r="M50" s="118"/>
      <c r="N50" s="106">
        <v>1730</v>
      </c>
      <c r="O50" s="118"/>
      <c r="P50" s="106">
        <f>+F50</f>
        <v>2173</v>
      </c>
      <c r="Q50" s="99"/>
      <c r="R50" s="119"/>
    </row>
    <row r="51" spans="1:18" s="108" customFormat="1" hidden="1" x14ac:dyDescent="0.3">
      <c r="A51" s="120" t="s">
        <v>177</v>
      </c>
      <c r="B51" s="120"/>
      <c r="C51" s="116" t="s">
        <v>20</v>
      </c>
      <c r="D51" s="116" t="s">
        <v>176</v>
      </c>
      <c r="E51" s="116" t="s">
        <v>11</v>
      </c>
      <c r="F51" s="117">
        <v>51000</v>
      </c>
      <c r="G51" s="103"/>
      <c r="H51" s="106"/>
      <c r="I51" s="118"/>
      <c r="J51" s="106">
        <v>1050</v>
      </c>
      <c r="K51" s="118"/>
      <c r="L51" s="106">
        <v>1050</v>
      </c>
      <c r="M51" s="118"/>
      <c r="N51" s="106">
        <f>+F51</f>
        <v>51000</v>
      </c>
      <c r="O51" s="118"/>
      <c r="P51" s="106">
        <v>51000</v>
      </c>
      <c r="Q51" s="99" t="s">
        <v>316</v>
      </c>
      <c r="R51" s="119"/>
    </row>
    <row r="52" spans="1:18" s="108" customFormat="1" hidden="1" x14ac:dyDescent="0.3">
      <c r="A52" s="120" t="s">
        <v>178</v>
      </c>
      <c r="B52" s="120"/>
      <c r="C52" s="116" t="s">
        <v>20</v>
      </c>
      <c r="D52" s="116" t="s">
        <v>176</v>
      </c>
      <c r="E52" s="116" t="s">
        <v>11</v>
      </c>
      <c r="F52" s="117">
        <v>19300</v>
      </c>
      <c r="G52" s="103"/>
      <c r="H52" s="106"/>
      <c r="I52" s="118"/>
      <c r="J52" s="106"/>
      <c r="K52" s="118"/>
      <c r="L52" s="106">
        <v>787</v>
      </c>
      <c r="M52" s="118"/>
      <c r="N52" s="106">
        <v>12177</v>
      </c>
      <c r="O52" s="118"/>
      <c r="P52" s="106">
        <v>12177</v>
      </c>
      <c r="Q52" s="99" t="s">
        <v>316</v>
      </c>
      <c r="R52" s="119"/>
    </row>
    <row r="53" spans="1:18" s="108" customFormat="1" hidden="1" x14ac:dyDescent="0.3">
      <c r="A53" s="115" t="s">
        <v>201</v>
      </c>
      <c r="B53" s="115"/>
      <c r="C53" s="116" t="s">
        <v>20</v>
      </c>
      <c r="D53" s="116" t="s">
        <v>191</v>
      </c>
      <c r="E53" s="116" t="s">
        <v>11</v>
      </c>
      <c r="F53" s="106">
        <v>40557</v>
      </c>
      <c r="G53" s="103"/>
      <c r="H53" s="106"/>
      <c r="I53" s="118"/>
      <c r="J53" s="106">
        <v>40557</v>
      </c>
      <c r="K53" s="118"/>
      <c r="L53" s="106">
        <v>40557</v>
      </c>
      <c r="M53" s="106"/>
      <c r="N53" s="106">
        <v>40557</v>
      </c>
      <c r="O53" s="118"/>
      <c r="P53" s="106">
        <v>40557</v>
      </c>
      <c r="Q53" s="99" t="s">
        <v>182</v>
      </c>
      <c r="R53" s="119"/>
    </row>
    <row r="54" spans="1:18" s="108" customFormat="1" hidden="1" x14ac:dyDescent="0.3">
      <c r="A54" s="115" t="s">
        <v>203</v>
      </c>
      <c r="B54" s="115"/>
      <c r="C54" s="116" t="s">
        <v>20</v>
      </c>
      <c r="D54" s="116" t="s">
        <v>191</v>
      </c>
      <c r="E54" s="116" t="s">
        <v>11</v>
      </c>
      <c r="F54" s="117">
        <v>18675</v>
      </c>
      <c r="G54" s="103"/>
      <c r="H54" s="106"/>
      <c r="I54" s="118"/>
      <c r="J54" s="117">
        <v>18675</v>
      </c>
      <c r="K54" s="118"/>
      <c r="L54" s="117">
        <v>18675</v>
      </c>
      <c r="M54" s="118"/>
      <c r="N54" s="117">
        <v>18675</v>
      </c>
      <c r="O54" s="118"/>
      <c r="P54" s="117">
        <v>18675</v>
      </c>
      <c r="Q54" s="99" t="s">
        <v>182</v>
      </c>
      <c r="R54" s="119"/>
    </row>
    <row r="55" spans="1:18" s="108" customFormat="1" hidden="1" x14ac:dyDescent="0.3">
      <c r="A55" s="120" t="s">
        <v>24</v>
      </c>
      <c r="B55" s="120"/>
      <c r="C55" s="116" t="s">
        <v>20</v>
      </c>
      <c r="D55" s="116" t="s">
        <v>161</v>
      </c>
      <c r="E55" s="116" t="s">
        <v>11</v>
      </c>
      <c r="F55" s="117">
        <v>74680</v>
      </c>
      <c r="G55" s="103"/>
      <c r="H55" s="106"/>
      <c r="I55" s="118"/>
      <c r="J55" s="106">
        <v>10440</v>
      </c>
      <c r="K55" s="118"/>
      <c r="L55" s="106">
        <v>71200</v>
      </c>
      <c r="M55" s="118"/>
      <c r="N55" s="106">
        <v>97241</v>
      </c>
      <c r="O55" s="118"/>
      <c r="P55" s="106">
        <v>97805</v>
      </c>
      <c r="Q55" s="99" t="s">
        <v>317</v>
      </c>
      <c r="R55" s="119"/>
    </row>
    <row r="56" spans="1:18" s="108" customFormat="1" ht="46.8" hidden="1" x14ac:dyDescent="0.3">
      <c r="A56" s="120" t="s">
        <v>25</v>
      </c>
      <c r="B56" s="120"/>
      <c r="C56" s="116" t="s">
        <v>20</v>
      </c>
      <c r="D56" s="116" t="s">
        <v>167</v>
      </c>
      <c r="E56" s="116" t="s">
        <v>11</v>
      </c>
      <c r="F56" s="117">
        <v>233484</v>
      </c>
      <c r="G56" s="103"/>
      <c r="H56" s="106">
        <v>38216</v>
      </c>
      <c r="I56" s="118"/>
      <c r="J56" s="106">
        <v>100952</v>
      </c>
      <c r="K56" s="118"/>
      <c r="L56" s="106">
        <f>F56</f>
        <v>233484</v>
      </c>
      <c r="M56" s="118"/>
      <c r="N56" s="106">
        <f>F56</f>
        <v>233484</v>
      </c>
      <c r="O56" s="118"/>
      <c r="P56" s="106">
        <f>F56</f>
        <v>233484</v>
      </c>
      <c r="Q56" s="99" t="s">
        <v>181</v>
      </c>
      <c r="R56" s="119"/>
    </row>
    <row r="57" spans="1:18" s="108" customFormat="1" ht="46.8" hidden="1" x14ac:dyDescent="0.3">
      <c r="A57" s="120" t="s">
        <v>196</v>
      </c>
      <c r="B57" s="120"/>
      <c r="C57" s="101" t="s">
        <v>33</v>
      </c>
      <c r="D57" s="86" t="s">
        <v>34</v>
      </c>
      <c r="E57" s="86" t="s">
        <v>26</v>
      </c>
      <c r="F57" s="117">
        <v>450000</v>
      </c>
      <c r="G57" s="103"/>
      <c r="H57" s="106"/>
      <c r="I57" s="118"/>
      <c r="J57" s="106"/>
      <c r="K57" s="118"/>
      <c r="L57" s="106">
        <f>F57*0.5</f>
        <v>225000</v>
      </c>
      <c r="M57" s="118"/>
      <c r="N57" s="106">
        <f>F57*0.5</f>
        <v>225000</v>
      </c>
      <c r="O57" s="118"/>
      <c r="P57" s="106"/>
      <c r="Q57" s="99" t="s">
        <v>197</v>
      </c>
      <c r="R57" s="119"/>
    </row>
    <row r="58" spans="1:18" s="116" customFormat="1" ht="46.8" hidden="1" x14ac:dyDescent="0.3">
      <c r="A58" s="120" t="s">
        <v>198</v>
      </c>
      <c r="B58" s="120"/>
      <c r="C58" s="116" t="s">
        <v>20</v>
      </c>
      <c r="D58" s="116" t="s">
        <v>167</v>
      </c>
      <c r="E58" s="116" t="s">
        <v>11</v>
      </c>
      <c r="F58" s="117">
        <v>650000</v>
      </c>
      <c r="G58" s="103"/>
      <c r="H58" s="106"/>
      <c r="I58" s="118"/>
      <c r="J58" s="106">
        <v>30000</v>
      </c>
      <c r="K58" s="118"/>
      <c r="L58" s="106">
        <v>180000</v>
      </c>
      <c r="M58" s="118"/>
      <c r="N58" s="106">
        <v>180000</v>
      </c>
      <c r="O58" s="118"/>
      <c r="P58" s="106">
        <v>180000</v>
      </c>
      <c r="Q58" s="99" t="s">
        <v>238</v>
      </c>
      <c r="R58" s="213"/>
    </row>
    <row r="59" spans="1:18" s="86" customFormat="1" ht="16.2" thickBot="1" x14ac:dyDescent="0.35">
      <c r="A59" s="94"/>
      <c r="B59" s="94"/>
      <c r="F59" s="148">
        <f t="shared" ref="F59" si="4">SUM(F4:F58)</f>
        <v>5185640.92</v>
      </c>
      <c r="G59" s="149">
        <f>G44+G26</f>
        <v>42750</v>
      </c>
      <c r="H59" s="150">
        <f>H45</f>
        <v>59576</v>
      </c>
      <c r="I59" s="149">
        <f>I44+I26+I22</f>
        <v>284704.74</v>
      </c>
      <c r="J59" s="150">
        <f>J45</f>
        <v>363416</v>
      </c>
      <c r="K59" s="149">
        <f>K44+K34+K26+K22</f>
        <v>459483.22440000001</v>
      </c>
      <c r="L59" s="150">
        <f>L45</f>
        <v>363416</v>
      </c>
      <c r="M59" s="149">
        <f>M44+M34+M26</f>
        <v>225741.204</v>
      </c>
      <c r="N59" s="150">
        <f>N45</f>
        <v>363416</v>
      </c>
      <c r="O59" s="149">
        <f>O44+O34+O26</f>
        <v>232513.44011999998</v>
      </c>
      <c r="P59" s="150">
        <f>P45</f>
        <v>363416</v>
      </c>
      <c r="Q59" s="110"/>
    </row>
    <row r="60" spans="1:18" s="86" customFormat="1" ht="8.25" customHeight="1" x14ac:dyDescent="0.3">
      <c r="A60" s="151"/>
      <c r="B60" s="151"/>
      <c r="F60" s="95"/>
      <c r="G60" s="96"/>
      <c r="H60" s="97"/>
      <c r="I60" s="96"/>
      <c r="J60" s="97"/>
      <c r="K60" s="96"/>
      <c r="L60" s="97"/>
      <c r="M60" s="96"/>
      <c r="N60" s="97"/>
      <c r="O60" s="96"/>
      <c r="P60" s="109"/>
      <c r="Q60" s="110"/>
    </row>
    <row r="61" spans="1:18" s="86" customFormat="1" ht="16.2" thickBot="1" x14ac:dyDescent="0.35">
      <c r="A61" s="94"/>
      <c r="B61" s="94"/>
      <c r="F61" s="152"/>
      <c r="G61" s="152"/>
      <c r="H61" s="272">
        <f>G59+H59</f>
        <v>102326</v>
      </c>
      <c r="I61" s="273"/>
      <c r="J61" s="272">
        <f>I59+J59</f>
        <v>648120.74</v>
      </c>
      <c r="K61" s="273"/>
      <c r="L61" s="272">
        <f>K59+L59</f>
        <v>822899.22439999995</v>
      </c>
      <c r="M61" s="273"/>
      <c r="N61" s="272">
        <f>M59+N59</f>
        <v>589157.20400000003</v>
      </c>
      <c r="O61" s="273"/>
      <c r="P61" s="272">
        <f>O59+P59</f>
        <v>595929.44011999993</v>
      </c>
      <c r="Q61" s="214" t="s">
        <v>46</v>
      </c>
    </row>
    <row r="62" spans="1:18" s="86" customFormat="1" ht="16.2" thickTop="1" x14ac:dyDescent="0.3">
      <c r="A62" s="94"/>
      <c r="B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Q62" s="110"/>
    </row>
    <row r="63" spans="1:18" s="86" customFormat="1" hidden="1" x14ac:dyDescent="0.3">
      <c r="A63" s="195" t="s">
        <v>107</v>
      </c>
      <c r="B63" s="195"/>
      <c r="F63" s="95"/>
      <c r="G63" s="95"/>
      <c r="H63" s="95"/>
      <c r="I63" s="95"/>
      <c r="J63" s="95"/>
      <c r="K63" s="95"/>
      <c r="L63" s="95"/>
      <c r="M63" s="95"/>
      <c r="N63" s="95"/>
      <c r="O63" s="95"/>
      <c r="Q63" s="110"/>
    </row>
    <row r="64" spans="1:18" s="94" customFormat="1" ht="16.5" hidden="1" customHeight="1" thickBot="1" x14ac:dyDescent="0.35">
      <c r="A64" s="89" t="s">
        <v>1</v>
      </c>
      <c r="B64" s="89"/>
      <c r="C64" s="89" t="s">
        <v>2</v>
      </c>
      <c r="D64" s="89" t="s">
        <v>3</v>
      </c>
      <c r="E64" s="89" t="s">
        <v>0</v>
      </c>
      <c r="F64" s="154" t="s">
        <v>4</v>
      </c>
      <c r="G64" s="188">
        <v>2017</v>
      </c>
      <c r="H64" s="188"/>
      <c r="I64" s="298">
        <v>2018</v>
      </c>
      <c r="J64" s="298"/>
      <c r="K64" s="298">
        <v>2019</v>
      </c>
      <c r="L64" s="298"/>
      <c r="M64" s="298">
        <v>2020</v>
      </c>
      <c r="N64" s="298"/>
      <c r="O64" s="298">
        <v>2021</v>
      </c>
      <c r="P64" s="298"/>
      <c r="Q64" s="93" t="s">
        <v>39</v>
      </c>
    </row>
    <row r="65" spans="1:18" s="86" customFormat="1" hidden="1" x14ac:dyDescent="0.3">
      <c r="A65" s="94" t="s">
        <v>47</v>
      </c>
      <c r="B65" s="94"/>
      <c r="C65" s="86" t="s">
        <v>9</v>
      </c>
      <c r="D65" s="86" t="s">
        <v>10</v>
      </c>
      <c r="E65" s="86" t="s">
        <v>5</v>
      </c>
      <c r="F65" s="95">
        <v>-148000</v>
      </c>
      <c r="G65" s="111"/>
      <c r="H65" s="111"/>
      <c r="I65" s="111"/>
      <c r="J65" s="111"/>
      <c r="K65" s="111">
        <v>-37000</v>
      </c>
      <c r="L65" s="111"/>
      <c r="M65" s="111">
        <v>-74000</v>
      </c>
      <c r="N65" s="111"/>
      <c r="O65" s="111">
        <v>-37000</v>
      </c>
      <c r="P65" s="155"/>
      <c r="Q65" s="99" t="s">
        <v>48</v>
      </c>
      <c r="R65" s="114"/>
    </row>
    <row r="66" spans="1:18" s="86" customFormat="1" hidden="1" x14ac:dyDescent="0.3">
      <c r="A66" s="85" t="s">
        <v>227</v>
      </c>
      <c r="B66" s="85"/>
      <c r="C66" s="85" t="s">
        <v>9</v>
      </c>
      <c r="D66" s="85" t="s">
        <v>10</v>
      </c>
      <c r="E66" s="85" t="s">
        <v>5</v>
      </c>
      <c r="F66" s="111">
        <v>-87515</v>
      </c>
      <c r="G66" s="111"/>
      <c r="H66" s="111"/>
      <c r="I66" s="111">
        <v>0</v>
      </c>
      <c r="J66" s="111"/>
      <c r="K66" s="111">
        <v>-87515.19</v>
      </c>
      <c r="L66" s="111"/>
      <c r="M66" s="111">
        <v>-240287.94736799999</v>
      </c>
      <c r="N66" s="111"/>
      <c r="O66" s="111">
        <v>-304808.81035290001</v>
      </c>
      <c r="P66" s="156"/>
      <c r="Q66" s="99"/>
      <c r="R66" s="114"/>
    </row>
    <row r="67" spans="1:18" s="86" customFormat="1" hidden="1" x14ac:dyDescent="0.3">
      <c r="A67" s="94" t="s">
        <v>49</v>
      </c>
      <c r="B67" s="94"/>
      <c r="C67" s="86" t="s">
        <v>9</v>
      </c>
      <c r="D67" s="86" t="s">
        <v>10</v>
      </c>
      <c r="E67" s="86" t="s">
        <v>5</v>
      </c>
      <c r="F67" s="95">
        <v>-829895</v>
      </c>
      <c r="G67" s="111"/>
      <c r="H67" s="111"/>
      <c r="I67" s="111">
        <v>0</v>
      </c>
      <c r="J67" s="111"/>
      <c r="K67" s="111">
        <v>-292022.46388064302</v>
      </c>
      <c r="L67" s="111"/>
      <c r="M67" s="111">
        <v>-809875.63316231605</v>
      </c>
      <c r="N67" s="111"/>
      <c r="O67" s="111">
        <v>-1052838.32311101</v>
      </c>
      <c r="P67" s="156"/>
      <c r="Q67" s="99" t="s">
        <v>50</v>
      </c>
      <c r="R67" s="114"/>
    </row>
    <row r="68" spans="1:18" s="86" customFormat="1" hidden="1" x14ac:dyDescent="0.3">
      <c r="A68" s="94" t="s">
        <v>51</v>
      </c>
      <c r="B68" s="94"/>
      <c r="C68" s="86" t="s">
        <v>52</v>
      </c>
      <c r="D68" s="86" t="s">
        <v>53</v>
      </c>
      <c r="E68" s="86" t="s">
        <v>5</v>
      </c>
      <c r="F68" s="95">
        <v>-219451</v>
      </c>
      <c r="G68" s="111"/>
      <c r="H68" s="111"/>
      <c r="I68" s="111">
        <v>0</v>
      </c>
      <c r="J68" s="111"/>
      <c r="K68" s="111">
        <v>-77017.827814686694</v>
      </c>
      <c r="L68" s="111"/>
      <c r="M68" s="111">
        <v>-213596.109139398</v>
      </c>
      <c r="N68" s="111"/>
      <c r="O68" s="111">
        <v>-277674.941881217</v>
      </c>
      <c r="P68" s="156"/>
      <c r="Q68" s="99" t="s">
        <v>54</v>
      </c>
      <c r="R68" s="114"/>
    </row>
    <row r="69" spans="1:18" s="86" customFormat="1" hidden="1" x14ac:dyDescent="0.3">
      <c r="A69" s="94" t="s">
        <v>55</v>
      </c>
      <c r="B69" s="94"/>
      <c r="C69" s="86" t="s">
        <v>52</v>
      </c>
      <c r="D69" s="86" t="s">
        <v>53</v>
      </c>
      <c r="E69" s="86" t="s">
        <v>5</v>
      </c>
      <c r="F69" s="95">
        <v>-248115</v>
      </c>
      <c r="G69" s="111"/>
      <c r="H69" s="111"/>
      <c r="I69" s="111">
        <v>0</v>
      </c>
      <c r="J69" s="111"/>
      <c r="K69" s="111">
        <v>-87077.836984320005</v>
      </c>
      <c r="L69" s="111"/>
      <c r="M69" s="111">
        <v>-241495.867903181</v>
      </c>
      <c r="N69" s="111"/>
      <c r="O69" s="111">
        <v>-313944.628274135</v>
      </c>
      <c r="P69" s="156"/>
      <c r="Q69" s="99" t="s">
        <v>54</v>
      </c>
      <c r="R69" s="114"/>
    </row>
    <row r="70" spans="1:18" s="86" customFormat="1" hidden="1" x14ac:dyDescent="0.3">
      <c r="A70" s="94" t="s">
        <v>56</v>
      </c>
      <c r="B70" s="94"/>
      <c r="C70" s="86" t="s">
        <v>9</v>
      </c>
      <c r="D70" s="86" t="s">
        <v>10</v>
      </c>
      <c r="E70" s="86" t="s">
        <v>5</v>
      </c>
      <c r="F70" s="95">
        <v>-214776</v>
      </c>
      <c r="G70" s="111"/>
      <c r="H70" s="111"/>
      <c r="I70" s="111">
        <v>0</v>
      </c>
      <c r="J70" s="111"/>
      <c r="K70" s="111">
        <v>-103081.204426948</v>
      </c>
      <c r="L70" s="111"/>
      <c r="M70" s="111">
        <v>-285053.89064198802</v>
      </c>
      <c r="N70" s="111"/>
      <c r="O70" s="111">
        <v>-369501.10574467701</v>
      </c>
      <c r="P70" s="156"/>
      <c r="Q70" s="99" t="s">
        <v>57</v>
      </c>
      <c r="R70" s="114"/>
    </row>
    <row r="71" spans="1:18" s="86" customFormat="1" hidden="1" x14ac:dyDescent="0.3">
      <c r="A71" s="143" t="s">
        <v>58</v>
      </c>
      <c r="B71" s="143"/>
      <c r="C71" s="86" t="s">
        <v>52</v>
      </c>
      <c r="D71" s="86" t="s">
        <v>53</v>
      </c>
      <c r="E71" s="86" t="s">
        <v>5</v>
      </c>
      <c r="F71" s="145">
        <v>-2741156</v>
      </c>
      <c r="G71" s="111"/>
      <c r="H71" s="111"/>
      <c r="I71" s="111">
        <v>0</v>
      </c>
      <c r="J71" s="111"/>
      <c r="K71" s="111">
        <v>-1371502.5417571201</v>
      </c>
      <c r="L71" s="111"/>
      <c r="M71" s="111">
        <v>-3813572.7588315499</v>
      </c>
      <c r="N71" s="111"/>
      <c r="O71" s="111">
        <v>-4970971.9407323599</v>
      </c>
      <c r="P71" s="156"/>
      <c r="Q71" s="157" t="s">
        <v>59</v>
      </c>
      <c r="R71" s="114"/>
    </row>
    <row r="72" spans="1:18" s="86" customFormat="1" hidden="1" x14ac:dyDescent="0.3">
      <c r="A72" s="94" t="s">
        <v>60</v>
      </c>
      <c r="B72" s="94"/>
      <c r="C72" s="86" t="s">
        <v>61</v>
      </c>
      <c r="E72" s="86" t="s">
        <v>62</v>
      </c>
      <c r="F72" s="95">
        <v>-1570233</v>
      </c>
      <c r="G72" s="111"/>
      <c r="H72" s="111"/>
      <c r="I72" s="111">
        <v>0</v>
      </c>
      <c r="J72" s="111"/>
      <c r="K72" s="111">
        <v>-390801.84142294701</v>
      </c>
      <c r="L72" s="111"/>
      <c r="M72" s="111">
        <v>-1080697.3588149201</v>
      </c>
      <c r="N72" s="111"/>
      <c r="O72" s="111">
        <v>-1400853.9513638399</v>
      </c>
      <c r="P72" s="156"/>
      <c r="Q72" s="99" t="s">
        <v>63</v>
      </c>
      <c r="R72" s="114"/>
    </row>
    <row r="73" spans="1:18" s="86" customFormat="1" hidden="1" x14ac:dyDescent="0.3">
      <c r="A73" s="94" t="s">
        <v>64</v>
      </c>
      <c r="B73" s="94"/>
      <c r="C73" s="86" t="s">
        <v>61</v>
      </c>
      <c r="E73" s="86" t="s">
        <v>62</v>
      </c>
      <c r="F73" s="95">
        <v>-324081</v>
      </c>
      <c r="G73" s="111">
        <v>-43380.51</v>
      </c>
      <c r="H73" s="116"/>
      <c r="I73" s="111">
        <v>-44681.925300000003</v>
      </c>
      <c r="J73" s="111"/>
      <c r="K73" s="111">
        <v>-112432.05501499699</v>
      </c>
      <c r="L73" s="111"/>
      <c r="M73" s="111">
        <v>-310912.10946813802</v>
      </c>
      <c r="N73" s="111"/>
      <c r="O73" s="111">
        <v>-403019.82189807401</v>
      </c>
      <c r="P73" s="156"/>
      <c r="Q73" s="99" t="s">
        <v>63</v>
      </c>
      <c r="R73" s="114"/>
    </row>
    <row r="74" spans="1:18" s="86" customFormat="1" hidden="1" x14ac:dyDescent="0.3">
      <c r="A74" s="94" t="s">
        <v>69</v>
      </c>
      <c r="B74" s="94"/>
      <c r="C74" s="86" t="s">
        <v>66</v>
      </c>
      <c r="D74" s="86" t="s">
        <v>67</v>
      </c>
      <c r="E74" s="86" t="s">
        <v>26</v>
      </c>
      <c r="F74" s="95">
        <v>-383903</v>
      </c>
      <c r="G74" s="111"/>
      <c r="H74" s="111"/>
      <c r="I74" s="111">
        <v>0</v>
      </c>
      <c r="J74" s="111"/>
      <c r="K74" s="111">
        <v>-140325.36064097899</v>
      </c>
      <c r="L74" s="111"/>
      <c r="M74" s="111">
        <v>-389281.26046616299</v>
      </c>
      <c r="N74" s="111"/>
      <c r="O74" s="111">
        <v>-506211.619078686</v>
      </c>
      <c r="P74" s="156"/>
      <c r="Q74" s="99" t="s">
        <v>68</v>
      </c>
      <c r="R74" s="114"/>
    </row>
    <row r="75" spans="1:18" s="86" customFormat="1" hidden="1" x14ac:dyDescent="0.3">
      <c r="A75" s="94" t="s">
        <v>70</v>
      </c>
      <c r="B75" s="94"/>
      <c r="C75" s="86" t="s">
        <v>66</v>
      </c>
      <c r="D75" s="86" t="s">
        <v>67</v>
      </c>
      <c r="E75" s="86" t="s">
        <v>26</v>
      </c>
      <c r="F75" s="95">
        <v>-193781</v>
      </c>
      <c r="G75" s="111"/>
      <c r="H75" s="111"/>
      <c r="I75" s="111">
        <v>0</v>
      </c>
      <c r="J75" s="111"/>
      <c r="K75" s="111">
        <v>-70831.3684610239</v>
      </c>
      <c r="L75" s="111"/>
      <c r="M75" s="111">
        <v>-196495.66029334199</v>
      </c>
      <c r="N75" s="111"/>
      <c r="O75" s="111">
        <v>-255518.04425395399</v>
      </c>
      <c r="P75" s="156"/>
      <c r="Q75" s="99" t="s">
        <v>68</v>
      </c>
      <c r="R75" s="114"/>
    </row>
    <row r="76" spans="1:18" s="86" customFormat="1" hidden="1" x14ac:dyDescent="0.3">
      <c r="A76" s="94" t="s">
        <v>71</v>
      </c>
      <c r="B76" s="94"/>
      <c r="C76" s="86" t="s">
        <v>66</v>
      </c>
      <c r="D76" s="86" t="s">
        <v>67</v>
      </c>
      <c r="E76" s="86" t="s">
        <v>26</v>
      </c>
      <c r="F76" s="95">
        <v>-95334</v>
      </c>
      <c r="G76" s="111"/>
      <c r="H76" s="111"/>
      <c r="I76" s="111">
        <v>0</v>
      </c>
      <c r="J76" s="111"/>
      <c r="K76" s="111">
        <v>-41714.2515680836</v>
      </c>
      <c r="L76" s="111"/>
      <c r="M76" s="111">
        <v>-112350.38422337201</v>
      </c>
      <c r="N76" s="111"/>
      <c r="O76" s="111">
        <v>-141842.36008200701</v>
      </c>
      <c r="P76" s="156"/>
      <c r="Q76" s="99" t="s">
        <v>68</v>
      </c>
      <c r="R76" s="114"/>
    </row>
    <row r="77" spans="1:18" s="86" customFormat="1" hidden="1" x14ac:dyDescent="0.3">
      <c r="A77" s="94" t="s">
        <v>72</v>
      </c>
      <c r="B77" s="94"/>
      <c r="C77" s="86" t="s">
        <v>66</v>
      </c>
      <c r="D77" s="86" t="s">
        <v>67</v>
      </c>
      <c r="E77" s="86" t="s">
        <v>26</v>
      </c>
      <c r="F77" s="95">
        <v>-48454</v>
      </c>
      <c r="G77" s="111"/>
      <c r="H77" s="111"/>
      <c r="I77" s="111">
        <v>0</v>
      </c>
      <c r="J77" s="111"/>
      <c r="K77" s="111">
        <v>-17711.024019385601</v>
      </c>
      <c r="L77" s="111"/>
      <c r="M77" s="111">
        <v>-49132.7420996449</v>
      </c>
      <c r="N77" s="111"/>
      <c r="O77" s="111">
        <v>-63890.989507825798</v>
      </c>
      <c r="P77" s="156"/>
      <c r="Q77" s="99" t="s">
        <v>68</v>
      </c>
      <c r="R77" s="114"/>
    </row>
    <row r="78" spans="1:18" s="86" customFormat="1" hidden="1" x14ac:dyDescent="0.3">
      <c r="A78" s="94" t="s">
        <v>73</v>
      </c>
      <c r="B78" s="94"/>
      <c r="C78" s="86" t="s">
        <v>66</v>
      </c>
      <c r="D78" s="86" t="s">
        <v>67</v>
      </c>
      <c r="E78" s="86" t="s">
        <v>26</v>
      </c>
      <c r="F78" s="95">
        <v>-102647</v>
      </c>
      <c r="G78" s="111"/>
      <c r="H78" s="111"/>
      <c r="I78" s="111">
        <v>0</v>
      </c>
      <c r="J78" s="111"/>
      <c r="K78" s="111">
        <v>-36024.6675374775</v>
      </c>
      <c r="L78" s="111"/>
      <c r="M78" s="111">
        <v>-99908.411303937493</v>
      </c>
      <c r="N78" s="111"/>
      <c r="O78" s="111">
        <v>-129880.93469511899</v>
      </c>
      <c r="P78" s="156"/>
      <c r="Q78" s="99" t="s">
        <v>68</v>
      </c>
      <c r="R78" s="114"/>
    </row>
    <row r="79" spans="1:18" s="144" customFormat="1" hidden="1" x14ac:dyDescent="0.3">
      <c r="A79" s="143" t="s">
        <v>74</v>
      </c>
      <c r="B79" s="143"/>
      <c r="C79" s="144" t="s">
        <v>66</v>
      </c>
      <c r="D79" s="144" t="s">
        <v>67</v>
      </c>
      <c r="E79" s="144" t="s">
        <v>26</v>
      </c>
      <c r="F79" s="145">
        <v>-156882</v>
      </c>
      <c r="G79" s="111"/>
      <c r="H79" s="111"/>
      <c r="I79" s="111">
        <v>0</v>
      </c>
      <c r="J79" s="111"/>
      <c r="K79" s="111">
        <v>-55058.783625644799</v>
      </c>
      <c r="L79" s="111"/>
      <c r="M79" s="111">
        <v>-152696.35992178801</v>
      </c>
      <c r="N79" s="111"/>
      <c r="O79" s="111">
        <v>-198505.26789832499</v>
      </c>
      <c r="P79" s="156"/>
      <c r="Q79" s="107" t="s">
        <v>75</v>
      </c>
      <c r="R79" s="158"/>
    </row>
    <row r="80" spans="1:18" s="86" customFormat="1" hidden="1" x14ac:dyDescent="0.3">
      <c r="A80" s="94" t="s">
        <v>76</v>
      </c>
      <c r="B80" s="94"/>
      <c r="C80" s="86" t="s">
        <v>77</v>
      </c>
      <c r="D80" s="86" t="s">
        <v>78</v>
      </c>
      <c r="E80" s="86" t="s">
        <v>79</v>
      </c>
      <c r="F80" s="95">
        <f>114700/3</f>
        <v>38233.333333333336</v>
      </c>
      <c r="G80" s="111"/>
      <c r="H80" s="111"/>
      <c r="I80" s="111">
        <v>38233</v>
      </c>
      <c r="J80" s="111"/>
      <c r="K80" s="111">
        <v>38233</v>
      </c>
      <c r="L80" s="111"/>
      <c r="M80" s="111">
        <v>38233</v>
      </c>
      <c r="N80" s="111"/>
      <c r="O80" s="111">
        <v>38233</v>
      </c>
      <c r="P80" s="156"/>
      <c r="Q80" s="99" t="s">
        <v>80</v>
      </c>
      <c r="R80" s="114"/>
    </row>
    <row r="81" spans="1:18" s="86" customFormat="1" hidden="1" x14ac:dyDescent="0.3">
      <c r="A81" s="94" t="s">
        <v>81</v>
      </c>
      <c r="B81" s="94"/>
      <c r="C81" s="86" t="s">
        <v>82</v>
      </c>
      <c r="D81" s="86" t="s">
        <v>83</v>
      </c>
      <c r="E81" s="86" t="s">
        <v>38</v>
      </c>
      <c r="F81" s="95">
        <v>1240000</v>
      </c>
      <c r="G81" s="111"/>
      <c r="H81" s="111"/>
      <c r="I81" s="111">
        <v>1240000</v>
      </c>
      <c r="J81" s="111"/>
      <c r="K81" s="111">
        <v>1240000</v>
      </c>
      <c r="L81" s="111"/>
      <c r="M81" s="111">
        <v>1240000</v>
      </c>
      <c r="N81" s="111"/>
      <c r="O81" s="111">
        <v>1240000</v>
      </c>
      <c r="P81" s="159"/>
      <c r="Q81" s="110" t="s">
        <v>84</v>
      </c>
      <c r="R81" s="114"/>
    </row>
    <row r="82" spans="1:18" s="86" customFormat="1" ht="16.2" hidden="1" thickBot="1" x14ac:dyDescent="0.35">
      <c r="A82" s="94"/>
      <c r="B82" s="94"/>
      <c r="F82" s="95"/>
      <c r="G82" s="160"/>
      <c r="H82" s="160">
        <f>SUM(G65:H81)</f>
        <v>-43380.51</v>
      </c>
      <c r="I82" s="161">
        <f>SUM(I65:J81)</f>
        <v>1233551.0747</v>
      </c>
      <c r="J82" s="162"/>
      <c r="K82" s="161">
        <f>SUM(K65:L81)</f>
        <v>-1641883.4171542558</v>
      </c>
      <c r="L82" s="162"/>
      <c r="M82" s="161">
        <f>SUM(M65:N81)</f>
        <v>-6791123.4936377378</v>
      </c>
      <c r="N82" s="162"/>
      <c r="O82" s="161">
        <f>SUM(O65:P81)</f>
        <v>-9148229.73887413</v>
      </c>
      <c r="P82" s="162"/>
      <c r="Q82" s="153" t="s">
        <v>85</v>
      </c>
      <c r="R82" s="114"/>
    </row>
    <row r="83" spans="1:18" s="86" customFormat="1" ht="16.2" hidden="1" thickTop="1" x14ac:dyDescent="0.3">
      <c r="A83" s="151"/>
      <c r="B83" s="151"/>
      <c r="F83" s="95"/>
      <c r="G83" s="95"/>
      <c r="H83" s="95"/>
      <c r="J83" s="95"/>
      <c r="L83" s="95"/>
      <c r="N83" s="95"/>
      <c r="P83" s="95"/>
      <c r="Q83" s="110"/>
      <c r="R83" s="114"/>
    </row>
    <row r="84" spans="1:18" s="86" customFormat="1" hidden="1" x14ac:dyDescent="0.3">
      <c r="A84" s="86" t="s">
        <v>183</v>
      </c>
      <c r="F84" s="95"/>
      <c r="G84" s="95"/>
      <c r="H84" s="95"/>
      <c r="J84" s="95"/>
      <c r="L84" s="95"/>
      <c r="N84" s="95"/>
      <c r="P84" s="95"/>
      <c r="Q84" s="110"/>
      <c r="R84" s="114"/>
    </row>
    <row r="85" spans="1:18" hidden="1" x14ac:dyDescent="0.3">
      <c r="A85" s="85" t="s">
        <v>184</v>
      </c>
    </row>
    <row r="86" spans="1:18" hidden="1" x14ac:dyDescent="0.3">
      <c r="A86" s="85" t="s">
        <v>185</v>
      </c>
    </row>
    <row r="87" spans="1:18" hidden="1" x14ac:dyDescent="0.3"/>
    <row r="88" spans="1:18" hidden="1" x14ac:dyDescent="0.3">
      <c r="A88" s="85" t="s">
        <v>186</v>
      </c>
    </row>
    <row r="89" spans="1:18" hidden="1" x14ac:dyDescent="0.3">
      <c r="A89" s="85" t="s">
        <v>187</v>
      </c>
    </row>
    <row r="90" spans="1:18" hidden="1" x14ac:dyDescent="0.3">
      <c r="A90" s="85" t="s">
        <v>239</v>
      </c>
    </row>
    <row r="91" spans="1:18" hidden="1" x14ac:dyDescent="0.3"/>
    <row r="92" spans="1:18" hidden="1" x14ac:dyDescent="0.3">
      <c r="A92" s="85" t="s">
        <v>188</v>
      </c>
    </row>
    <row r="93" spans="1:18" hidden="1" x14ac:dyDescent="0.3">
      <c r="A93" s="85" t="s">
        <v>189</v>
      </c>
    </row>
    <row r="94" spans="1:18" hidden="1" x14ac:dyDescent="0.3">
      <c r="A94" s="85" t="s">
        <v>190</v>
      </c>
    </row>
    <row r="95" spans="1:18" hidden="1" x14ac:dyDescent="0.3"/>
    <row r="96" spans="1:18" hidden="1" x14ac:dyDescent="0.3"/>
  </sheetData>
  <mergeCells count="4">
    <mergeCell ref="I64:J64"/>
    <mergeCell ref="K64:L64"/>
    <mergeCell ref="M64:N64"/>
    <mergeCell ref="O64:P64"/>
  </mergeCells>
  <printOptions horizontalCentered="1"/>
  <pageMargins left="0.25" right="0.25" top="0.5" bottom="0.5" header="0.3" footer="0.3"/>
  <pageSetup paperSize="17" scale="65" orientation="landscape" r:id="rId1"/>
  <headerFooter>
    <oddFooter>&amp;R&amp;F; 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4381-0053-4EC1-AD02-1253ABF24692}">
  <sheetPr>
    <tabColor rgb="FFE8D3A2"/>
  </sheetPr>
  <dimension ref="A1:H13"/>
  <sheetViews>
    <sheetView workbookViewId="0">
      <selection activeCell="D13" sqref="D13"/>
    </sheetView>
  </sheetViews>
  <sheetFormatPr defaultRowHeight="13.2" x14ac:dyDescent="0.25"/>
  <cols>
    <col min="1" max="1" width="17.33203125" bestFit="1" customWidth="1"/>
    <col min="2" max="2" width="12.109375" bestFit="1" customWidth="1"/>
    <col min="3" max="4" width="14.6640625" bestFit="1" customWidth="1"/>
    <col min="5" max="5" width="12.109375" bestFit="1" customWidth="1"/>
  </cols>
  <sheetData>
    <row r="1" spans="1:8" x14ac:dyDescent="0.25">
      <c r="A1" s="268" t="s">
        <v>243</v>
      </c>
      <c r="B1" s="268">
        <v>2015</v>
      </c>
      <c r="C1" s="268">
        <v>2016</v>
      </c>
      <c r="D1" s="268">
        <v>2017</v>
      </c>
      <c r="E1" s="268">
        <v>2018</v>
      </c>
      <c r="F1" s="268">
        <v>2019</v>
      </c>
      <c r="G1" s="268">
        <v>2020</v>
      </c>
      <c r="H1" s="268">
        <v>2021</v>
      </c>
    </row>
    <row r="2" spans="1:8" x14ac:dyDescent="0.25">
      <c r="A2" s="268" t="s">
        <v>320</v>
      </c>
      <c r="B2" s="269">
        <v>282296.48</v>
      </c>
      <c r="C2" s="269">
        <v>14712161.480000002</v>
      </c>
      <c r="D2" s="269">
        <v>17679646.239999998</v>
      </c>
      <c r="E2" s="269">
        <v>292751.34999999992</v>
      </c>
      <c r="F2" s="270"/>
      <c r="G2" s="270"/>
      <c r="H2" s="270"/>
    </row>
    <row r="3" spans="1:8" x14ac:dyDescent="0.25">
      <c r="A3" s="268" t="s">
        <v>321</v>
      </c>
      <c r="B3" s="271">
        <f>B2</f>
        <v>282296.48</v>
      </c>
      <c r="C3" s="271">
        <f>B2+C2</f>
        <v>14994457.960000003</v>
      </c>
      <c r="D3" s="271">
        <f>C3+D2</f>
        <v>32674104.200000003</v>
      </c>
      <c r="E3" s="271">
        <f>D3+E2</f>
        <v>32966855.550000004</v>
      </c>
      <c r="F3" s="270"/>
      <c r="G3" s="270"/>
      <c r="H3" s="270"/>
    </row>
    <row r="8" spans="1:8" x14ac:dyDescent="0.25">
      <c r="A8" s="68"/>
    </row>
    <row r="13" spans="1:8" ht="13.8" x14ac:dyDescent="0.25">
      <c r="D13" s="27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FCFD-D888-4911-8B1C-0A080A4E715B}">
  <sheetPr>
    <tabColor rgb="FF363C74"/>
    <pageSetUpPr fitToPage="1"/>
  </sheetPr>
  <dimension ref="A1:S95"/>
  <sheetViews>
    <sheetView zoomScale="80" zoomScaleNormal="80" zoomScaleSheetLayoutView="80" workbookViewId="0">
      <pane xSplit="1" ySplit="3" topLeftCell="B4" activePane="bottomRight" state="frozen"/>
      <selection activeCell="H112" sqref="H112"/>
      <selection pane="topRight" activeCell="H112" sqref="H112"/>
      <selection pane="bottomLeft" activeCell="H112" sqref="H112"/>
      <selection pane="bottomRight" activeCell="H103" sqref="H103:H110"/>
    </sheetView>
  </sheetViews>
  <sheetFormatPr defaultColWidth="9.109375" defaultRowHeight="15.6" x14ac:dyDescent="0.3"/>
  <cols>
    <col min="1" max="1" width="39.5546875" style="85" customWidth="1"/>
    <col min="2" max="2" width="15.44140625" style="85" customWidth="1"/>
    <col min="3" max="3" width="23.109375" style="85" customWidth="1"/>
    <col min="4" max="4" width="5.44140625" style="85" customWidth="1"/>
    <col min="5" max="5" width="14.33203125" style="86" hidden="1" customWidth="1"/>
    <col min="6" max="6" width="14.88671875" style="95" hidden="1" customWidth="1"/>
    <col min="7" max="8" width="11.88671875" style="95" customWidth="1"/>
    <col min="9" max="9" width="12.33203125" style="95" bestFit="1" customWidth="1"/>
    <col min="10" max="10" width="11.88671875" style="95" customWidth="1"/>
    <col min="11" max="11" width="14.44140625" style="95" bestFit="1" customWidth="1"/>
    <col min="12" max="12" width="12.33203125" style="95" bestFit="1" customWidth="1"/>
    <col min="13" max="13" width="14.44140625" style="95" bestFit="1" customWidth="1"/>
    <col min="14" max="14" width="12.33203125" style="95" bestFit="1" customWidth="1"/>
    <col min="15" max="15" width="14.44140625" style="95" bestFit="1" customWidth="1"/>
    <col min="16" max="16" width="13.109375" style="85" bestFit="1" customWidth="1"/>
    <col min="17" max="17" width="78.6640625" style="88" customWidth="1"/>
    <col min="18" max="18" width="11.5546875" style="85" bestFit="1" customWidth="1"/>
    <col min="19" max="20" width="13.33203125" style="85" bestFit="1" customWidth="1"/>
    <col min="21" max="16384" width="9.109375" style="85"/>
  </cols>
  <sheetData>
    <row r="1" spans="1:19" s="86" customFormat="1" x14ac:dyDescent="0.3">
      <c r="A1" s="195" t="s">
        <v>109</v>
      </c>
      <c r="B1" s="195"/>
      <c r="D1" s="196" t="s">
        <v>241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/>
    </row>
    <row r="2" spans="1:19" s="86" customFormat="1" x14ac:dyDescent="0.3">
      <c r="F2" s="95"/>
      <c r="G2" s="87"/>
      <c r="H2" s="87"/>
      <c r="I2" s="87"/>
      <c r="J2" s="87"/>
      <c r="K2" s="87"/>
      <c r="L2" s="87"/>
      <c r="M2" s="87"/>
      <c r="N2" s="87"/>
      <c r="O2" s="87"/>
      <c r="P2" s="87"/>
      <c r="Q2" s="110"/>
    </row>
    <row r="3" spans="1:19" s="94" customFormat="1" ht="44.4" customHeight="1" thickBot="1" x14ac:dyDescent="0.35">
      <c r="A3" s="89" t="s">
        <v>1</v>
      </c>
      <c r="B3" s="89" t="s">
        <v>294</v>
      </c>
      <c r="C3" s="89" t="s">
        <v>2</v>
      </c>
      <c r="D3" s="89" t="s">
        <v>3</v>
      </c>
      <c r="E3" s="89" t="s">
        <v>0</v>
      </c>
      <c r="F3" s="90" t="s">
        <v>4</v>
      </c>
      <c r="G3" s="91" t="s">
        <v>86</v>
      </c>
      <c r="H3" s="92" t="s">
        <v>87</v>
      </c>
      <c r="I3" s="91" t="s">
        <v>88</v>
      </c>
      <c r="J3" s="92" t="s">
        <v>89</v>
      </c>
      <c r="K3" s="91" t="s">
        <v>90</v>
      </c>
      <c r="L3" s="92" t="s">
        <v>91</v>
      </c>
      <c r="M3" s="91" t="s">
        <v>92</v>
      </c>
      <c r="N3" s="92" t="s">
        <v>93</v>
      </c>
      <c r="O3" s="91" t="s">
        <v>169</v>
      </c>
      <c r="P3" s="92" t="s">
        <v>168</v>
      </c>
      <c r="Q3" s="93" t="s">
        <v>39</v>
      </c>
    </row>
    <row r="4" spans="1:19" s="86" customFormat="1" hidden="1" x14ac:dyDescent="0.3">
      <c r="A4" s="94" t="s">
        <v>6</v>
      </c>
      <c r="B4" s="94"/>
      <c r="C4" s="86" t="s">
        <v>7</v>
      </c>
      <c r="D4" s="86" t="s">
        <v>8</v>
      </c>
      <c r="E4" s="86" t="s">
        <v>5</v>
      </c>
      <c r="F4" s="95"/>
      <c r="G4" s="96"/>
      <c r="H4" s="97"/>
      <c r="I4" s="96"/>
      <c r="J4" s="98"/>
      <c r="K4" s="96"/>
      <c r="L4" s="97">
        <v>-14499</v>
      </c>
      <c r="M4" s="96"/>
      <c r="N4" s="97">
        <v>-38664</v>
      </c>
      <c r="O4" s="96"/>
      <c r="P4" s="97">
        <v>-48330</v>
      </c>
      <c r="Q4" s="99" t="s">
        <v>40</v>
      </c>
    </row>
    <row r="5" spans="1:19" s="86" customFormat="1" hidden="1" x14ac:dyDescent="0.3">
      <c r="A5" s="100" t="s">
        <v>12</v>
      </c>
      <c r="B5" s="100"/>
      <c r="C5" s="101" t="s">
        <v>13</v>
      </c>
      <c r="D5" s="101" t="s">
        <v>161</v>
      </c>
      <c r="E5" s="101" t="s">
        <v>11</v>
      </c>
      <c r="F5" s="102">
        <v>-76846</v>
      </c>
      <c r="G5" s="105"/>
      <c r="H5" s="104"/>
      <c r="I5" s="103"/>
      <c r="J5" s="104"/>
      <c r="K5" s="103"/>
      <c r="L5" s="106">
        <f>-40333*0.7</f>
        <v>-28233.1</v>
      </c>
      <c r="M5" s="103"/>
      <c r="N5" s="106">
        <v>-40333</v>
      </c>
      <c r="O5" s="103"/>
      <c r="P5" s="106">
        <v>-40333</v>
      </c>
      <c r="Q5" s="107" t="s">
        <v>41</v>
      </c>
      <c r="R5" s="108"/>
    </row>
    <row r="6" spans="1:19" s="86" customFormat="1" hidden="1" x14ac:dyDescent="0.3">
      <c r="A6" s="94" t="s">
        <v>27</v>
      </c>
      <c r="B6" s="94"/>
      <c r="C6" s="86" t="s">
        <v>28</v>
      </c>
      <c r="D6" s="86" t="s">
        <v>29</v>
      </c>
      <c r="E6" s="86" t="s">
        <v>26</v>
      </c>
      <c r="F6" s="95"/>
      <c r="G6" s="96">
        <v>-102975</v>
      </c>
      <c r="H6" s="97">
        <v>0</v>
      </c>
      <c r="I6" s="96">
        <v>-50326</v>
      </c>
      <c r="J6" s="98"/>
      <c r="K6" s="96">
        <v>-667038</v>
      </c>
      <c r="L6" s="97"/>
      <c r="M6" s="96">
        <v>-1648000</v>
      </c>
      <c r="N6" s="97"/>
      <c r="O6" s="96">
        <v>-2783960</v>
      </c>
      <c r="P6" s="109"/>
      <c r="Q6" s="110" t="s">
        <v>42</v>
      </c>
    </row>
    <row r="7" spans="1:19" s="86" customFormat="1" ht="31.2" hidden="1" x14ac:dyDescent="0.3">
      <c r="A7" s="94" t="s">
        <v>307</v>
      </c>
      <c r="B7" s="94"/>
      <c r="C7" s="86" t="s">
        <v>28</v>
      </c>
      <c r="D7" s="86" t="s">
        <v>29</v>
      </c>
      <c r="E7" s="86" t="s">
        <v>26</v>
      </c>
      <c r="F7" s="95"/>
      <c r="G7" s="96"/>
      <c r="H7" s="97"/>
      <c r="I7" s="174"/>
      <c r="J7" s="98"/>
      <c r="K7" s="96"/>
      <c r="L7" s="97">
        <f>K6*0.36</f>
        <v>-240133.68</v>
      </c>
      <c r="M7" s="96"/>
      <c r="N7" s="97">
        <f>M6*0.36</f>
        <v>-593280</v>
      </c>
      <c r="O7" s="96"/>
      <c r="P7" s="97">
        <f>O6*0.36</f>
        <v>-1002225.6</v>
      </c>
      <c r="Q7" s="110" t="s">
        <v>43</v>
      </c>
    </row>
    <row r="8" spans="1:19" s="86" customFormat="1" ht="31.2" hidden="1" x14ac:dyDescent="0.3">
      <c r="A8" s="94" t="s">
        <v>230</v>
      </c>
      <c r="B8" s="94"/>
      <c r="C8" s="86" t="s">
        <v>28</v>
      </c>
      <c r="D8" s="86" t="s">
        <v>67</v>
      </c>
      <c r="E8" s="86" t="s">
        <v>26</v>
      </c>
      <c r="F8" s="95">
        <v>-973467</v>
      </c>
      <c r="G8" s="111"/>
      <c r="H8" s="112"/>
      <c r="I8" s="111">
        <v>0</v>
      </c>
      <c r="J8" s="112"/>
      <c r="K8" s="111">
        <v>0</v>
      </c>
      <c r="L8" s="112"/>
      <c r="M8" s="111">
        <v>400000</v>
      </c>
      <c r="N8" s="112"/>
      <c r="O8" s="111">
        <v>-882008.09050867404</v>
      </c>
      <c r="P8" s="113"/>
      <c r="Q8" s="99" t="s">
        <v>231</v>
      </c>
      <c r="R8" s="114"/>
    </row>
    <row r="9" spans="1:19" s="86" customFormat="1" ht="46.8" hidden="1" x14ac:dyDescent="0.3">
      <c r="A9" s="100" t="s">
        <v>160</v>
      </c>
      <c r="B9" s="100"/>
      <c r="C9" s="101" t="s">
        <v>16</v>
      </c>
      <c r="D9" s="101" t="s">
        <v>161</v>
      </c>
      <c r="E9" s="101" t="s">
        <v>11</v>
      </c>
      <c r="F9" s="102"/>
      <c r="G9" s="105"/>
      <c r="H9" s="104"/>
      <c r="I9" s="103"/>
      <c r="J9" s="104"/>
      <c r="K9" s="103"/>
      <c r="L9" s="106"/>
      <c r="M9" s="103"/>
      <c r="N9" s="106"/>
      <c r="O9" s="103"/>
      <c r="P9" s="106"/>
      <c r="Q9" s="107" t="s">
        <v>179</v>
      </c>
      <c r="R9" s="108"/>
    </row>
    <row r="10" spans="1:19" s="86" customFormat="1" ht="46.8" hidden="1" x14ac:dyDescent="0.3">
      <c r="A10" s="100" t="s">
        <v>162</v>
      </c>
      <c r="B10" s="100"/>
      <c r="C10" s="101" t="s">
        <v>16</v>
      </c>
      <c r="D10" s="101" t="s">
        <v>161</v>
      </c>
      <c r="E10" s="101" t="s">
        <v>11</v>
      </c>
      <c r="F10" s="102"/>
      <c r="G10" s="105"/>
      <c r="H10" s="104"/>
      <c r="I10" s="103"/>
      <c r="J10" s="104"/>
      <c r="K10" s="103"/>
      <c r="L10" s="106"/>
      <c r="M10" s="103"/>
      <c r="N10" s="106"/>
      <c r="O10" s="103"/>
      <c r="P10" s="106"/>
      <c r="Q10" s="107" t="s">
        <v>179</v>
      </c>
      <c r="R10" s="108"/>
    </row>
    <row r="11" spans="1:19" s="86" customFormat="1" ht="46.8" hidden="1" x14ac:dyDescent="0.3">
      <c r="A11" s="100" t="s">
        <v>163</v>
      </c>
      <c r="B11" s="100"/>
      <c r="C11" s="101" t="s">
        <v>16</v>
      </c>
      <c r="D11" s="101" t="s">
        <v>161</v>
      </c>
      <c r="E11" s="101" t="s">
        <v>11</v>
      </c>
      <c r="F11" s="102">
        <v>-10800</v>
      </c>
      <c r="G11" s="105"/>
      <c r="H11" s="104"/>
      <c r="I11" s="103"/>
      <c r="J11" s="104"/>
      <c r="K11" s="103"/>
      <c r="L11" s="106"/>
      <c r="M11" s="103"/>
      <c r="N11" s="106"/>
      <c r="O11" s="103"/>
      <c r="P11" s="106"/>
      <c r="Q11" s="107" t="s">
        <v>179</v>
      </c>
      <c r="R11" s="108"/>
    </row>
    <row r="12" spans="1:19" s="108" customFormat="1" hidden="1" x14ac:dyDescent="0.3">
      <c r="A12" s="115" t="s">
        <v>202</v>
      </c>
      <c r="B12" s="115"/>
      <c r="C12" s="116" t="s">
        <v>20</v>
      </c>
      <c r="D12" s="116" t="s">
        <v>191</v>
      </c>
      <c r="E12" s="116" t="s">
        <v>11</v>
      </c>
      <c r="F12" s="117">
        <v>-46000</v>
      </c>
      <c r="G12" s="103"/>
      <c r="H12" s="106"/>
      <c r="I12" s="118"/>
      <c r="J12" s="117">
        <v>-11100</v>
      </c>
      <c r="K12" s="118"/>
      <c r="L12" s="117">
        <v>-46000</v>
      </c>
      <c r="M12" s="118"/>
      <c r="N12" s="117">
        <v>-46000</v>
      </c>
      <c r="O12" s="118"/>
      <c r="P12" s="117">
        <v>-46000</v>
      </c>
      <c r="Q12" s="99" t="s">
        <v>182</v>
      </c>
      <c r="R12" s="119"/>
    </row>
    <row r="13" spans="1:19" s="108" customFormat="1" hidden="1" x14ac:dyDescent="0.3">
      <c r="A13" s="120" t="s">
        <v>174</v>
      </c>
      <c r="B13" s="120"/>
      <c r="C13" s="86" t="s">
        <v>7</v>
      </c>
      <c r="D13" s="86" t="s">
        <v>8</v>
      </c>
      <c r="E13" s="86" t="s">
        <v>5</v>
      </c>
      <c r="F13" s="117"/>
      <c r="G13" s="103"/>
      <c r="H13" s="106"/>
      <c r="I13" s="118"/>
      <c r="J13" s="106">
        <v>-12600</v>
      </c>
      <c r="K13" s="118"/>
      <c r="L13" s="106">
        <v>-12600</v>
      </c>
      <c r="M13" s="118"/>
      <c r="N13" s="106">
        <v>-12600</v>
      </c>
      <c r="O13" s="118"/>
      <c r="P13" s="106">
        <v>-12600</v>
      </c>
      <c r="Q13" s="99"/>
      <c r="R13" s="119"/>
    </row>
    <row r="14" spans="1:19" s="108" customFormat="1" hidden="1" x14ac:dyDescent="0.3">
      <c r="A14" s="120" t="s">
        <v>175</v>
      </c>
      <c r="B14" s="120"/>
      <c r="C14" s="86" t="s">
        <v>7</v>
      </c>
      <c r="D14" s="86" t="s">
        <v>8</v>
      </c>
      <c r="E14" s="86" t="s">
        <v>5</v>
      </c>
      <c r="F14" s="117"/>
      <c r="G14" s="103"/>
      <c r="H14" s="106"/>
      <c r="I14" s="118"/>
      <c r="J14" s="106"/>
      <c r="K14" s="118"/>
      <c r="L14" s="106">
        <v>0</v>
      </c>
      <c r="M14" s="118"/>
      <c r="N14" s="106">
        <v>-44239.37</v>
      </c>
      <c r="O14" s="118"/>
      <c r="P14" s="106">
        <v>-44239.37</v>
      </c>
      <c r="Q14" s="99"/>
      <c r="R14" s="119"/>
    </row>
    <row r="15" spans="1:19" s="122" customFormat="1" hidden="1" x14ac:dyDescent="0.3">
      <c r="A15" s="121" t="s">
        <v>35</v>
      </c>
      <c r="B15" s="165"/>
      <c r="C15" s="122" t="s">
        <v>36</v>
      </c>
      <c r="D15" s="122" t="s">
        <v>37</v>
      </c>
      <c r="E15" s="122" t="s">
        <v>38</v>
      </c>
      <c r="F15" s="123">
        <f>(F6+F8)*0.62</f>
        <v>-603549.54</v>
      </c>
      <c r="G15" s="125"/>
      <c r="H15" s="124"/>
      <c r="I15" s="126"/>
      <c r="J15" s="127"/>
      <c r="K15" s="125">
        <f>(K6+K8)*0.63</f>
        <v>-420233.94</v>
      </c>
      <c r="L15" s="124"/>
      <c r="M15" s="125">
        <f>(M6+M8)*0.63</f>
        <v>-786240</v>
      </c>
      <c r="N15" s="124"/>
      <c r="O15" s="125">
        <f>(O6+O8)*0.63</f>
        <v>-2309559.8970204648</v>
      </c>
      <c r="P15" s="128"/>
      <c r="Q15" s="129" t="s">
        <v>44</v>
      </c>
    </row>
    <row r="16" spans="1:19" s="86" customFormat="1" ht="46.8" hidden="1" x14ac:dyDescent="0.3">
      <c r="A16" s="94" t="s">
        <v>159</v>
      </c>
      <c r="B16" s="94" t="s">
        <v>285</v>
      </c>
      <c r="C16" s="101" t="s">
        <v>9</v>
      </c>
      <c r="D16" s="86" t="s">
        <v>10</v>
      </c>
      <c r="E16" s="86" t="s">
        <v>5</v>
      </c>
      <c r="F16" s="95"/>
      <c r="G16" s="96"/>
      <c r="H16" s="97"/>
      <c r="I16" s="96">
        <f>(F16*1.03)</f>
        <v>0</v>
      </c>
      <c r="J16" s="97"/>
      <c r="K16" s="96">
        <f>F16*1.06</f>
        <v>0</v>
      </c>
      <c r="L16" s="97"/>
      <c r="M16" s="96">
        <f>K16*1.03</f>
        <v>0</v>
      </c>
      <c r="N16" s="97"/>
      <c r="O16" s="96">
        <f t="shared" ref="O16:O19" si="0">M16*1.03</f>
        <v>0</v>
      </c>
      <c r="P16" s="109"/>
      <c r="Q16" s="110" t="s">
        <v>286</v>
      </c>
      <c r="R16" s="114"/>
      <c r="S16" s="139"/>
    </row>
    <row r="17" spans="1:19" s="86" customFormat="1" hidden="1" x14ac:dyDescent="0.3">
      <c r="A17" s="94" t="s">
        <v>164</v>
      </c>
      <c r="B17" s="94" t="s">
        <v>247</v>
      </c>
      <c r="C17" s="101" t="s">
        <v>164</v>
      </c>
      <c r="D17" s="86" t="s">
        <v>165</v>
      </c>
      <c r="E17" s="86" t="s">
        <v>11</v>
      </c>
      <c r="F17" s="95">
        <v>100000</v>
      </c>
      <c r="G17" s="96"/>
      <c r="H17" s="97"/>
      <c r="I17" s="96">
        <v>0</v>
      </c>
      <c r="J17" s="97"/>
      <c r="K17" s="96">
        <v>0</v>
      </c>
      <c r="L17" s="97"/>
      <c r="M17" s="96"/>
      <c r="N17" s="97"/>
      <c r="O17" s="96">
        <f t="shared" si="0"/>
        <v>0</v>
      </c>
      <c r="P17" s="109"/>
      <c r="Q17" s="110" t="s">
        <v>280</v>
      </c>
      <c r="R17" s="114"/>
      <c r="S17" s="139"/>
    </row>
    <row r="18" spans="1:19" s="86" customFormat="1" hidden="1" x14ac:dyDescent="0.3">
      <c r="A18" s="94" t="s">
        <v>15</v>
      </c>
      <c r="B18" s="94" t="s">
        <v>248</v>
      </c>
      <c r="C18" s="101" t="s">
        <v>13</v>
      </c>
      <c r="D18" s="86" t="s">
        <v>166</v>
      </c>
      <c r="E18" s="86" t="s">
        <v>11</v>
      </c>
      <c r="F18" s="198">
        <v>114000</v>
      </c>
      <c r="G18" s="96"/>
      <c r="H18" s="97"/>
      <c r="I18" s="96">
        <f>F18*0.53</f>
        <v>60420</v>
      </c>
      <c r="J18" s="97"/>
      <c r="K18" s="96">
        <f>F18*1.06</f>
        <v>120840</v>
      </c>
      <c r="L18" s="97"/>
      <c r="M18" s="96">
        <f>(+F18*1.09)*0.25</f>
        <v>31065.000000000004</v>
      </c>
      <c r="N18" s="97"/>
      <c r="O18" s="96">
        <f t="shared" si="0"/>
        <v>31996.950000000004</v>
      </c>
      <c r="P18" s="109"/>
      <c r="Q18" s="199" t="s">
        <v>308</v>
      </c>
      <c r="R18" s="114"/>
      <c r="S18" s="139"/>
    </row>
    <row r="19" spans="1:19" s="108" customFormat="1" hidden="1" x14ac:dyDescent="0.3">
      <c r="A19" s="94" t="s">
        <v>15</v>
      </c>
      <c r="B19" s="94" t="s">
        <v>249</v>
      </c>
      <c r="C19" s="101" t="s">
        <v>13</v>
      </c>
      <c r="D19" s="86" t="s">
        <v>166</v>
      </c>
      <c r="E19" s="86" t="s">
        <v>11</v>
      </c>
      <c r="F19" s="198">
        <v>102000</v>
      </c>
      <c r="G19" s="96"/>
      <c r="H19" s="97"/>
      <c r="I19" s="96">
        <f>F19*0.53</f>
        <v>54060</v>
      </c>
      <c r="J19" s="97"/>
      <c r="K19" s="96">
        <f>F19*1.06</f>
        <v>108120</v>
      </c>
      <c r="L19" s="97"/>
      <c r="M19" s="96">
        <f>(+F19*1.09)*0.25</f>
        <v>27795.000000000004</v>
      </c>
      <c r="N19" s="97"/>
      <c r="O19" s="96">
        <f t="shared" si="0"/>
        <v>28628.850000000006</v>
      </c>
      <c r="P19" s="109"/>
      <c r="Q19" s="199" t="s">
        <v>308</v>
      </c>
      <c r="R19" s="119"/>
      <c r="S19" s="200"/>
    </row>
    <row r="20" spans="1:19" s="108" customFormat="1" hidden="1" x14ac:dyDescent="0.3">
      <c r="A20" s="94" t="s">
        <v>282</v>
      </c>
      <c r="B20" s="94" t="s">
        <v>283</v>
      </c>
      <c r="C20" s="101" t="s">
        <v>284</v>
      </c>
      <c r="D20" s="86" t="s">
        <v>166</v>
      </c>
      <c r="E20" s="86" t="s">
        <v>11</v>
      </c>
      <c r="F20" s="198">
        <v>100000</v>
      </c>
      <c r="G20" s="96"/>
      <c r="H20" s="97"/>
      <c r="I20" s="96">
        <v>0</v>
      </c>
      <c r="J20" s="97"/>
      <c r="K20" s="96">
        <v>0</v>
      </c>
      <c r="L20" s="97"/>
      <c r="M20" s="96">
        <f>(+F20*1.09)*0.7</f>
        <v>76300</v>
      </c>
      <c r="N20" s="97"/>
      <c r="O20" s="96">
        <f>M20*1.03</f>
        <v>78589</v>
      </c>
      <c r="P20" s="109"/>
      <c r="Q20" s="199" t="s">
        <v>290</v>
      </c>
      <c r="R20" s="119"/>
      <c r="S20" s="200"/>
    </row>
    <row r="21" spans="1:19" s="86" customFormat="1" hidden="1" x14ac:dyDescent="0.3">
      <c r="A21" s="94" t="s">
        <v>101</v>
      </c>
      <c r="B21" s="94" t="s">
        <v>250</v>
      </c>
      <c r="C21" s="101" t="s">
        <v>16</v>
      </c>
      <c r="D21" s="86" t="s">
        <v>14</v>
      </c>
      <c r="E21" s="86" t="s">
        <v>11</v>
      </c>
      <c r="F21" s="95">
        <v>100000</v>
      </c>
      <c r="G21" s="141"/>
      <c r="H21" s="142"/>
      <c r="I21" s="141"/>
      <c r="J21" s="142"/>
      <c r="K21" s="96">
        <f>($F$21*1.06)*0.1</f>
        <v>10600</v>
      </c>
      <c r="L21" s="142"/>
      <c r="M21" s="96">
        <f>(+F21*1.09)</f>
        <v>109000.00000000001</v>
      </c>
      <c r="N21" s="96"/>
      <c r="O21" s="96">
        <f>M21*1.03</f>
        <v>112270.00000000001</v>
      </c>
      <c r="P21" s="109"/>
      <c r="Q21" s="110" t="s">
        <v>318</v>
      </c>
      <c r="R21" s="114"/>
      <c r="S21" s="139"/>
    </row>
    <row r="22" spans="1:19" s="86" customFormat="1" hidden="1" x14ac:dyDescent="0.3">
      <c r="A22" s="94" t="s">
        <v>232</v>
      </c>
      <c r="B22" s="94" t="s">
        <v>303</v>
      </c>
      <c r="C22" s="101" t="s">
        <v>17</v>
      </c>
      <c r="D22" s="86" t="s">
        <v>18</v>
      </c>
      <c r="E22" s="86" t="s">
        <v>11</v>
      </c>
      <c r="F22" s="95">
        <v>63494</v>
      </c>
      <c r="G22" s="141"/>
      <c r="H22" s="142"/>
      <c r="I22" s="103">
        <f>F22</f>
        <v>63494</v>
      </c>
      <c r="J22" s="106"/>
      <c r="K22" s="96">
        <f>F22*1.06</f>
        <v>67303.64</v>
      </c>
      <c r="L22" s="106"/>
      <c r="M22" s="103"/>
      <c r="N22" s="106"/>
      <c r="O22" s="103"/>
      <c r="P22" s="109"/>
      <c r="Q22" s="110" t="s">
        <v>300</v>
      </c>
      <c r="R22" s="114"/>
      <c r="S22" s="139"/>
    </row>
    <row r="23" spans="1:19" s="86" customFormat="1" hidden="1" x14ac:dyDescent="0.3">
      <c r="A23" s="94" t="s">
        <v>170</v>
      </c>
      <c r="B23" s="94" t="s">
        <v>251</v>
      </c>
      <c r="C23" s="101" t="s">
        <v>17</v>
      </c>
      <c r="D23" s="86" t="s">
        <v>18</v>
      </c>
      <c r="E23" s="86" t="s">
        <v>11</v>
      </c>
      <c r="F23" s="95">
        <v>114162</v>
      </c>
      <c r="G23" s="96"/>
      <c r="H23" s="97"/>
      <c r="I23" s="96">
        <v>0</v>
      </c>
      <c r="J23" s="97"/>
      <c r="K23" s="96">
        <v>0</v>
      </c>
      <c r="L23" s="97"/>
      <c r="M23" s="96">
        <f>I23*0.5</f>
        <v>0</v>
      </c>
      <c r="N23" s="97"/>
      <c r="O23" s="96">
        <f>I23*0.25</f>
        <v>0</v>
      </c>
      <c r="P23" s="109"/>
      <c r="Q23" s="199" t="s">
        <v>319</v>
      </c>
      <c r="R23" s="201"/>
      <c r="S23" s="139"/>
    </row>
    <row r="24" spans="1:19" s="217" customFormat="1" x14ac:dyDescent="0.3">
      <c r="A24" s="237" t="s">
        <v>255</v>
      </c>
      <c r="B24" s="215" t="s">
        <v>246</v>
      </c>
      <c r="C24" s="216" t="s">
        <v>17</v>
      </c>
      <c r="D24" s="217" t="s">
        <v>18</v>
      </c>
      <c r="E24" s="217" t="s">
        <v>11</v>
      </c>
      <c r="F24" s="240">
        <v>116000</v>
      </c>
      <c r="G24" s="222"/>
      <c r="H24" s="227"/>
      <c r="I24" s="222">
        <v>0</v>
      </c>
      <c r="J24" s="227"/>
      <c r="K24" s="222">
        <f>(F24*1.06)*0.75</f>
        <v>92220</v>
      </c>
      <c r="L24" s="227"/>
      <c r="M24" s="222">
        <f>F24*1.06</f>
        <v>122960</v>
      </c>
      <c r="N24" s="227"/>
      <c r="O24" s="222">
        <f>M24</f>
        <v>122960</v>
      </c>
      <c r="P24" s="223"/>
      <c r="Q24" s="224" t="s">
        <v>281</v>
      </c>
      <c r="R24" s="225"/>
      <c r="S24" s="226"/>
    </row>
    <row r="25" spans="1:19" s="205" customFormat="1" ht="31.2" hidden="1" x14ac:dyDescent="0.3">
      <c r="A25" s="143" t="s">
        <v>19</v>
      </c>
      <c r="B25" s="143" t="s">
        <v>301</v>
      </c>
      <c r="C25" s="101" t="s">
        <v>17</v>
      </c>
      <c r="D25" s="144" t="s">
        <v>18</v>
      </c>
      <c r="E25" s="144" t="s">
        <v>11</v>
      </c>
      <c r="F25" s="95">
        <v>84800</v>
      </c>
      <c r="G25" s="96"/>
      <c r="H25" s="97"/>
      <c r="I25" s="96">
        <v>0</v>
      </c>
      <c r="J25" s="97"/>
      <c r="K25" s="96"/>
      <c r="L25" s="97"/>
      <c r="M25" s="96"/>
      <c r="N25" s="97"/>
      <c r="O25" s="96"/>
      <c r="P25" s="109"/>
      <c r="Q25" s="110" t="s">
        <v>304</v>
      </c>
      <c r="R25" s="203"/>
      <c r="S25" s="204"/>
    </row>
    <row r="26" spans="1:19" s="116" customFormat="1" ht="31.5" hidden="1" customHeight="1" x14ac:dyDescent="0.3">
      <c r="A26" s="94" t="s">
        <v>299</v>
      </c>
      <c r="B26" s="94" t="s">
        <v>302</v>
      </c>
      <c r="C26" s="101" t="s">
        <v>30</v>
      </c>
      <c r="D26" s="86" t="s">
        <v>31</v>
      </c>
      <c r="E26" s="86" t="s">
        <v>26</v>
      </c>
      <c r="F26" s="95">
        <v>100000</v>
      </c>
      <c r="G26" s="145">
        <f>25000</f>
        <v>25000</v>
      </c>
      <c r="H26" s="206"/>
      <c r="I26" s="96">
        <f>+F26*1.03</f>
        <v>103000</v>
      </c>
      <c r="J26" s="97"/>
      <c r="K26" s="96">
        <f>F26*1.06</f>
        <v>106000</v>
      </c>
      <c r="L26" s="97"/>
      <c r="M26" s="96">
        <f>K26*1.06</f>
        <v>112360</v>
      </c>
      <c r="N26" s="97"/>
      <c r="O26" s="96">
        <f t="shared" ref="O26:O42" si="1">M26*1.03</f>
        <v>115730.8</v>
      </c>
      <c r="P26" s="109"/>
      <c r="Q26" s="110" t="s">
        <v>298</v>
      </c>
      <c r="R26" s="146"/>
    </row>
    <row r="27" spans="1:19" s="131" customFormat="1" hidden="1" x14ac:dyDescent="0.3">
      <c r="A27" s="189" t="s">
        <v>255</v>
      </c>
      <c r="B27" s="189" t="s">
        <v>256</v>
      </c>
      <c r="C27" s="190" t="s">
        <v>17</v>
      </c>
      <c r="D27" s="189" t="s">
        <v>18</v>
      </c>
      <c r="E27" s="189" t="s">
        <v>11</v>
      </c>
      <c r="F27" s="167">
        <f>115000*0.75</f>
        <v>86250</v>
      </c>
      <c r="G27" s="191"/>
      <c r="H27" s="135"/>
      <c r="I27" s="135">
        <v>0</v>
      </c>
      <c r="J27" s="135"/>
      <c r="K27" s="135">
        <f>(F27*1.06)*0.5</f>
        <v>45712.5</v>
      </c>
      <c r="L27" s="135"/>
      <c r="M27" s="135">
        <f>K27*1.06</f>
        <v>48455.25</v>
      </c>
      <c r="N27" s="135"/>
      <c r="O27" s="135">
        <f t="shared" si="1"/>
        <v>49908.907500000001</v>
      </c>
      <c r="P27" s="138"/>
      <c r="Q27" s="168" t="s">
        <v>290</v>
      </c>
    </row>
    <row r="28" spans="1:19" s="131" customFormat="1" ht="15.75" hidden="1" customHeight="1" x14ac:dyDescent="0.3">
      <c r="A28" s="189" t="s">
        <v>257</v>
      </c>
      <c r="B28" s="189" t="s">
        <v>258</v>
      </c>
      <c r="C28" s="190" t="s">
        <v>13</v>
      </c>
      <c r="D28" s="277" t="s">
        <v>333</v>
      </c>
      <c r="E28" s="189" t="s">
        <v>11</v>
      </c>
      <c r="F28" s="167">
        <f>(107000)*0.75</f>
        <v>80250</v>
      </c>
      <c r="G28" s="191"/>
      <c r="H28" s="135"/>
      <c r="I28" s="135">
        <v>0</v>
      </c>
      <c r="J28" s="135"/>
      <c r="K28" s="135">
        <f>(F28*1.06)*0.5</f>
        <v>42532.5</v>
      </c>
      <c r="L28" s="135"/>
      <c r="M28" s="135">
        <f>K28*1.06</f>
        <v>45084.450000000004</v>
      </c>
      <c r="N28" s="135"/>
      <c r="O28" s="135">
        <f t="shared" si="1"/>
        <v>46436.983500000002</v>
      </c>
      <c r="P28" s="138"/>
      <c r="Q28" s="168" t="s">
        <v>290</v>
      </c>
    </row>
    <row r="29" spans="1:19" s="116" customFormat="1" hidden="1" x14ac:dyDescent="0.3">
      <c r="A29" s="202" t="s">
        <v>288</v>
      </c>
      <c r="B29" s="202" t="s">
        <v>289</v>
      </c>
      <c r="C29" s="207" t="s">
        <v>17</v>
      </c>
      <c r="D29" s="202" t="s">
        <v>18</v>
      </c>
      <c r="E29" s="202" t="s">
        <v>11</v>
      </c>
      <c r="F29" s="198">
        <v>100000</v>
      </c>
      <c r="G29" s="206"/>
      <c r="H29" s="96"/>
      <c r="I29" s="96"/>
      <c r="J29" s="96"/>
      <c r="K29" s="96">
        <f>(F29*1.06)*0.5</f>
        <v>53000</v>
      </c>
      <c r="L29" s="96"/>
      <c r="M29" s="96">
        <f>F29*1.06</f>
        <v>106000</v>
      </c>
      <c r="N29" s="96"/>
      <c r="O29" s="96">
        <f>F29*1.06</f>
        <v>106000</v>
      </c>
      <c r="P29" s="110"/>
      <c r="Q29" s="146" t="s">
        <v>297</v>
      </c>
    </row>
    <row r="30" spans="1:19" s="116" customFormat="1" hidden="1" x14ac:dyDescent="0.3">
      <c r="A30" s="202" t="s">
        <v>259</v>
      </c>
      <c r="B30" s="202" t="s">
        <v>260</v>
      </c>
      <c r="C30" s="207" t="s">
        <v>13</v>
      </c>
      <c r="D30" s="202" t="s">
        <v>166</v>
      </c>
      <c r="E30" s="202" t="s">
        <v>11</v>
      </c>
      <c r="F30" s="198">
        <v>150000</v>
      </c>
      <c r="G30" s="206"/>
      <c r="H30" s="96"/>
      <c r="I30" s="96">
        <v>0</v>
      </c>
      <c r="J30" s="96"/>
      <c r="K30" s="96">
        <f>(F30*1.06)*0.1</f>
        <v>15900</v>
      </c>
      <c r="L30" s="96"/>
      <c r="M30" s="96">
        <f>K30*1.06</f>
        <v>16854</v>
      </c>
      <c r="N30" s="96"/>
      <c r="O30" s="96">
        <f t="shared" si="1"/>
        <v>17359.62</v>
      </c>
      <c r="P30" s="110"/>
      <c r="Q30" s="199" t="s">
        <v>309</v>
      </c>
    </row>
    <row r="31" spans="1:19" s="131" customFormat="1" hidden="1" x14ac:dyDescent="0.3">
      <c r="A31" s="192" t="s">
        <v>261</v>
      </c>
      <c r="B31" s="189" t="s">
        <v>262</v>
      </c>
      <c r="C31" s="190" t="s">
        <v>263</v>
      </c>
      <c r="D31" s="189" t="s">
        <v>264</v>
      </c>
      <c r="E31" s="189" t="s">
        <v>26</v>
      </c>
      <c r="F31" s="167">
        <v>70000</v>
      </c>
      <c r="G31" s="191"/>
      <c r="H31" s="135"/>
      <c r="I31" s="135">
        <v>0</v>
      </c>
      <c r="J31" s="135"/>
      <c r="K31" s="135">
        <f>(F31*1.06)</f>
        <v>74200</v>
      </c>
      <c r="L31" s="135"/>
      <c r="M31" s="135">
        <f>K31*1.06</f>
        <v>78652</v>
      </c>
      <c r="N31" s="135"/>
      <c r="O31" s="135">
        <f t="shared" si="1"/>
        <v>81011.56</v>
      </c>
      <c r="P31" s="138"/>
      <c r="Q31" s="168" t="s">
        <v>290</v>
      </c>
    </row>
    <row r="32" spans="1:19" s="131" customFormat="1" hidden="1" x14ac:dyDescent="0.3">
      <c r="A32" s="192" t="s">
        <v>261</v>
      </c>
      <c r="B32" s="189" t="s">
        <v>265</v>
      </c>
      <c r="C32" s="190" t="s">
        <v>263</v>
      </c>
      <c r="D32" s="189" t="s">
        <v>264</v>
      </c>
      <c r="E32" s="189" t="s">
        <v>26</v>
      </c>
      <c r="F32" s="167">
        <v>65000</v>
      </c>
      <c r="G32" s="191"/>
      <c r="H32" s="135"/>
      <c r="I32" s="135">
        <v>0</v>
      </c>
      <c r="J32" s="135"/>
      <c r="K32" s="135">
        <f>(F32*1.06)</f>
        <v>68900</v>
      </c>
      <c r="L32" s="135"/>
      <c r="M32" s="135">
        <v>70967</v>
      </c>
      <c r="N32" s="135"/>
      <c r="O32" s="135">
        <v>73096.009999999995</v>
      </c>
      <c r="P32" s="138"/>
      <c r="Q32" s="168" t="s">
        <v>291</v>
      </c>
    </row>
    <row r="33" spans="1:19" s="170" customFormat="1" x14ac:dyDescent="0.3">
      <c r="A33" s="246" t="s">
        <v>261</v>
      </c>
      <c r="B33" s="237" t="s">
        <v>310</v>
      </c>
      <c r="C33" s="241" t="s">
        <v>263</v>
      </c>
      <c r="D33" s="237" t="s">
        <v>293</v>
      </c>
      <c r="E33" s="237" t="s">
        <v>26</v>
      </c>
      <c r="F33" s="240">
        <v>65000</v>
      </c>
      <c r="G33" s="235"/>
      <c r="H33" s="222"/>
      <c r="I33" s="222"/>
      <c r="J33" s="222"/>
      <c r="K33" s="222"/>
      <c r="L33" s="222"/>
      <c r="M33" s="222"/>
      <c r="N33" s="222"/>
      <c r="O33" s="222">
        <f>F33*1.03</f>
        <v>66950</v>
      </c>
      <c r="P33" s="224"/>
      <c r="Q33" s="228" t="s">
        <v>311</v>
      </c>
    </row>
    <row r="34" spans="1:19" s="116" customFormat="1" hidden="1" x14ac:dyDescent="0.3">
      <c r="A34" s="202" t="s">
        <v>287</v>
      </c>
      <c r="B34" s="202" t="s">
        <v>252</v>
      </c>
      <c r="C34" s="209" t="s">
        <v>266</v>
      </c>
      <c r="D34" s="210" t="s">
        <v>267</v>
      </c>
      <c r="E34" s="202" t="s">
        <v>26</v>
      </c>
      <c r="F34" s="198">
        <v>90000</v>
      </c>
      <c r="G34" s="206"/>
      <c r="H34" s="96"/>
      <c r="I34" s="96">
        <v>0</v>
      </c>
      <c r="J34" s="96"/>
      <c r="K34" s="96">
        <f t="shared" ref="K34" si="2">(F34*1.06)</f>
        <v>95400</v>
      </c>
      <c r="L34" s="96"/>
      <c r="M34" s="96">
        <f>(K34*1.03)*0.2</f>
        <v>19652.400000000001</v>
      </c>
      <c r="N34" s="96"/>
      <c r="O34" s="96">
        <f t="shared" si="1"/>
        <v>20241.972000000002</v>
      </c>
      <c r="P34" s="110"/>
      <c r="Q34" s="146" t="s">
        <v>312</v>
      </c>
    </row>
    <row r="35" spans="1:19" s="116" customFormat="1" hidden="1" x14ac:dyDescent="0.3">
      <c r="A35" s="202" t="s">
        <v>268</v>
      </c>
      <c r="B35" s="202" t="s">
        <v>269</v>
      </c>
      <c r="C35" s="209" t="s">
        <v>266</v>
      </c>
      <c r="D35" s="210" t="s">
        <v>267</v>
      </c>
      <c r="E35" s="202" t="s">
        <v>26</v>
      </c>
      <c r="F35" s="198">
        <f>70000*0.25</f>
        <v>17500</v>
      </c>
      <c r="G35" s="206"/>
      <c r="H35" s="96"/>
      <c r="I35" s="96">
        <v>0</v>
      </c>
      <c r="J35" s="96"/>
      <c r="K35" s="96"/>
      <c r="L35" s="96"/>
      <c r="M35" s="96">
        <f t="shared" ref="M35:M40" si="3">K35*1.03</f>
        <v>0</v>
      </c>
      <c r="N35" s="96"/>
      <c r="O35" s="96">
        <f t="shared" si="1"/>
        <v>0</v>
      </c>
      <c r="P35" s="110"/>
      <c r="Q35" s="199" t="s">
        <v>290</v>
      </c>
    </row>
    <row r="36" spans="1:19" s="116" customFormat="1" hidden="1" x14ac:dyDescent="0.3">
      <c r="A36" s="202" t="s">
        <v>270</v>
      </c>
      <c r="B36" s="202" t="s">
        <v>271</v>
      </c>
      <c r="C36" s="207" t="s">
        <v>263</v>
      </c>
      <c r="D36" s="202" t="s">
        <v>264</v>
      </c>
      <c r="E36" s="202" t="s">
        <v>26</v>
      </c>
      <c r="F36" s="198">
        <v>80000</v>
      </c>
      <c r="G36" s="206"/>
      <c r="H36" s="96"/>
      <c r="I36" s="96">
        <v>0</v>
      </c>
      <c r="J36" s="96"/>
      <c r="K36" s="96">
        <f>(F36*1.06)</f>
        <v>84800</v>
      </c>
      <c r="L36" s="96"/>
      <c r="M36" s="96">
        <f t="shared" si="3"/>
        <v>87344</v>
      </c>
      <c r="N36" s="96"/>
      <c r="O36" s="96">
        <f t="shared" si="1"/>
        <v>89964.32</v>
      </c>
      <c r="P36" s="110"/>
      <c r="Q36" s="199" t="s">
        <v>290</v>
      </c>
    </row>
    <row r="37" spans="1:19" s="116" customFormat="1" hidden="1" x14ac:dyDescent="0.3">
      <c r="A37" s="202" t="s">
        <v>272</v>
      </c>
      <c r="B37" s="202" t="s">
        <v>273</v>
      </c>
      <c r="C37" s="207" t="s">
        <v>9</v>
      </c>
      <c r="D37" s="202" t="s">
        <v>8</v>
      </c>
      <c r="E37" s="202" t="s">
        <v>5</v>
      </c>
      <c r="F37" s="198">
        <f>123900*0.8</f>
        <v>99120</v>
      </c>
      <c r="G37" s="206"/>
      <c r="H37" s="96"/>
      <c r="I37" s="96">
        <v>0</v>
      </c>
      <c r="J37" s="96"/>
      <c r="K37" s="96">
        <f>(F37*1.06)*0.6</f>
        <v>63040.320000000007</v>
      </c>
      <c r="L37" s="96"/>
      <c r="M37" s="96">
        <f t="shared" si="3"/>
        <v>64931.529600000009</v>
      </c>
      <c r="N37" s="96"/>
      <c r="O37" s="96">
        <f t="shared" si="1"/>
        <v>66879.475488000011</v>
      </c>
      <c r="P37" s="110"/>
      <c r="Q37" s="199" t="s">
        <v>313</v>
      </c>
    </row>
    <row r="38" spans="1:19" s="116" customFormat="1" hidden="1" x14ac:dyDescent="0.3">
      <c r="A38" s="202" t="s">
        <v>272</v>
      </c>
      <c r="B38" s="202" t="s">
        <v>274</v>
      </c>
      <c r="C38" s="207" t="s">
        <v>9</v>
      </c>
      <c r="D38" s="202" t="s">
        <v>8</v>
      </c>
      <c r="E38" s="202" t="s">
        <v>5</v>
      </c>
      <c r="F38" s="198">
        <f>94000*0.8</f>
        <v>75200</v>
      </c>
      <c r="G38" s="206"/>
      <c r="H38" s="96"/>
      <c r="I38" s="96">
        <v>0</v>
      </c>
      <c r="J38" s="96"/>
      <c r="K38" s="96">
        <f>(F38*1.06)*0.6</f>
        <v>47827.199999999997</v>
      </c>
      <c r="L38" s="96"/>
      <c r="M38" s="96">
        <f t="shared" si="3"/>
        <v>49262.015999999996</v>
      </c>
      <c r="N38" s="96"/>
      <c r="O38" s="96">
        <f t="shared" si="1"/>
        <v>50739.876479999999</v>
      </c>
      <c r="P38" s="110"/>
      <c r="Q38" s="146" t="s">
        <v>314</v>
      </c>
    </row>
    <row r="39" spans="1:19" s="116" customFormat="1" hidden="1" x14ac:dyDescent="0.3">
      <c r="A39" s="202" t="s">
        <v>275</v>
      </c>
      <c r="B39" s="202" t="s">
        <v>276</v>
      </c>
      <c r="C39" s="207" t="s">
        <v>9</v>
      </c>
      <c r="D39" s="202" t="s">
        <v>8</v>
      </c>
      <c r="E39" s="202" t="s">
        <v>5</v>
      </c>
      <c r="F39" s="198">
        <f>107000*0.75</f>
        <v>80250</v>
      </c>
      <c r="G39" s="206"/>
      <c r="H39" s="96"/>
      <c r="I39" s="96">
        <v>0</v>
      </c>
      <c r="J39" s="96"/>
      <c r="K39" s="96">
        <f>(F39*1.06)*0.5</f>
        <v>42532.5</v>
      </c>
      <c r="L39" s="96"/>
      <c r="M39" s="96">
        <f t="shared" si="3"/>
        <v>43808.474999999999</v>
      </c>
      <c r="N39" s="96"/>
      <c r="O39" s="96">
        <f t="shared" si="1"/>
        <v>45122.729249999997</v>
      </c>
      <c r="P39" s="110"/>
      <c r="Q39" s="199" t="s">
        <v>315</v>
      </c>
    </row>
    <row r="40" spans="1:19" s="170" customFormat="1" x14ac:dyDescent="0.3">
      <c r="A40" s="247" t="s">
        <v>237</v>
      </c>
      <c r="B40" s="241" t="s">
        <v>277</v>
      </c>
      <c r="C40" s="247" t="s">
        <v>278</v>
      </c>
      <c r="D40" s="237" t="s">
        <v>167</v>
      </c>
      <c r="E40" s="237" t="s">
        <v>11</v>
      </c>
      <c r="F40" s="240">
        <v>127800</v>
      </c>
      <c r="G40" s="235"/>
      <c r="H40" s="222"/>
      <c r="I40" s="222">
        <f>(+F40*1.03)*0.25</f>
        <v>32908.5</v>
      </c>
      <c r="J40" s="222"/>
      <c r="K40" s="222">
        <f>F40*1.06</f>
        <v>135468</v>
      </c>
      <c r="L40" s="222"/>
      <c r="M40" s="222">
        <f t="shared" si="3"/>
        <v>139532.04</v>
      </c>
      <c r="N40" s="222"/>
      <c r="O40" s="222">
        <f t="shared" si="1"/>
        <v>143718.0012</v>
      </c>
      <c r="P40" s="224"/>
      <c r="Q40" s="236" t="s">
        <v>295</v>
      </c>
    </row>
    <row r="41" spans="1:19" s="170" customFormat="1" x14ac:dyDescent="0.3">
      <c r="A41" s="247" t="s">
        <v>279</v>
      </c>
      <c r="B41" s="241" t="s">
        <v>244</v>
      </c>
      <c r="C41" s="247" t="s">
        <v>263</v>
      </c>
      <c r="D41" s="237" t="s">
        <v>264</v>
      </c>
      <c r="E41" s="237" t="s">
        <v>26</v>
      </c>
      <c r="F41" s="240">
        <f>70000</f>
        <v>70000</v>
      </c>
      <c r="G41" s="235"/>
      <c r="H41" s="222"/>
      <c r="I41" s="222">
        <v>0</v>
      </c>
      <c r="J41" s="222"/>
      <c r="K41" s="222">
        <v>0</v>
      </c>
      <c r="L41" s="222"/>
      <c r="M41" s="222">
        <f>F41*0.5</f>
        <v>35000</v>
      </c>
      <c r="N41" s="222"/>
      <c r="O41" s="222">
        <f>F41*1.03</f>
        <v>72100</v>
      </c>
      <c r="P41" s="224"/>
      <c r="Q41" s="236" t="s">
        <v>296</v>
      </c>
    </row>
    <row r="42" spans="1:19" s="116" customFormat="1" ht="31.2" hidden="1" x14ac:dyDescent="0.3">
      <c r="A42" s="143" t="s">
        <v>32</v>
      </c>
      <c r="B42" s="143" t="s">
        <v>245</v>
      </c>
      <c r="C42" s="101" t="s">
        <v>33</v>
      </c>
      <c r="D42" s="144" t="s">
        <v>34</v>
      </c>
      <c r="E42" s="202" t="s">
        <v>26</v>
      </c>
      <c r="F42" s="145">
        <v>100000</v>
      </c>
      <c r="G42" s="212"/>
      <c r="H42" s="142"/>
      <c r="I42" s="96"/>
      <c r="J42" s="97"/>
      <c r="K42" s="96">
        <v>100000</v>
      </c>
      <c r="L42" s="97"/>
      <c r="M42" s="96">
        <f>(K42*1.03)*0.5</f>
        <v>51500</v>
      </c>
      <c r="N42" s="97"/>
      <c r="O42" s="96">
        <f t="shared" si="1"/>
        <v>53045</v>
      </c>
      <c r="P42" s="109"/>
      <c r="Q42" s="110" t="s">
        <v>240</v>
      </c>
      <c r="R42" s="146"/>
    </row>
    <row r="43" spans="1:19" s="116" customFormat="1" ht="97.5" hidden="1" customHeight="1" x14ac:dyDescent="0.3">
      <c r="A43" s="94" t="s">
        <v>199</v>
      </c>
      <c r="B43" s="94"/>
      <c r="C43" s="101" t="s">
        <v>9</v>
      </c>
      <c r="D43" s="86" t="s">
        <v>10</v>
      </c>
      <c r="E43" s="86" t="s">
        <v>5</v>
      </c>
      <c r="F43" s="95">
        <v>200000</v>
      </c>
      <c r="G43" s="141"/>
      <c r="H43" s="142"/>
      <c r="I43" s="96"/>
      <c r="J43" s="97"/>
      <c r="K43" s="96">
        <v>0</v>
      </c>
      <c r="L43" s="97"/>
      <c r="M43" s="96">
        <v>0</v>
      </c>
      <c r="N43" s="97"/>
      <c r="O43" s="96">
        <v>0</v>
      </c>
      <c r="P43" s="109"/>
      <c r="Q43" s="110" t="s">
        <v>305</v>
      </c>
      <c r="R43" s="146"/>
    </row>
    <row r="44" spans="1:19" s="255" customFormat="1" x14ac:dyDescent="0.3">
      <c r="A44" s="254" t="s">
        <v>35</v>
      </c>
      <c r="B44" s="254"/>
      <c r="C44" s="255" t="s">
        <v>36</v>
      </c>
      <c r="D44" s="255" t="s">
        <v>37</v>
      </c>
      <c r="E44" s="255" t="s">
        <v>38</v>
      </c>
      <c r="F44" s="256">
        <f>(SUM(F16:H43)*0.71)</f>
        <v>1828836.46</v>
      </c>
      <c r="G44" s="257"/>
      <c r="H44" s="258"/>
      <c r="I44" s="259">
        <f>(I40)*0.71</f>
        <v>23365.035</v>
      </c>
      <c r="J44" s="260"/>
      <c r="K44" s="259">
        <f>(K41+K24+K40)*0.71</f>
        <v>161658.47999999998</v>
      </c>
      <c r="L44" s="260"/>
      <c r="M44" s="259">
        <f>(M24+M40+M41)*0.71</f>
        <v>211219.34840000002</v>
      </c>
      <c r="N44" s="260"/>
      <c r="O44" s="259">
        <f>(O24+O33+O40+O41)*0.71</f>
        <v>288066.88085199997</v>
      </c>
      <c r="P44" s="261"/>
      <c r="Q44" s="262" t="s">
        <v>45</v>
      </c>
      <c r="R44" s="263"/>
    </row>
    <row r="45" spans="1:19" s="86" customFormat="1" ht="31.2" hidden="1" x14ac:dyDescent="0.3">
      <c r="A45" s="120" t="s">
        <v>21</v>
      </c>
      <c r="B45" s="120"/>
      <c r="C45" s="116" t="s">
        <v>20</v>
      </c>
      <c r="D45" s="116" t="s">
        <v>167</v>
      </c>
      <c r="E45" s="116" t="s">
        <v>11</v>
      </c>
      <c r="F45" s="117">
        <v>363416</v>
      </c>
      <c r="G45" s="103"/>
      <c r="H45" s="106">
        <v>59576</v>
      </c>
      <c r="I45" s="118"/>
      <c r="J45" s="106">
        <v>363416</v>
      </c>
      <c r="K45" s="118"/>
      <c r="L45" s="106">
        <v>363416</v>
      </c>
      <c r="M45" s="118"/>
      <c r="N45" s="106">
        <v>363416</v>
      </c>
      <c r="O45" s="118"/>
      <c r="P45" s="106">
        <v>363416</v>
      </c>
      <c r="Q45" s="99" t="s">
        <v>106</v>
      </c>
      <c r="R45" s="147"/>
      <c r="S45" s="139"/>
    </row>
    <row r="46" spans="1:19" s="217" customFormat="1" ht="31.2" x14ac:dyDescent="0.3">
      <c r="A46" s="242" t="s">
        <v>192</v>
      </c>
      <c r="B46" s="242"/>
      <c r="C46" s="170" t="s">
        <v>20</v>
      </c>
      <c r="D46" s="170" t="s">
        <v>167</v>
      </c>
      <c r="E46" s="170" t="s">
        <v>11</v>
      </c>
      <c r="F46" s="243">
        <v>214900</v>
      </c>
      <c r="G46" s="220"/>
      <c r="H46" s="221"/>
      <c r="I46" s="244"/>
      <c r="J46" s="221">
        <v>53728</v>
      </c>
      <c r="K46" s="244"/>
      <c r="L46" s="221">
        <v>214900</v>
      </c>
      <c r="M46" s="244"/>
      <c r="N46" s="221">
        <f>+L46</f>
        <v>214900</v>
      </c>
      <c r="O46" s="244"/>
      <c r="P46" s="221">
        <f>+N46</f>
        <v>214900</v>
      </c>
      <c r="Q46" s="171" t="s">
        <v>171</v>
      </c>
      <c r="R46" s="164"/>
      <c r="S46" s="226"/>
    </row>
    <row r="47" spans="1:19" s="86" customFormat="1" hidden="1" x14ac:dyDescent="0.3">
      <c r="A47" s="120" t="s">
        <v>193</v>
      </c>
      <c r="B47" s="120"/>
      <c r="C47" s="116" t="s">
        <v>20</v>
      </c>
      <c r="D47" s="116" t="s">
        <v>194</v>
      </c>
      <c r="E47" s="116" t="s">
        <v>11</v>
      </c>
      <c r="F47" s="117">
        <v>164738</v>
      </c>
      <c r="G47" s="103"/>
      <c r="H47" s="106"/>
      <c r="I47" s="118"/>
      <c r="J47" s="106">
        <v>2080</v>
      </c>
      <c r="K47" s="118"/>
      <c r="L47" s="106">
        <v>78208</v>
      </c>
      <c r="M47" s="118"/>
      <c r="N47" s="106">
        <v>164738</v>
      </c>
      <c r="O47" s="118"/>
      <c r="P47" s="106">
        <f>+N47</f>
        <v>164738</v>
      </c>
      <c r="Q47" s="99"/>
      <c r="R47" s="108"/>
      <c r="S47" s="139"/>
    </row>
    <row r="48" spans="1:19" s="217" customFormat="1" x14ac:dyDescent="0.3">
      <c r="A48" s="248" t="s">
        <v>200</v>
      </c>
      <c r="B48" s="248"/>
      <c r="C48" s="170" t="s">
        <v>20</v>
      </c>
      <c r="D48" s="170" t="s">
        <v>167</v>
      </c>
      <c r="E48" s="170" t="s">
        <v>11</v>
      </c>
      <c r="F48" s="243">
        <v>134500</v>
      </c>
      <c r="G48" s="220"/>
      <c r="H48" s="221"/>
      <c r="I48" s="244"/>
      <c r="J48" s="221">
        <v>134500</v>
      </c>
      <c r="K48" s="244"/>
      <c r="L48" s="221">
        <v>134500</v>
      </c>
      <c r="M48" s="221"/>
      <c r="N48" s="221">
        <v>134500</v>
      </c>
      <c r="O48" s="244"/>
      <c r="P48" s="221">
        <v>134500</v>
      </c>
      <c r="Q48" s="171" t="s">
        <v>180</v>
      </c>
      <c r="R48" s="164"/>
      <c r="S48" s="226"/>
    </row>
    <row r="49" spans="1:18" s="108" customFormat="1" hidden="1" x14ac:dyDescent="0.3">
      <c r="A49" s="120" t="s">
        <v>195</v>
      </c>
      <c r="B49" s="120"/>
      <c r="C49" s="116" t="s">
        <v>20</v>
      </c>
      <c r="D49" s="116" t="s">
        <v>161</v>
      </c>
      <c r="E49" s="116" t="s">
        <v>11</v>
      </c>
      <c r="F49" s="117">
        <v>99218</v>
      </c>
      <c r="G49" s="103"/>
      <c r="H49" s="106"/>
      <c r="I49" s="118"/>
      <c r="J49" s="106">
        <v>8978</v>
      </c>
      <c r="K49" s="118"/>
      <c r="L49" s="106">
        <v>88844</v>
      </c>
      <c r="M49" s="118"/>
      <c r="N49" s="106">
        <v>99218</v>
      </c>
      <c r="O49" s="118"/>
      <c r="P49" s="106">
        <f>+F49</f>
        <v>99218</v>
      </c>
      <c r="Q49" s="99"/>
      <c r="R49" s="119"/>
    </row>
    <row r="50" spans="1:18" s="108" customFormat="1" hidden="1" x14ac:dyDescent="0.3">
      <c r="A50" s="120" t="s">
        <v>233</v>
      </c>
      <c r="B50" s="120"/>
      <c r="C50" s="116" t="s">
        <v>20</v>
      </c>
      <c r="D50" s="116" t="s">
        <v>161</v>
      </c>
      <c r="E50" s="116" t="s">
        <v>11</v>
      </c>
      <c r="F50" s="117">
        <v>2173</v>
      </c>
      <c r="G50" s="103"/>
      <c r="H50" s="106"/>
      <c r="I50" s="118"/>
      <c r="J50" s="106"/>
      <c r="K50" s="118"/>
      <c r="L50" s="106">
        <v>380</v>
      </c>
      <c r="M50" s="118"/>
      <c r="N50" s="106">
        <v>1730</v>
      </c>
      <c r="O50" s="118"/>
      <c r="P50" s="106">
        <f>+F50</f>
        <v>2173</v>
      </c>
      <c r="Q50" s="99"/>
      <c r="R50" s="119"/>
    </row>
    <row r="51" spans="1:18" s="108" customFormat="1" hidden="1" x14ac:dyDescent="0.3">
      <c r="A51" s="120" t="s">
        <v>177</v>
      </c>
      <c r="B51" s="120"/>
      <c r="C51" s="116" t="s">
        <v>20</v>
      </c>
      <c r="D51" s="116" t="s">
        <v>176</v>
      </c>
      <c r="E51" s="116" t="s">
        <v>11</v>
      </c>
      <c r="F51" s="117">
        <v>51000</v>
      </c>
      <c r="G51" s="103"/>
      <c r="H51" s="106"/>
      <c r="I51" s="118"/>
      <c r="J51" s="106">
        <v>1050</v>
      </c>
      <c r="K51" s="118"/>
      <c r="L51" s="106">
        <v>1050</v>
      </c>
      <c r="M51" s="118"/>
      <c r="N51" s="106">
        <f>+F51</f>
        <v>51000</v>
      </c>
      <c r="O51" s="118"/>
      <c r="P51" s="106">
        <v>51000</v>
      </c>
      <c r="Q51" s="99" t="s">
        <v>316</v>
      </c>
      <c r="R51" s="119"/>
    </row>
    <row r="52" spans="1:18" s="108" customFormat="1" hidden="1" x14ac:dyDescent="0.3">
      <c r="A52" s="120" t="s">
        <v>178</v>
      </c>
      <c r="B52" s="120"/>
      <c r="C52" s="116" t="s">
        <v>20</v>
      </c>
      <c r="D52" s="116" t="s">
        <v>176</v>
      </c>
      <c r="E52" s="116" t="s">
        <v>11</v>
      </c>
      <c r="F52" s="117">
        <v>19300</v>
      </c>
      <c r="G52" s="103"/>
      <c r="H52" s="106"/>
      <c r="I52" s="118"/>
      <c r="J52" s="106"/>
      <c r="K52" s="118"/>
      <c r="L52" s="106">
        <v>787</v>
      </c>
      <c r="M52" s="118"/>
      <c r="N52" s="106">
        <v>12177</v>
      </c>
      <c r="O52" s="118"/>
      <c r="P52" s="106">
        <v>12177</v>
      </c>
      <c r="Q52" s="99" t="s">
        <v>316</v>
      </c>
      <c r="R52" s="119"/>
    </row>
    <row r="53" spans="1:18" s="164" customFormat="1" x14ac:dyDescent="0.3">
      <c r="A53" s="248" t="s">
        <v>201</v>
      </c>
      <c r="B53" s="248"/>
      <c r="C53" s="170" t="s">
        <v>20</v>
      </c>
      <c r="D53" s="170" t="s">
        <v>191</v>
      </c>
      <c r="E53" s="170" t="s">
        <v>11</v>
      </c>
      <c r="F53" s="221">
        <v>40557</v>
      </c>
      <c r="G53" s="220"/>
      <c r="H53" s="221"/>
      <c r="I53" s="244"/>
      <c r="J53" s="221">
        <v>40557</v>
      </c>
      <c r="K53" s="244"/>
      <c r="L53" s="221">
        <v>40557</v>
      </c>
      <c r="M53" s="221"/>
      <c r="N53" s="221">
        <v>40557</v>
      </c>
      <c r="O53" s="244"/>
      <c r="P53" s="221">
        <v>40557</v>
      </c>
      <c r="Q53" s="171" t="s">
        <v>182</v>
      </c>
      <c r="R53" s="163"/>
    </row>
    <row r="54" spans="1:18" s="108" customFormat="1" hidden="1" x14ac:dyDescent="0.3">
      <c r="A54" s="115" t="s">
        <v>203</v>
      </c>
      <c r="B54" s="115"/>
      <c r="C54" s="116" t="s">
        <v>20</v>
      </c>
      <c r="D54" s="116" t="s">
        <v>191</v>
      </c>
      <c r="E54" s="116" t="s">
        <v>11</v>
      </c>
      <c r="F54" s="117">
        <v>18675</v>
      </c>
      <c r="G54" s="103"/>
      <c r="H54" s="106"/>
      <c r="I54" s="118"/>
      <c r="J54" s="117">
        <v>18675</v>
      </c>
      <c r="K54" s="118"/>
      <c r="L54" s="117">
        <v>18675</v>
      </c>
      <c r="M54" s="118"/>
      <c r="N54" s="117">
        <v>18675</v>
      </c>
      <c r="O54" s="118"/>
      <c r="P54" s="117">
        <v>18675</v>
      </c>
      <c r="Q54" s="99" t="s">
        <v>182</v>
      </c>
      <c r="R54" s="119"/>
    </row>
    <row r="55" spans="1:18" s="108" customFormat="1" hidden="1" x14ac:dyDescent="0.3">
      <c r="A55" s="120" t="s">
        <v>24</v>
      </c>
      <c r="B55" s="120"/>
      <c r="C55" s="116" t="s">
        <v>20</v>
      </c>
      <c r="D55" s="116" t="s">
        <v>161</v>
      </c>
      <c r="E55" s="116" t="s">
        <v>11</v>
      </c>
      <c r="F55" s="117">
        <v>74680</v>
      </c>
      <c r="G55" s="103"/>
      <c r="H55" s="106"/>
      <c r="I55" s="118"/>
      <c r="J55" s="106">
        <v>10440</v>
      </c>
      <c r="K55" s="118"/>
      <c r="L55" s="106">
        <v>71200</v>
      </c>
      <c r="M55" s="118"/>
      <c r="N55" s="106">
        <v>97241</v>
      </c>
      <c r="O55" s="118"/>
      <c r="P55" s="106">
        <v>97805</v>
      </c>
      <c r="Q55" s="99" t="s">
        <v>317</v>
      </c>
      <c r="R55" s="119"/>
    </row>
    <row r="56" spans="1:18" s="108" customFormat="1" ht="46.8" hidden="1" x14ac:dyDescent="0.3">
      <c r="A56" s="120" t="s">
        <v>25</v>
      </c>
      <c r="B56" s="120"/>
      <c r="C56" s="116" t="s">
        <v>20</v>
      </c>
      <c r="D56" s="116" t="s">
        <v>167</v>
      </c>
      <c r="E56" s="116" t="s">
        <v>11</v>
      </c>
      <c r="F56" s="117">
        <v>233484</v>
      </c>
      <c r="G56" s="103"/>
      <c r="H56" s="106">
        <v>38216</v>
      </c>
      <c r="I56" s="118"/>
      <c r="J56" s="106">
        <v>100952</v>
      </c>
      <c r="K56" s="118"/>
      <c r="L56" s="106">
        <f>F56</f>
        <v>233484</v>
      </c>
      <c r="M56" s="118"/>
      <c r="N56" s="106">
        <f>F56</f>
        <v>233484</v>
      </c>
      <c r="O56" s="118"/>
      <c r="P56" s="106">
        <f>F56</f>
        <v>233484</v>
      </c>
      <c r="Q56" s="99" t="s">
        <v>181</v>
      </c>
      <c r="R56" s="119"/>
    </row>
    <row r="57" spans="1:18" s="108" customFormat="1" ht="46.8" hidden="1" x14ac:dyDescent="0.3">
      <c r="A57" s="120" t="s">
        <v>196</v>
      </c>
      <c r="B57" s="120"/>
      <c r="C57" s="101" t="s">
        <v>33</v>
      </c>
      <c r="D57" s="86" t="s">
        <v>34</v>
      </c>
      <c r="E57" s="86" t="s">
        <v>26</v>
      </c>
      <c r="F57" s="117">
        <v>450000</v>
      </c>
      <c r="G57" s="103"/>
      <c r="H57" s="106"/>
      <c r="I57" s="118"/>
      <c r="J57" s="106"/>
      <c r="K57" s="118"/>
      <c r="L57" s="106">
        <f>F57*0.5</f>
        <v>225000</v>
      </c>
      <c r="M57" s="118"/>
      <c r="N57" s="106">
        <f>F57*0.5</f>
        <v>225000</v>
      </c>
      <c r="O57" s="118"/>
      <c r="P57" s="106"/>
      <c r="Q57" s="99" t="s">
        <v>197</v>
      </c>
      <c r="R57" s="119"/>
    </row>
    <row r="58" spans="1:18" s="116" customFormat="1" ht="46.8" hidden="1" x14ac:dyDescent="0.3">
      <c r="A58" s="120" t="s">
        <v>198</v>
      </c>
      <c r="B58" s="120"/>
      <c r="C58" s="116" t="s">
        <v>20</v>
      </c>
      <c r="D58" s="116" t="s">
        <v>167</v>
      </c>
      <c r="E58" s="116" t="s">
        <v>11</v>
      </c>
      <c r="F58" s="117">
        <v>650000</v>
      </c>
      <c r="G58" s="103"/>
      <c r="H58" s="106"/>
      <c r="I58" s="118"/>
      <c r="J58" s="106">
        <v>30000</v>
      </c>
      <c r="K58" s="118"/>
      <c r="L58" s="106">
        <v>180000</v>
      </c>
      <c r="M58" s="118"/>
      <c r="N58" s="106">
        <v>180000</v>
      </c>
      <c r="O58" s="118"/>
      <c r="P58" s="106">
        <v>180000</v>
      </c>
      <c r="Q58" s="99" t="s">
        <v>238</v>
      </c>
      <c r="R58" s="213"/>
    </row>
    <row r="59" spans="1:18" s="86" customFormat="1" ht="16.2" thickBot="1" x14ac:dyDescent="0.35">
      <c r="A59" s="94"/>
      <c r="B59" s="94"/>
      <c r="F59" s="148">
        <f t="shared" ref="F59" si="4">SUM(F4:F58)</f>
        <v>5185640.92</v>
      </c>
      <c r="G59" s="149">
        <v>0</v>
      </c>
      <c r="H59" s="150">
        <v>0</v>
      </c>
      <c r="I59" s="149">
        <f>I44+I40</f>
        <v>56273.535000000003</v>
      </c>
      <c r="J59" s="150">
        <f>J53+J48+J46</f>
        <v>228785</v>
      </c>
      <c r="K59" s="149">
        <f>K44+K40</f>
        <v>297126.48</v>
      </c>
      <c r="L59" s="150">
        <f>L46+L48+L53</f>
        <v>389957</v>
      </c>
      <c r="M59" s="149">
        <f>M44+M41+M40+M24</f>
        <v>508711.38840000005</v>
      </c>
      <c r="N59" s="150">
        <f>N46+N48+N53</f>
        <v>389957</v>
      </c>
      <c r="O59" s="149">
        <f>O44+O41+O40+O33+O24</f>
        <v>693794.88205199991</v>
      </c>
      <c r="P59" s="150">
        <f>P46+P48+P53</f>
        <v>389957</v>
      </c>
      <c r="Q59" s="110"/>
    </row>
    <row r="60" spans="1:18" s="86" customFormat="1" x14ac:dyDescent="0.3">
      <c r="A60" s="151"/>
      <c r="B60" s="151"/>
      <c r="F60" s="95"/>
      <c r="G60" s="96"/>
      <c r="H60" s="97"/>
      <c r="I60" s="96"/>
      <c r="J60" s="97"/>
      <c r="K60" s="96"/>
      <c r="L60" s="97"/>
      <c r="M60" s="96"/>
      <c r="N60" s="97"/>
      <c r="O60" s="96"/>
      <c r="P60" s="109"/>
      <c r="Q60" s="110"/>
    </row>
    <row r="61" spans="1:18" s="86" customFormat="1" ht="16.2" thickBot="1" x14ac:dyDescent="0.35">
      <c r="A61" s="94"/>
      <c r="B61" s="94"/>
      <c r="F61" s="152" t="s">
        <v>105</v>
      </c>
      <c r="G61" s="186"/>
      <c r="H61" s="187">
        <v>0</v>
      </c>
      <c r="I61" s="272"/>
      <c r="J61" s="272">
        <f>I59+J59</f>
        <v>285058.53500000003</v>
      </c>
      <c r="K61" s="273"/>
      <c r="L61" s="272">
        <f>K59+L59</f>
        <v>687083.48</v>
      </c>
      <c r="M61" s="273"/>
      <c r="N61" s="272">
        <f>M59+N59</f>
        <v>898668.38840000005</v>
      </c>
      <c r="O61" s="273"/>
      <c r="P61" s="272">
        <f>O59+P59</f>
        <v>1083751.8820519999</v>
      </c>
      <c r="Q61" s="214" t="s">
        <v>46</v>
      </c>
    </row>
    <row r="62" spans="1:18" s="86" customFormat="1" ht="16.2" hidden="1" thickTop="1" x14ac:dyDescent="0.3">
      <c r="A62" s="94"/>
      <c r="B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Q62" s="110"/>
    </row>
    <row r="63" spans="1:18" s="86" customFormat="1" hidden="1" x14ac:dyDescent="0.3">
      <c r="A63" s="195" t="s">
        <v>107</v>
      </c>
      <c r="B63" s="195"/>
      <c r="F63" s="95"/>
      <c r="G63" s="95"/>
      <c r="H63" s="95"/>
      <c r="I63" s="95"/>
      <c r="J63" s="95"/>
      <c r="K63" s="95"/>
      <c r="L63" s="95"/>
      <c r="M63" s="95"/>
      <c r="N63" s="95"/>
      <c r="O63" s="95"/>
      <c r="Q63" s="110"/>
    </row>
    <row r="64" spans="1:18" s="94" customFormat="1" ht="16.5" hidden="1" customHeight="1" thickBot="1" x14ac:dyDescent="0.35">
      <c r="A64" s="89" t="s">
        <v>1</v>
      </c>
      <c r="B64" s="89"/>
      <c r="C64" s="89" t="s">
        <v>2</v>
      </c>
      <c r="D64" s="89" t="s">
        <v>3</v>
      </c>
      <c r="E64" s="89" t="s">
        <v>0</v>
      </c>
      <c r="F64" s="154" t="s">
        <v>4</v>
      </c>
      <c r="G64" s="188">
        <v>2017</v>
      </c>
      <c r="H64" s="188"/>
      <c r="I64" s="298">
        <v>2018</v>
      </c>
      <c r="J64" s="298"/>
      <c r="K64" s="298">
        <v>2019</v>
      </c>
      <c r="L64" s="298"/>
      <c r="M64" s="298">
        <v>2020</v>
      </c>
      <c r="N64" s="298"/>
      <c r="O64" s="298">
        <v>2021</v>
      </c>
      <c r="P64" s="298"/>
      <c r="Q64" s="93" t="s">
        <v>39</v>
      </c>
    </row>
    <row r="65" spans="1:18" s="86" customFormat="1" hidden="1" x14ac:dyDescent="0.3">
      <c r="A65" s="94" t="s">
        <v>47</v>
      </c>
      <c r="B65" s="94"/>
      <c r="C65" s="86" t="s">
        <v>9</v>
      </c>
      <c r="D65" s="86" t="s">
        <v>10</v>
      </c>
      <c r="E65" s="86" t="s">
        <v>5</v>
      </c>
      <c r="F65" s="95">
        <v>-148000</v>
      </c>
      <c r="G65" s="111"/>
      <c r="H65" s="111"/>
      <c r="I65" s="111"/>
      <c r="J65" s="111"/>
      <c r="K65" s="111">
        <v>-37000</v>
      </c>
      <c r="L65" s="111"/>
      <c r="M65" s="111">
        <v>-74000</v>
      </c>
      <c r="N65" s="111"/>
      <c r="O65" s="111">
        <v>-37000</v>
      </c>
      <c r="P65" s="155"/>
      <c r="Q65" s="99" t="s">
        <v>48</v>
      </c>
      <c r="R65" s="114"/>
    </row>
    <row r="66" spans="1:18" s="86" customFormat="1" hidden="1" x14ac:dyDescent="0.3">
      <c r="A66" s="86" t="s">
        <v>227</v>
      </c>
      <c r="C66" s="86" t="s">
        <v>9</v>
      </c>
      <c r="D66" s="86" t="s">
        <v>10</v>
      </c>
      <c r="E66" s="86" t="s">
        <v>5</v>
      </c>
      <c r="F66" s="111">
        <v>-87515</v>
      </c>
      <c r="G66" s="111"/>
      <c r="H66" s="111"/>
      <c r="I66" s="111">
        <v>0</v>
      </c>
      <c r="J66" s="111"/>
      <c r="K66" s="111">
        <v>-87515.19</v>
      </c>
      <c r="L66" s="111"/>
      <c r="M66" s="111">
        <v>-240287.94736799999</v>
      </c>
      <c r="N66" s="111"/>
      <c r="O66" s="111">
        <v>-304808.81035290001</v>
      </c>
      <c r="P66" s="156"/>
      <c r="Q66" s="99"/>
      <c r="R66" s="114"/>
    </row>
    <row r="67" spans="1:18" s="86" customFormat="1" hidden="1" x14ac:dyDescent="0.3">
      <c r="A67" s="94" t="s">
        <v>49</v>
      </c>
      <c r="B67" s="94"/>
      <c r="C67" s="86" t="s">
        <v>9</v>
      </c>
      <c r="D67" s="86" t="s">
        <v>10</v>
      </c>
      <c r="E67" s="86" t="s">
        <v>5</v>
      </c>
      <c r="F67" s="95">
        <v>-829895</v>
      </c>
      <c r="G67" s="111"/>
      <c r="H67" s="111"/>
      <c r="I67" s="111">
        <v>0</v>
      </c>
      <c r="J67" s="111"/>
      <c r="K67" s="111">
        <v>-292022.46388064302</v>
      </c>
      <c r="L67" s="111"/>
      <c r="M67" s="111">
        <v>-809875.63316231605</v>
      </c>
      <c r="N67" s="111"/>
      <c r="O67" s="111">
        <v>-1052838.32311101</v>
      </c>
      <c r="P67" s="156"/>
      <c r="Q67" s="99" t="s">
        <v>50</v>
      </c>
      <c r="R67" s="114"/>
    </row>
    <row r="68" spans="1:18" s="86" customFormat="1" hidden="1" x14ac:dyDescent="0.3">
      <c r="A68" s="94" t="s">
        <v>51</v>
      </c>
      <c r="B68" s="94"/>
      <c r="C68" s="86" t="s">
        <v>52</v>
      </c>
      <c r="D68" s="86" t="s">
        <v>53</v>
      </c>
      <c r="E68" s="86" t="s">
        <v>5</v>
      </c>
      <c r="F68" s="95">
        <v>-219451</v>
      </c>
      <c r="G68" s="111"/>
      <c r="H68" s="111"/>
      <c r="I68" s="111">
        <v>0</v>
      </c>
      <c r="J68" s="111"/>
      <c r="K68" s="111">
        <v>-77017.827814686694</v>
      </c>
      <c r="L68" s="111"/>
      <c r="M68" s="111">
        <v>-213596.109139398</v>
      </c>
      <c r="N68" s="111"/>
      <c r="O68" s="111">
        <v>-277674.941881217</v>
      </c>
      <c r="P68" s="156"/>
      <c r="Q68" s="99" t="s">
        <v>54</v>
      </c>
      <c r="R68" s="114"/>
    </row>
    <row r="69" spans="1:18" s="86" customFormat="1" hidden="1" x14ac:dyDescent="0.3">
      <c r="A69" s="94" t="s">
        <v>55</v>
      </c>
      <c r="B69" s="94"/>
      <c r="C69" s="86" t="s">
        <v>52</v>
      </c>
      <c r="D69" s="86" t="s">
        <v>53</v>
      </c>
      <c r="E69" s="86" t="s">
        <v>5</v>
      </c>
      <c r="F69" s="95">
        <v>-248115</v>
      </c>
      <c r="G69" s="111"/>
      <c r="H69" s="111"/>
      <c r="I69" s="111">
        <v>0</v>
      </c>
      <c r="J69" s="111"/>
      <c r="K69" s="111">
        <v>-87077.836984320005</v>
      </c>
      <c r="L69" s="111"/>
      <c r="M69" s="111">
        <v>-241495.867903181</v>
      </c>
      <c r="N69" s="111"/>
      <c r="O69" s="111">
        <v>-313944.628274135</v>
      </c>
      <c r="P69" s="156"/>
      <c r="Q69" s="99" t="s">
        <v>54</v>
      </c>
      <c r="R69" s="114"/>
    </row>
    <row r="70" spans="1:18" s="86" customFormat="1" hidden="1" x14ac:dyDescent="0.3">
      <c r="A70" s="94" t="s">
        <v>56</v>
      </c>
      <c r="B70" s="94"/>
      <c r="C70" s="86" t="s">
        <v>9</v>
      </c>
      <c r="D70" s="86" t="s">
        <v>10</v>
      </c>
      <c r="E70" s="86" t="s">
        <v>5</v>
      </c>
      <c r="F70" s="95">
        <v>-214776</v>
      </c>
      <c r="G70" s="111"/>
      <c r="H70" s="111"/>
      <c r="I70" s="111">
        <v>0</v>
      </c>
      <c r="J70" s="111"/>
      <c r="K70" s="111">
        <v>-103081.204426948</v>
      </c>
      <c r="L70" s="111"/>
      <c r="M70" s="111">
        <v>-285053.89064198802</v>
      </c>
      <c r="N70" s="111"/>
      <c r="O70" s="111">
        <v>-369501.10574467701</v>
      </c>
      <c r="P70" s="156"/>
      <c r="Q70" s="99" t="s">
        <v>57</v>
      </c>
      <c r="R70" s="114"/>
    </row>
    <row r="71" spans="1:18" s="86" customFormat="1" hidden="1" x14ac:dyDescent="0.3">
      <c r="A71" s="143" t="s">
        <v>58</v>
      </c>
      <c r="B71" s="143"/>
      <c r="C71" s="86" t="s">
        <v>52</v>
      </c>
      <c r="D71" s="86" t="s">
        <v>53</v>
      </c>
      <c r="E71" s="86" t="s">
        <v>5</v>
      </c>
      <c r="F71" s="145">
        <v>-2741156</v>
      </c>
      <c r="G71" s="111"/>
      <c r="H71" s="111"/>
      <c r="I71" s="111">
        <v>0</v>
      </c>
      <c r="J71" s="111"/>
      <c r="K71" s="111">
        <v>-1371502.5417571201</v>
      </c>
      <c r="L71" s="111"/>
      <c r="M71" s="111">
        <v>-3813572.7588315499</v>
      </c>
      <c r="N71" s="111"/>
      <c r="O71" s="111">
        <v>-4970971.9407323599</v>
      </c>
      <c r="P71" s="156"/>
      <c r="Q71" s="157" t="s">
        <v>59</v>
      </c>
      <c r="R71" s="114"/>
    </row>
    <row r="72" spans="1:18" s="86" customFormat="1" hidden="1" x14ac:dyDescent="0.3">
      <c r="A72" s="94" t="s">
        <v>60</v>
      </c>
      <c r="B72" s="94"/>
      <c r="C72" s="86" t="s">
        <v>61</v>
      </c>
      <c r="E72" s="86" t="s">
        <v>62</v>
      </c>
      <c r="F72" s="95">
        <v>-1570233</v>
      </c>
      <c r="G72" s="111"/>
      <c r="H72" s="111"/>
      <c r="I72" s="111">
        <v>0</v>
      </c>
      <c r="J72" s="111"/>
      <c r="K72" s="111">
        <v>-390801.84142294701</v>
      </c>
      <c r="L72" s="111"/>
      <c r="M72" s="111">
        <v>-1080697.3588149201</v>
      </c>
      <c r="N72" s="111"/>
      <c r="O72" s="111">
        <v>-1400853.9513638399</v>
      </c>
      <c r="P72" s="156"/>
      <c r="Q72" s="99" t="s">
        <v>63</v>
      </c>
      <c r="R72" s="114"/>
    </row>
    <row r="73" spans="1:18" s="86" customFormat="1" hidden="1" x14ac:dyDescent="0.3">
      <c r="A73" s="94" t="s">
        <v>64</v>
      </c>
      <c r="B73" s="94"/>
      <c r="C73" s="86" t="s">
        <v>61</v>
      </c>
      <c r="E73" s="86" t="s">
        <v>62</v>
      </c>
      <c r="F73" s="95">
        <v>-324081</v>
      </c>
      <c r="G73" s="111">
        <v>-43380.51</v>
      </c>
      <c r="H73" s="116"/>
      <c r="I73" s="111">
        <v>-44681.925300000003</v>
      </c>
      <c r="J73" s="111"/>
      <c r="K73" s="111">
        <v>-112432.05501499699</v>
      </c>
      <c r="L73" s="111"/>
      <c r="M73" s="111">
        <v>-310912.10946813802</v>
      </c>
      <c r="N73" s="111"/>
      <c r="O73" s="111">
        <v>-403019.82189807401</v>
      </c>
      <c r="P73" s="156"/>
      <c r="Q73" s="99" t="s">
        <v>63</v>
      </c>
      <c r="R73" s="114"/>
    </row>
    <row r="74" spans="1:18" s="86" customFormat="1" hidden="1" x14ac:dyDescent="0.3">
      <c r="A74" s="94" t="s">
        <v>69</v>
      </c>
      <c r="B74" s="94"/>
      <c r="C74" s="86" t="s">
        <v>66</v>
      </c>
      <c r="D74" s="86" t="s">
        <v>67</v>
      </c>
      <c r="E74" s="86" t="s">
        <v>26</v>
      </c>
      <c r="F74" s="95">
        <v>-383903</v>
      </c>
      <c r="G74" s="111"/>
      <c r="H74" s="111"/>
      <c r="I74" s="111">
        <v>0</v>
      </c>
      <c r="J74" s="111"/>
      <c r="K74" s="111">
        <v>-140325.36064097899</v>
      </c>
      <c r="L74" s="111"/>
      <c r="M74" s="111">
        <v>-389281.26046616299</v>
      </c>
      <c r="N74" s="111"/>
      <c r="O74" s="111">
        <v>-506211.619078686</v>
      </c>
      <c r="P74" s="156"/>
      <c r="Q74" s="99" t="s">
        <v>68</v>
      </c>
      <c r="R74" s="114"/>
    </row>
    <row r="75" spans="1:18" s="86" customFormat="1" hidden="1" x14ac:dyDescent="0.3">
      <c r="A75" s="94" t="s">
        <v>70</v>
      </c>
      <c r="B75" s="94"/>
      <c r="C75" s="86" t="s">
        <v>66</v>
      </c>
      <c r="D75" s="86" t="s">
        <v>67</v>
      </c>
      <c r="E75" s="86" t="s">
        <v>26</v>
      </c>
      <c r="F75" s="95">
        <v>-193781</v>
      </c>
      <c r="G75" s="111"/>
      <c r="H75" s="111"/>
      <c r="I75" s="111">
        <v>0</v>
      </c>
      <c r="J75" s="111"/>
      <c r="K75" s="111">
        <v>-70831.3684610239</v>
      </c>
      <c r="L75" s="111"/>
      <c r="M75" s="111">
        <v>-196495.66029334199</v>
      </c>
      <c r="N75" s="111"/>
      <c r="O75" s="111">
        <v>-255518.04425395399</v>
      </c>
      <c r="P75" s="156"/>
      <c r="Q75" s="99" t="s">
        <v>68</v>
      </c>
      <c r="R75" s="114"/>
    </row>
    <row r="76" spans="1:18" s="86" customFormat="1" hidden="1" x14ac:dyDescent="0.3">
      <c r="A76" s="94" t="s">
        <v>71</v>
      </c>
      <c r="B76" s="94"/>
      <c r="C76" s="86" t="s">
        <v>66</v>
      </c>
      <c r="D76" s="86" t="s">
        <v>67</v>
      </c>
      <c r="E76" s="86" t="s">
        <v>26</v>
      </c>
      <c r="F76" s="95">
        <v>-95334</v>
      </c>
      <c r="G76" s="111"/>
      <c r="H76" s="111"/>
      <c r="I76" s="111">
        <v>0</v>
      </c>
      <c r="J76" s="111"/>
      <c r="K76" s="111">
        <v>-41714.2515680836</v>
      </c>
      <c r="L76" s="111"/>
      <c r="M76" s="111">
        <v>-112350.38422337201</v>
      </c>
      <c r="N76" s="111"/>
      <c r="O76" s="111">
        <v>-141842.36008200701</v>
      </c>
      <c r="P76" s="156"/>
      <c r="Q76" s="99" t="s">
        <v>68</v>
      </c>
      <c r="R76" s="114"/>
    </row>
    <row r="77" spans="1:18" s="86" customFormat="1" hidden="1" x14ac:dyDescent="0.3">
      <c r="A77" s="94" t="s">
        <v>72</v>
      </c>
      <c r="B77" s="94"/>
      <c r="C77" s="86" t="s">
        <v>66</v>
      </c>
      <c r="D77" s="86" t="s">
        <v>67</v>
      </c>
      <c r="E77" s="86" t="s">
        <v>26</v>
      </c>
      <c r="F77" s="95">
        <v>-48454</v>
      </c>
      <c r="G77" s="111"/>
      <c r="H77" s="111"/>
      <c r="I77" s="111">
        <v>0</v>
      </c>
      <c r="J77" s="111"/>
      <c r="K77" s="111">
        <v>-17711.024019385601</v>
      </c>
      <c r="L77" s="111"/>
      <c r="M77" s="111">
        <v>-49132.7420996449</v>
      </c>
      <c r="N77" s="111"/>
      <c r="O77" s="111">
        <v>-63890.989507825798</v>
      </c>
      <c r="P77" s="156"/>
      <c r="Q77" s="99" t="s">
        <v>68</v>
      </c>
      <c r="R77" s="114"/>
    </row>
    <row r="78" spans="1:18" s="86" customFormat="1" hidden="1" x14ac:dyDescent="0.3">
      <c r="A78" s="94" t="s">
        <v>73</v>
      </c>
      <c r="B78" s="94"/>
      <c r="C78" s="86" t="s">
        <v>66</v>
      </c>
      <c r="D78" s="86" t="s">
        <v>67</v>
      </c>
      <c r="E78" s="86" t="s">
        <v>26</v>
      </c>
      <c r="F78" s="95">
        <v>-102647</v>
      </c>
      <c r="G78" s="111"/>
      <c r="H78" s="111"/>
      <c r="I78" s="111">
        <v>0</v>
      </c>
      <c r="J78" s="111"/>
      <c r="K78" s="111">
        <v>-36024.6675374775</v>
      </c>
      <c r="L78" s="111"/>
      <c r="M78" s="111">
        <v>-99908.411303937493</v>
      </c>
      <c r="N78" s="111"/>
      <c r="O78" s="111">
        <v>-129880.93469511899</v>
      </c>
      <c r="P78" s="156"/>
      <c r="Q78" s="99" t="s">
        <v>68</v>
      </c>
      <c r="R78" s="114"/>
    </row>
    <row r="79" spans="1:18" s="144" customFormat="1" hidden="1" x14ac:dyDescent="0.3">
      <c r="A79" s="143" t="s">
        <v>74</v>
      </c>
      <c r="B79" s="143"/>
      <c r="C79" s="144" t="s">
        <v>66</v>
      </c>
      <c r="D79" s="144" t="s">
        <v>67</v>
      </c>
      <c r="E79" s="144" t="s">
        <v>26</v>
      </c>
      <c r="F79" s="145">
        <v>-156882</v>
      </c>
      <c r="G79" s="111"/>
      <c r="H79" s="111"/>
      <c r="I79" s="111">
        <v>0</v>
      </c>
      <c r="J79" s="111"/>
      <c r="K79" s="111">
        <v>-55058.783625644799</v>
      </c>
      <c r="L79" s="111"/>
      <c r="M79" s="111">
        <v>-152696.35992178801</v>
      </c>
      <c r="N79" s="111"/>
      <c r="O79" s="111">
        <v>-198505.26789832499</v>
      </c>
      <c r="P79" s="156"/>
      <c r="Q79" s="107" t="s">
        <v>75</v>
      </c>
      <c r="R79" s="158"/>
    </row>
    <row r="80" spans="1:18" s="86" customFormat="1" hidden="1" x14ac:dyDescent="0.3">
      <c r="A80" s="94" t="s">
        <v>76</v>
      </c>
      <c r="B80" s="94"/>
      <c r="C80" s="86" t="s">
        <v>77</v>
      </c>
      <c r="D80" s="86" t="s">
        <v>78</v>
      </c>
      <c r="E80" s="86" t="s">
        <v>79</v>
      </c>
      <c r="F80" s="95">
        <f>114700/3</f>
        <v>38233.333333333336</v>
      </c>
      <c r="G80" s="111"/>
      <c r="H80" s="111"/>
      <c r="I80" s="111">
        <v>38233</v>
      </c>
      <c r="J80" s="111"/>
      <c r="K80" s="111">
        <v>38233</v>
      </c>
      <c r="L80" s="111"/>
      <c r="M80" s="111">
        <v>38233</v>
      </c>
      <c r="N80" s="111"/>
      <c r="O80" s="111">
        <v>38233</v>
      </c>
      <c r="P80" s="156"/>
      <c r="Q80" s="99" t="s">
        <v>80</v>
      </c>
      <c r="R80" s="114"/>
    </row>
    <row r="81" spans="1:18" s="86" customFormat="1" hidden="1" x14ac:dyDescent="0.3">
      <c r="A81" s="94" t="s">
        <v>81</v>
      </c>
      <c r="B81" s="94"/>
      <c r="C81" s="86" t="s">
        <v>82</v>
      </c>
      <c r="D81" s="86" t="s">
        <v>83</v>
      </c>
      <c r="E81" s="86" t="s">
        <v>38</v>
      </c>
      <c r="F81" s="95">
        <v>1240000</v>
      </c>
      <c r="G81" s="111"/>
      <c r="H81" s="111"/>
      <c r="I81" s="111">
        <v>1240000</v>
      </c>
      <c r="J81" s="111"/>
      <c r="K81" s="111">
        <v>1240000</v>
      </c>
      <c r="L81" s="111"/>
      <c r="M81" s="111">
        <v>1240000</v>
      </c>
      <c r="N81" s="111"/>
      <c r="O81" s="111">
        <v>1240000</v>
      </c>
      <c r="P81" s="159"/>
      <c r="Q81" s="110" t="s">
        <v>84</v>
      </c>
      <c r="R81" s="114"/>
    </row>
    <row r="82" spans="1:18" s="86" customFormat="1" ht="16.2" hidden="1" thickBot="1" x14ac:dyDescent="0.35">
      <c r="A82" s="94"/>
      <c r="B82" s="94"/>
      <c r="F82" s="95"/>
      <c r="G82" s="160"/>
      <c r="H82" s="160">
        <f>SUM(G65:H81)</f>
        <v>-43380.51</v>
      </c>
      <c r="I82" s="161">
        <f>SUM(I65:J81)</f>
        <v>1233551.0747</v>
      </c>
      <c r="J82" s="162"/>
      <c r="K82" s="161">
        <f>SUM(K65:L81)</f>
        <v>-1641883.4171542558</v>
      </c>
      <c r="L82" s="162"/>
      <c r="M82" s="161">
        <f>SUM(M65:N81)</f>
        <v>-6791123.4936377378</v>
      </c>
      <c r="N82" s="162"/>
      <c r="O82" s="161">
        <f>SUM(O65:P81)</f>
        <v>-9148229.73887413</v>
      </c>
      <c r="P82" s="162"/>
      <c r="Q82" s="214" t="s">
        <v>85</v>
      </c>
      <c r="R82" s="114"/>
    </row>
    <row r="83" spans="1:18" s="86" customFormat="1" ht="16.2" hidden="1" thickTop="1" x14ac:dyDescent="0.3">
      <c r="A83" s="151"/>
      <c r="B83" s="151"/>
      <c r="F83" s="95"/>
      <c r="G83" s="95"/>
      <c r="H83" s="95"/>
      <c r="J83" s="95"/>
      <c r="L83" s="95"/>
      <c r="N83" s="95"/>
      <c r="P83" s="95"/>
      <c r="Q83" s="110"/>
      <c r="R83" s="114"/>
    </row>
    <row r="84" spans="1:18" s="86" customFormat="1" hidden="1" x14ac:dyDescent="0.3">
      <c r="A84" s="86" t="s">
        <v>183</v>
      </c>
      <c r="F84" s="95"/>
      <c r="G84" s="95"/>
      <c r="H84" s="95"/>
      <c r="J84" s="95"/>
      <c r="L84" s="95"/>
      <c r="N84" s="95"/>
      <c r="P84" s="95"/>
      <c r="Q84" s="110"/>
      <c r="R84" s="114"/>
    </row>
    <row r="85" spans="1:18" s="86" customFormat="1" hidden="1" x14ac:dyDescent="0.3">
      <c r="A85" s="86" t="s">
        <v>184</v>
      </c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110"/>
    </row>
    <row r="86" spans="1:18" s="86" customFormat="1" hidden="1" x14ac:dyDescent="0.3">
      <c r="A86" s="86" t="s">
        <v>185</v>
      </c>
      <c r="F86" s="95"/>
      <c r="G86" s="95"/>
      <c r="H86" s="95"/>
      <c r="I86" s="95"/>
      <c r="J86" s="95"/>
      <c r="K86" s="95"/>
      <c r="L86" s="95"/>
      <c r="M86" s="95"/>
      <c r="N86" s="95"/>
      <c r="O86" s="95"/>
      <c r="Q86" s="110"/>
    </row>
    <row r="87" spans="1:18" s="86" customFormat="1" hidden="1" x14ac:dyDescent="0.3">
      <c r="F87" s="95"/>
      <c r="G87" s="95"/>
      <c r="H87" s="95"/>
      <c r="I87" s="95"/>
      <c r="J87" s="95"/>
      <c r="K87" s="95"/>
      <c r="L87" s="95"/>
      <c r="M87" s="95"/>
      <c r="N87" s="95"/>
      <c r="O87" s="95"/>
      <c r="Q87" s="110"/>
    </row>
    <row r="88" spans="1:18" s="86" customFormat="1" hidden="1" x14ac:dyDescent="0.3">
      <c r="A88" s="86" t="s">
        <v>186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Q88" s="110"/>
    </row>
    <row r="89" spans="1:18" s="86" customFormat="1" hidden="1" x14ac:dyDescent="0.3">
      <c r="A89" s="86" t="s">
        <v>187</v>
      </c>
      <c r="F89" s="95"/>
      <c r="G89" s="95"/>
      <c r="H89" s="95"/>
      <c r="I89" s="95"/>
      <c r="J89" s="95"/>
      <c r="K89" s="95"/>
      <c r="L89" s="95"/>
      <c r="M89" s="95"/>
      <c r="N89" s="95"/>
      <c r="O89" s="95"/>
      <c r="Q89" s="110"/>
    </row>
    <row r="90" spans="1:18" hidden="1" x14ac:dyDescent="0.3">
      <c r="A90" s="85" t="s">
        <v>239</v>
      </c>
    </row>
    <row r="91" spans="1:18" hidden="1" x14ac:dyDescent="0.3"/>
    <row r="92" spans="1:18" hidden="1" x14ac:dyDescent="0.3">
      <c r="A92" s="85" t="s">
        <v>188</v>
      </c>
    </row>
    <row r="93" spans="1:18" hidden="1" x14ac:dyDescent="0.3">
      <c r="A93" s="85" t="s">
        <v>189</v>
      </c>
    </row>
    <row r="94" spans="1:18" hidden="1" x14ac:dyDescent="0.3">
      <c r="A94" s="85" t="s">
        <v>190</v>
      </c>
    </row>
    <row r="95" spans="1:18" ht="16.2" thickTop="1" x14ac:dyDescent="0.3"/>
  </sheetData>
  <mergeCells count="4">
    <mergeCell ref="I64:J64"/>
    <mergeCell ref="K64:L64"/>
    <mergeCell ref="M64:N64"/>
    <mergeCell ref="O64:P64"/>
  </mergeCells>
  <printOptions horizontalCentered="1"/>
  <pageMargins left="0.25" right="0.25" top="0.5" bottom="0.5" header="0.3" footer="0.3"/>
  <pageSetup paperSize="17" scale="65" orientation="landscape" r:id="rId1"/>
  <headerFooter>
    <oddFooter>&amp;R&amp;F;  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8820-D7E4-4B85-8F3D-33B0A721D3F4}">
  <sheetPr>
    <tabColor rgb="FFE8D3A2"/>
  </sheetPr>
  <dimension ref="A1:H13"/>
  <sheetViews>
    <sheetView workbookViewId="0">
      <selection activeCell="D13" sqref="D13"/>
    </sheetView>
  </sheetViews>
  <sheetFormatPr defaultRowHeight="13.2" x14ac:dyDescent="0.25"/>
  <cols>
    <col min="1" max="1" width="24.6640625" customWidth="1"/>
    <col min="3" max="3" width="11.109375" bestFit="1" customWidth="1"/>
    <col min="4" max="5" width="13.6640625" bestFit="1" customWidth="1"/>
    <col min="6" max="7" width="13.88671875" bestFit="1" customWidth="1"/>
    <col min="8" max="8" width="13.44140625" customWidth="1"/>
  </cols>
  <sheetData>
    <row r="1" spans="1:8" x14ac:dyDescent="0.25">
      <c r="A1" s="268" t="s">
        <v>243</v>
      </c>
      <c r="B1" s="268">
        <v>2015</v>
      </c>
      <c r="C1" s="268">
        <v>2016</v>
      </c>
      <c r="D1" s="268">
        <v>2017</v>
      </c>
      <c r="E1" s="268">
        <v>2018</v>
      </c>
      <c r="F1" s="268">
        <v>2019</v>
      </c>
      <c r="G1" s="268">
        <v>2020</v>
      </c>
      <c r="H1" s="268">
        <v>2021</v>
      </c>
    </row>
    <row r="2" spans="1:8" x14ac:dyDescent="0.25">
      <c r="A2" s="268" t="s">
        <v>324</v>
      </c>
      <c r="B2" s="270"/>
      <c r="C2" s="269">
        <v>89280.23</v>
      </c>
      <c r="D2" s="269">
        <v>2633450.7800000007</v>
      </c>
      <c r="E2" s="269">
        <v>9415840.4200000018</v>
      </c>
      <c r="F2" s="269">
        <v>8485441.1100000013</v>
      </c>
      <c r="G2" s="269">
        <v>1106434.92</v>
      </c>
      <c r="H2" s="270"/>
    </row>
    <row r="5" spans="1:8" x14ac:dyDescent="0.25">
      <c r="A5" s="69" t="s">
        <v>322</v>
      </c>
      <c r="F5" s="266">
        <v>803233.27</v>
      </c>
      <c r="G5" s="266">
        <v>932055</v>
      </c>
      <c r="H5" s="266">
        <v>82900</v>
      </c>
    </row>
    <row r="6" spans="1:8" x14ac:dyDescent="0.25">
      <c r="A6" s="69" t="s">
        <v>323</v>
      </c>
      <c r="F6" s="266">
        <v>736711</v>
      </c>
      <c r="G6" s="266">
        <v>461</v>
      </c>
    </row>
    <row r="8" spans="1:8" x14ac:dyDescent="0.25">
      <c r="A8" t="s">
        <v>253</v>
      </c>
      <c r="B8">
        <f>SUM(B2:B7)</f>
        <v>0</v>
      </c>
      <c r="C8" s="271">
        <f t="shared" ref="C8:H8" si="0">SUM(C2:C7)</f>
        <v>89280.23</v>
      </c>
      <c r="D8" s="271">
        <f t="shared" si="0"/>
        <v>2633450.7800000007</v>
      </c>
      <c r="E8" s="271">
        <f t="shared" si="0"/>
        <v>9415840.4200000018</v>
      </c>
      <c r="F8" s="271">
        <f t="shared" si="0"/>
        <v>10025385.380000001</v>
      </c>
      <c r="G8" s="271">
        <f t="shared" si="0"/>
        <v>2038950.92</v>
      </c>
      <c r="H8" s="271">
        <f t="shared" si="0"/>
        <v>82900</v>
      </c>
    </row>
    <row r="9" spans="1:8" x14ac:dyDescent="0.25">
      <c r="A9" s="268" t="s">
        <v>321</v>
      </c>
      <c r="B9" s="270"/>
      <c r="C9" s="271">
        <f>C2</f>
        <v>89280.23</v>
      </c>
      <c r="D9" s="271">
        <f>C9+D2</f>
        <v>2722731.0100000007</v>
      </c>
      <c r="E9" s="271">
        <f>D9+E2</f>
        <v>12138571.430000003</v>
      </c>
      <c r="F9" s="271">
        <f>E9+F2+F5+F6</f>
        <v>22163956.810000006</v>
      </c>
      <c r="G9" s="271">
        <f>F9+G2+G5+G6</f>
        <v>24202907.730000004</v>
      </c>
      <c r="H9" s="271">
        <f>G9+H5</f>
        <v>24285807.730000004</v>
      </c>
    </row>
    <row r="13" spans="1:8" ht="13.8" x14ac:dyDescent="0.25">
      <c r="D13" s="2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71F0-1044-4A74-9AAC-1F17D905D5F0}">
  <sheetPr>
    <tabColor rgb="FF363C74"/>
    <pageSetUpPr fitToPage="1"/>
  </sheetPr>
  <dimension ref="A1:S97"/>
  <sheetViews>
    <sheetView zoomScale="80" zoomScaleNormal="80" zoomScaleSheetLayoutView="80" workbookViewId="0">
      <pane xSplit="1" ySplit="3" topLeftCell="B4" activePane="bottomRight" state="frozen"/>
      <selection activeCell="D28" sqref="D28"/>
      <selection pane="topRight" activeCell="D28" sqref="D28"/>
      <selection pane="bottomLeft" activeCell="D28" sqref="D28"/>
      <selection pane="bottomRight" activeCell="H103" sqref="H103:H111"/>
    </sheetView>
  </sheetViews>
  <sheetFormatPr defaultColWidth="9.109375" defaultRowHeight="15.6" x14ac:dyDescent="0.3"/>
  <cols>
    <col min="1" max="1" width="39.5546875" style="85" customWidth="1"/>
    <col min="2" max="2" width="20" style="85" customWidth="1"/>
    <col min="3" max="3" width="23.109375" style="85" customWidth="1"/>
    <col min="4" max="4" width="5.44140625" style="85" hidden="1" customWidth="1"/>
    <col min="5" max="5" width="14.33203125" style="86" hidden="1" customWidth="1"/>
    <col min="6" max="6" width="14.88671875" style="95" hidden="1" customWidth="1"/>
    <col min="7" max="8" width="11.88671875" style="95" customWidth="1"/>
    <col min="9" max="9" width="12.33203125" style="95" bestFit="1" customWidth="1"/>
    <col min="10" max="10" width="11.88671875" style="95" customWidth="1"/>
    <col min="11" max="11" width="14.44140625" style="95" bestFit="1" customWidth="1"/>
    <col min="12" max="12" width="12.33203125" style="95" bestFit="1" customWidth="1"/>
    <col min="13" max="13" width="14.44140625" style="95" bestFit="1" customWidth="1"/>
    <col min="14" max="14" width="12.33203125" style="95" bestFit="1" customWidth="1"/>
    <col min="15" max="15" width="14.44140625" style="95" bestFit="1" customWidth="1"/>
    <col min="16" max="16" width="11.88671875" style="85" customWidth="1"/>
    <col min="17" max="17" width="78.6640625" style="88" customWidth="1"/>
    <col min="18" max="18" width="11.5546875" style="85" bestFit="1" customWidth="1"/>
    <col min="19" max="20" width="13.33203125" style="85" bestFit="1" customWidth="1"/>
    <col min="21" max="16384" width="9.109375" style="85"/>
  </cols>
  <sheetData>
    <row r="1" spans="1:19" s="86" customFormat="1" x14ac:dyDescent="0.3">
      <c r="A1" s="195" t="s">
        <v>109</v>
      </c>
      <c r="B1" s="195"/>
      <c r="D1" s="196" t="s">
        <v>241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7"/>
    </row>
    <row r="2" spans="1:19" s="86" customFormat="1" x14ac:dyDescent="0.3">
      <c r="F2" s="95"/>
      <c r="G2" s="87"/>
      <c r="H2" s="87"/>
      <c r="I2" s="87"/>
      <c r="J2" s="87"/>
      <c r="K2" s="87"/>
      <c r="L2" s="87"/>
      <c r="M2" s="87"/>
      <c r="N2" s="87"/>
      <c r="O2" s="87"/>
      <c r="P2" s="87"/>
      <c r="Q2" s="110"/>
    </row>
    <row r="3" spans="1:19" s="94" customFormat="1" ht="44.4" customHeight="1" thickBot="1" x14ac:dyDescent="0.35">
      <c r="A3" s="89" t="s">
        <v>1</v>
      </c>
      <c r="B3" s="89" t="s">
        <v>294</v>
      </c>
      <c r="C3" s="89" t="s">
        <v>2</v>
      </c>
      <c r="D3" s="89" t="s">
        <v>3</v>
      </c>
      <c r="E3" s="89" t="s">
        <v>0</v>
      </c>
      <c r="F3" s="90" t="s">
        <v>4</v>
      </c>
      <c r="G3" s="91" t="s">
        <v>86</v>
      </c>
      <c r="H3" s="92" t="s">
        <v>87</v>
      </c>
      <c r="I3" s="91" t="s">
        <v>88</v>
      </c>
      <c r="J3" s="92" t="s">
        <v>89</v>
      </c>
      <c r="K3" s="91" t="s">
        <v>90</v>
      </c>
      <c r="L3" s="92" t="s">
        <v>91</v>
      </c>
      <c r="M3" s="91" t="s">
        <v>92</v>
      </c>
      <c r="N3" s="92" t="s">
        <v>93</v>
      </c>
      <c r="O3" s="91" t="s">
        <v>169</v>
      </c>
      <c r="P3" s="92" t="s">
        <v>168</v>
      </c>
      <c r="Q3" s="93" t="s">
        <v>39</v>
      </c>
    </row>
    <row r="4" spans="1:19" s="86" customFormat="1" hidden="1" x14ac:dyDescent="0.3">
      <c r="A4" s="94" t="s">
        <v>6</v>
      </c>
      <c r="B4" s="94"/>
      <c r="C4" s="86" t="s">
        <v>7</v>
      </c>
      <c r="D4" s="86" t="s">
        <v>8</v>
      </c>
      <c r="E4" s="86" t="s">
        <v>5</v>
      </c>
      <c r="F4" s="95"/>
      <c r="G4" s="96"/>
      <c r="H4" s="97"/>
      <c r="I4" s="96"/>
      <c r="J4" s="98"/>
      <c r="K4" s="96"/>
      <c r="L4" s="97">
        <v>-14499</v>
      </c>
      <c r="M4" s="96"/>
      <c r="N4" s="97">
        <v>-38664</v>
      </c>
      <c r="O4" s="96"/>
      <c r="P4" s="97">
        <v>-48330</v>
      </c>
      <c r="Q4" s="99" t="s">
        <v>40</v>
      </c>
    </row>
    <row r="5" spans="1:19" s="86" customFormat="1" hidden="1" x14ac:dyDescent="0.3">
      <c r="A5" s="100" t="s">
        <v>12</v>
      </c>
      <c r="B5" s="100"/>
      <c r="C5" s="101" t="s">
        <v>13</v>
      </c>
      <c r="D5" s="101" t="s">
        <v>161</v>
      </c>
      <c r="E5" s="101" t="s">
        <v>11</v>
      </c>
      <c r="F5" s="102">
        <v>-76846</v>
      </c>
      <c r="G5" s="105"/>
      <c r="H5" s="104"/>
      <c r="I5" s="103"/>
      <c r="J5" s="104"/>
      <c r="K5" s="103"/>
      <c r="L5" s="106">
        <f>-40333*0.7</f>
        <v>-28233.1</v>
      </c>
      <c r="M5" s="103"/>
      <c r="N5" s="106">
        <v>-40333</v>
      </c>
      <c r="O5" s="103"/>
      <c r="P5" s="106">
        <v>-40333</v>
      </c>
      <c r="Q5" s="107" t="s">
        <v>41</v>
      </c>
      <c r="R5" s="108"/>
    </row>
    <row r="6" spans="1:19" s="86" customFormat="1" hidden="1" x14ac:dyDescent="0.3">
      <c r="A6" s="94" t="s">
        <v>27</v>
      </c>
      <c r="B6" s="94"/>
      <c r="C6" s="86" t="s">
        <v>28</v>
      </c>
      <c r="D6" s="86" t="s">
        <v>29</v>
      </c>
      <c r="E6" s="86" t="s">
        <v>26</v>
      </c>
      <c r="F6" s="95"/>
      <c r="G6" s="96">
        <v>-102975</v>
      </c>
      <c r="H6" s="97">
        <v>0</v>
      </c>
      <c r="I6" s="96">
        <v>-50326</v>
      </c>
      <c r="J6" s="98"/>
      <c r="K6" s="96">
        <v>-667038</v>
      </c>
      <c r="L6" s="97"/>
      <c r="M6" s="96">
        <v>-1648000</v>
      </c>
      <c r="N6" s="97"/>
      <c r="O6" s="96">
        <v>-2783960</v>
      </c>
      <c r="P6" s="109"/>
      <c r="Q6" s="110" t="s">
        <v>42</v>
      </c>
    </row>
    <row r="7" spans="1:19" s="86" customFormat="1" ht="31.2" hidden="1" x14ac:dyDescent="0.3">
      <c r="A7" s="94" t="s">
        <v>307</v>
      </c>
      <c r="B7" s="94"/>
      <c r="C7" s="86" t="s">
        <v>28</v>
      </c>
      <c r="D7" s="86" t="s">
        <v>29</v>
      </c>
      <c r="E7" s="86" t="s">
        <v>26</v>
      </c>
      <c r="F7" s="95"/>
      <c r="G7" s="96"/>
      <c r="H7" s="97"/>
      <c r="I7" s="174"/>
      <c r="J7" s="98"/>
      <c r="K7" s="96"/>
      <c r="L7" s="97">
        <f>K6*0.36</f>
        <v>-240133.68</v>
      </c>
      <c r="M7" s="96"/>
      <c r="N7" s="97">
        <f>M6*0.36</f>
        <v>-593280</v>
      </c>
      <c r="O7" s="96"/>
      <c r="P7" s="97">
        <f>O6*0.36</f>
        <v>-1002225.6</v>
      </c>
      <c r="Q7" s="110" t="s">
        <v>43</v>
      </c>
    </row>
    <row r="8" spans="1:19" s="86" customFormat="1" ht="31.2" hidden="1" x14ac:dyDescent="0.3">
      <c r="A8" s="94" t="s">
        <v>230</v>
      </c>
      <c r="B8" s="94"/>
      <c r="C8" s="86" t="s">
        <v>28</v>
      </c>
      <c r="D8" s="86" t="s">
        <v>67</v>
      </c>
      <c r="E8" s="86" t="s">
        <v>26</v>
      </c>
      <c r="F8" s="95">
        <v>-973467</v>
      </c>
      <c r="G8" s="111"/>
      <c r="H8" s="112"/>
      <c r="I8" s="111">
        <v>0</v>
      </c>
      <c r="J8" s="112"/>
      <c r="K8" s="111">
        <v>0</v>
      </c>
      <c r="L8" s="112"/>
      <c r="M8" s="111">
        <v>400000</v>
      </c>
      <c r="N8" s="112"/>
      <c r="O8" s="111">
        <v>-882008.09050867404</v>
      </c>
      <c r="P8" s="113"/>
      <c r="Q8" s="99" t="s">
        <v>231</v>
      </c>
      <c r="R8" s="114"/>
    </row>
    <row r="9" spans="1:19" s="86" customFormat="1" ht="46.8" hidden="1" x14ac:dyDescent="0.3">
      <c r="A9" s="100" t="s">
        <v>160</v>
      </c>
      <c r="B9" s="100"/>
      <c r="C9" s="101" t="s">
        <v>16</v>
      </c>
      <c r="D9" s="101" t="s">
        <v>161</v>
      </c>
      <c r="E9" s="101" t="s">
        <v>11</v>
      </c>
      <c r="F9" s="102"/>
      <c r="G9" s="105"/>
      <c r="H9" s="104"/>
      <c r="I9" s="103"/>
      <c r="J9" s="104"/>
      <c r="K9" s="103"/>
      <c r="L9" s="106"/>
      <c r="M9" s="103"/>
      <c r="N9" s="106"/>
      <c r="O9" s="103"/>
      <c r="P9" s="106"/>
      <c r="Q9" s="107" t="s">
        <v>179</v>
      </c>
      <c r="R9" s="108"/>
    </row>
    <row r="10" spans="1:19" s="86" customFormat="1" ht="46.8" hidden="1" x14ac:dyDescent="0.3">
      <c r="A10" s="100" t="s">
        <v>162</v>
      </c>
      <c r="B10" s="100"/>
      <c r="C10" s="101" t="s">
        <v>16</v>
      </c>
      <c r="D10" s="101" t="s">
        <v>161</v>
      </c>
      <c r="E10" s="101" t="s">
        <v>11</v>
      </c>
      <c r="F10" s="102"/>
      <c r="G10" s="105"/>
      <c r="H10" s="104"/>
      <c r="I10" s="103"/>
      <c r="J10" s="104"/>
      <c r="K10" s="103"/>
      <c r="L10" s="106"/>
      <c r="M10" s="103"/>
      <c r="N10" s="106"/>
      <c r="O10" s="103"/>
      <c r="P10" s="106"/>
      <c r="Q10" s="107" t="s">
        <v>179</v>
      </c>
      <c r="R10" s="108"/>
    </row>
    <row r="11" spans="1:19" s="86" customFormat="1" ht="46.8" hidden="1" x14ac:dyDescent="0.3">
      <c r="A11" s="100" t="s">
        <v>163</v>
      </c>
      <c r="B11" s="100"/>
      <c r="C11" s="101" t="s">
        <v>16</v>
      </c>
      <c r="D11" s="101" t="s">
        <v>161</v>
      </c>
      <c r="E11" s="101" t="s">
        <v>11</v>
      </c>
      <c r="F11" s="102">
        <v>-10800</v>
      </c>
      <c r="G11" s="105"/>
      <c r="H11" s="104"/>
      <c r="I11" s="103"/>
      <c r="J11" s="104"/>
      <c r="K11" s="103"/>
      <c r="L11" s="106"/>
      <c r="M11" s="103"/>
      <c r="N11" s="106"/>
      <c r="O11" s="103"/>
      <c r="P11" s="106"/>
      <c r="Q11" s="107" t="s">
        <v>179</v>
      </c>
      <c r="R11" s="108"/>
    </row>
    <row r="12" spans="1:19" s="108" customFormat="1" hidden="1" x14ac:dyDescent="0.3">
      <c r="A12" s="115" t="s">
        <v>202</v>
      </c>
      <c r="B12" s="115"/>
      <c r="C12" s="116" t="s">
        <v>20</v>
      </c>
      <c r="D12" s="116" t="s">
        <v>191</v>
      </c>
      <c r="E12" s="116" t="s">
        <v>11</v>
      </c>
      <c r="F12" s="117">
        <v>-46000</v>
      </c>
      <c r="G12" s="103"/>
      <c r="H12" s="106"/>
      <c r="I12" s="118"/>
      <c r="J12" s="117">
        <v>-11100</v>
      </c>
      <c r="K12" s="118"/>
      <c r="L12" s="117">
        <v>-46000</v>
      </c>
      <c r="M12" s="118"/>
      <c r="N12" s="117">
        <v>-46000</v>
      </c>
      <c r="O12" s="118"/>
      <c r="P12" s="117">
        <v>-46000</v>
      </c>
      <c r="Q12" s="99" t="s">
        <v>182</v>
      </c>
      <c r="R12" s="119"/>
    </row>
    <row r="13" spans="1:19" s="108" customFormat="1" hidden="1" x14ac:dyDescent="0.3">
      <c r="A13" s="120" t="s">
        <v>174</v>
      </c>
      <c r="B13" s="120"/>
      <c r="C13" s="86" t="s">
        <v>7</v>
      </c>
      <c r="D13" s="86" t="s">
        <v>8</v>
      </c>
      <c r="E13" s="86" t="s">
        <v>5</v>
      </c>
      <c r="F13" s="117"/>
      <c r="G13" s="103"/>
      <c r="H13" s="106"/>
      <c r="I13" s="118"/>
      <c r="J13" s="106">
        <v>-12600</v>
      </c>
      <c r="K13" s="118"/>
      <c r="L13" s="106">
        <v>-12600</v>
      </c>
      <c r="M13" s="118"/>
      <c r="N13" s="106">
        <v>-12600</v>
      </c>
      <c r="O13" s="118"/>
      <c r="P13" s="106">
        <v>-12600</v>
      </c>
      <c r="Q13" s="99"/>
      <c r="R13" s="119"/>
    </row>
    <row r="14" spans="1:19" s="108" customFormat="1" hidden="1" x14ac:dyDescent="0.3">
      <c r="A14" s="120" t="s">
        <v>175</v>
      </c>
      <c r="B14" s="120"/>
      <c r="C14" s="86" t="s">
        <v>7</v>
      </c>
      <c r="D14" s="86" t="s">
        <v>8</v>
      </c>
      <c r="E14" s="86" t="s">
        <v>5</v>
      </c>
      <c r="F14" s="117"/>
      <c r="G14" s="103"/>
      <c r="H14" s="106"/>
      <c r="I14" s="118"/>
      <c r="J14" s="106"/>
      <c r="K14" s="118"/>
      <c r="L14" s="106">
        <v>0</v>
      </c>
      <c r="M14" s="118"/>
      <c r="N14" s="106">
        <v>-44239.37</v>
      </c>
      <c r="O14" s="118"/>
      <c r="P14" s="106">
        <v>-44239.37</v>
      </c>
      <c r="Q14" s="99"/>
      <c r="R14" s="119"/>
    </row>
    <row r="15" spans="1:19" s="122" customFormat="1" hidden="1" x14ac:dyDescent="0.3">
      <c r="A15" s="121" t="s">
        <v>35</v>
      </c>
      <c r="B15" s="165"/>
      <c r="C15" s="122" t="s">
        <v>36</v>
      </c>
      <c r="D15" s="122" t="s">
        <v>37</v>
      </c>
      <c r="E15" s="122" t="s">
        <v>38</v>
      </c>
      <c r="F15" s="123">
        <f>(F6+F8)*0.62</f>
        <v>-603549.54</v>
      </c>
      <c r="G15" s="125"/>
      <c r="H15" s="124"/>
      <c r="I15" s="126"/>
      <c r="J15" s="127"/>
      <c r="K15" s="125">
        <f>(K6+K8)*0.63</f>
        <v>-420233.94</v>
      </c>
      <c r="L15" s="124"/>
      <c r="M15" s="125">
        <f>(M6+M8)*0.63</f>
        <v>-786240</v>
      </c>
      <c r="N15" s="124"/>
      <c r="O15" s="125">
        <f>(O6+O8)*0.63</f>
        <v>-2309559.8970204648</v>
      </c>
      <c r="P15" s="128"/>
      <c r="Q15" s="129" t="s">
        <v>44</v>
      </c>
    </row>
    <row r="16" spans="1:19" s="86" customFormat="1" ht="31.2" hidden="1" x14ac:dyDescent="0.3">
      <c r="A16" s="94" t="s">
        <v>159</v>
      </c>
      <c r="B16" s="94" t="s">
        <v>285</v>
      </c>
      <c r="C16" s="101" t="s">
        <v>9</v>
      </c>
      <c r="D16" s="86" t="s">
        <v>10</v>
      </c>
      <c r="E16" s="86" t="s">
        <v>5</v>
      </c>
      <c r="F16" s="95"/>
      <c r="G16" s="96"/>
      <c r="H16" s="97"/>
      <c r="I16" s="96">
        <f>(F16*1.03)</f>
        <v>0</v>
      </c>
      <c r="J16" s="97"/>
      <c r="K16" s="96">
        <f>F16*1.06</f>
        <v>0</v>
      </c>
      <c r="L16" s="97"/>
      <c r="M16" s="96">
        <f>K16*1.03</f>
        <v>0</v>
      </c>
      <c r="N16" s="97"/>
      <c r="O16" s="96">
        <f t="shared" ref="O16:O19" si="0">M16*1.03</f>
        <v>0</v>
      </c>
      <c r="P16" s="109"/>
      <c r="Q16" s="110" t="s">
        <v>286</v>
      </c>
      <c r="R16" s="114"/>
      <c r="S16" s="139"/>
    </row>
    <row r="17" spans="1:19" s="217" customFormat="1" x14ac:dyDescent="0.3">
      <c r="A17" s="215" t="s">
        <v>164</v>
      </c>
      <c r="B17" s="215" t="s">
        <v>247</v>
      </c>
      <c r="C17" s="216" t="s">
        <v>164</v>
      </c>
      <c r="D17" s="217" t="s">
        <v>165</v>
      </c>
      <c r="E17" s="217" t="s">
        <v>11</v>
      </c>
      <c r="F17" s="169">
        <v>100000</v>
      </c>
      <c r="G17" s="222"/>
      <c r="H17" s="227"/>
      <c r="I17" s="222">
        <v>0</v>
      </c>
      <c r="J17" s="227"/>
      <c r="K17" s="222">
        <v>0</v>
      </c>
      <c r="L17" s="227"/>
      <c r="M17" s="222"/>
      <c r="N17" s="227"/>
      <c r="O17" s="222">
        <f t="shared" si="0"/>
        <v>0</v>
      </c>
      <c r="P17" s="223"/>
      <c r="Q17" s="224" t="s">
        <v>280</v>
      </c>
      <c r="R17" s="225"/>
      <c r="S17" s="226"/>
    </row>
    <row r="18" spans="1:19" s="217" customFormat="1" x14ac:dyDescent="0.3">
      <c r="A18" s="215" t="s">
        <v>15</v>
      </c>
      <c r="B18" s="215" t="s">
        <v>248</v>
      </c>
      <c r="C18" s="216" t="s">
        <v>13</v>
      </c>
      <c r="D18" s="217" t="s">
        <v>166</v>
      </c>
      <c r="E18" s="217" t="s">
        <v>11</v>
      </c>
      <c r="F18" s="240">
        <v>114000</v>
      </c>
      <c r="G18" s="222"/>
      <c r="H18" s="227"/>
      <c r="I18" s="222">
        <f>F18*0.53</f>
        <v>60420</v>
      </c>
      <c r="J18" s="227"/>
      <c r="K18" s="222">
        <f>F18*1.06</f>
        <v>120840</v>
      </c>
      <c r="L18" s="227"/>
      <c r="M18" s="222">
        <f>(+F18*1.09)*0.25</f>
        <v>31065.000000000004</v>
      </c>
      <c r="N18" s="227"/>
      <c r="O18" s="222">
        <f t="shared" si="0"/>
        <v>31996.950000000004</v>
      </c>
      <c r="P18" s="223"/>
      <c r="Q18" s="228" t="s">
        <v>308</v>
      </c>
      <c r="R18" s="225"/>
      <c r="S18" s="226"/>
    </row>
    <row r="19" spans="1:19" s="164" customFormat="1" x14ac:dyDescent="0.3">
      <c r="A19" s="215" t="s">
        <v>15</v>
      </c>
      <c r="B19" s="215" t="s">
        <v>249</v>
      </c>
      <c r="C19" s="216" t="s">
        <v>13</v>
      </c>
      <c r="D19" s="217" t="s">
        <v>166</v>
      </c>
      <c r="E19" s="217" t="s">
        <v>11</v>
      </c>
      <c r="F19" s="240">
        <v>102000</v>
      </c>
      <c r="G19" s="222"/>
      <c r="H19" s="227"/>
      <c r="I19" s="222">
        <f>F19*0.53</f>
        <v>54060</v>
      </c>
      <c r="J19" s="227"/>
      <c r="K19" s="222">
        <f>F19*1.06</f>
        <v>108120</v>
      </c>
      <c r="L19" s="227"/>
      <c r="M19" s="222">
        <f>(+F19*1.09)*0.25</f>
        <v>27795.000000000004</v>
      </c>
      <c r="N19" s="227"/>
      <c r="O19" s="222">
        <f t="shared" si="0"/>
        <v>28628.850000000006</v>
      </c>
      <c r="P19" s="223"/>
      <c r="Q19" s="228" t="s">
        <v>308</v>
      </c>
      <c r="R19" s="163"/>
      <c r="S19" s="249"/>
    </row>
    <row r="20" spans="1:19" s="252" customFormat="1" hidden="1" x14ac:dyDescent="0.3">
      <c r="A20" s="132" t="s">
        <v>282</v>
      </c>
      <c r="B20" s="132" t="s">
        <v>283</v>
      </c>
      <c r="C20" s="130" t="s">
        <v>284</v>
      </c>
      <c r="D20" s="133" t="s">
        <v>166</v>
      </c>
      <c r="E20" s="133" t="s">
        <v>11</v>
      </c>
      <c r="F20" s="167">
        <v>100000</v>
      </c>
      <c r="G20" s="135"/>
      <c r="H20" s="136"/>
      <c r="I20" s="135">
        <v>0</v>
      </c>
      <c r="J20" s="136"/>
      <c r="K20" s="135">
        <v>0</v>
      </c>
      <c r="L20" s="136"/>
      <c r="M20" s="135">
        <f>(+F20*1.09)*0.7</f>
        <v>76300</v>
      </c>
      <c r="N20" s="136"/>
      <c r="O20" s="135">
        <f>M20*1.03</f>
        <v>78589</v>
      </c>
      <c r="P20" s="137"/>
      <c r="Q20" s="168" t="s">
        <v>290</v>
      </c>
      <c r="R20" s="250"/>
      <c r="S20" s="251"/>
    </row>
    <row r="21" spans="1:19" s="217" customFormat="1" x14ac:dyDescent="0.3">
      <c r="A21" s="215" t="s">
        <v>101</v>
      </c>
      <c r="B21" s="215" t="s">
        <v>250</v>
      </c>
      <c r="C21" s="216" t="s">
        <v>16</v>
      </c>
      <c r="D21" s="217" t="s">
        <v>14</v>
      </c>
      <c r="E21" s="217" t="s">
        <v>11</v>
      </c>
      <c r="F21" s="169">
        <v>100000</v>
      </c>
      <c r="G21" s="218"/>
      <c r="H21" s="219"/>
      <c r="I21" s="218"/>
      <c r="J21" s="219"/>
      <c r="K21" s="222">
        <f>($F$21*1.06)*0.1</f>
        <v>10600</v>
      </c>
      <c r="L21" s="219"/>
      <c r="M21" s="222">
        <f>(+F21*1.09)</f>
        <v>109000.00000000001</v>
      </c>
      <c r="N21" s="222"/>
      <c r="O21" s="222">
        <f>M21*1.03</f>
        <v>112270.00000000001</v>
      </c>
      <c r="P21" s="223"/>
      <c r="Q21" s="224" t="s">
        <v>318</v>
      </c>
      <c r="R21" s="225"/>
      <c r="S21" s="226"/>
    </row>
    <row r="22" spans="1:19" s="86" customFormat="1" hidden="1" x14ac:dyDescent="0.3">
      <c r="A22" s="94" t="s">
        <v>232</v>
      </c>
      <c r="B22" s="94" t="s">
        <v>303</v>
      </c>
      <c r="C22" s="101" t="s">
        <v>17</v>
      </c>
      <c r="D22" s="86" t="s">
        <v>18</v>
      </c>
      <c r="E22" s="86" t="s">
        <v>11</v>
      </c>
      <c r="F22" s="95">
        <v>63494</v>
      </c>
      <c r="G22" s="141"/>
      <c r="H22" s="142"/>
      <c r="I22" s="103">
        <f>F22</f>
        <v>63494</v>
      </c>
      <c r="J22" s="106"/>
      <c r="K22" s="96">
        <f>F22*1.06</f>
        <v>67303.64</v>
      </c>
      <c r="L22" s="106"/>
      <c r="M22" s="103"/>
      <c r="N22" s="106"/>
      <c r="O22" s="103"/>
      <c r="P22" s="109"/>
      <c r="Q22" s="110" t="s">
        <v>300</v>
      </c>
      <c r="R22" s="114"/>
      <c r="S22" s="139"/>
    </row>
    <row r="23" spans="1:19" s="86" customFormat="1" hidden="1" x14ac:dyDescent="0.3">
      <c r="A23" s="94" t="s">
        <v>170</v>
      </c>
      <c r="B23" s="94" t="s">
        <v>251</v>
      </c>
      <c r="C23" s="101" t="s">
        <v>17</v>
      </c>
      <c r="D23" s="86" t="s">
        <v>18</v>
      </c>
      <c r="E23" s="86" t="s">
        <v>11</v>
      </c>
      <c r="F23" s="95">
        <v>114162</v>
      </c>
      <c r="G23" s="96"/>
      <c r="H23" s="97"/>
      <c r="I23" s="96">
        <v>0</v>
      </c>
      <c r="J23" s="97"/>
      <c r="K23" s="96">
        <v>0</v>
      </c>
      <c r="L23" s="97"/>
      <c r="M23" s="96">
        <f>I23*0.5</f>
        <v>0</v>
      </c>
      <c r="N23" s="97"/>
      <c r="O23" s="96">
        <f>I23*0.25</f>
        <v>0</v>
      </c>
      <c r="P23" s="109"/>
      <c r="Q23" s="199" t="s">
        <v>319</v>
      </c>
      <c r="R23" s="201"/>
      <c r="S23" s="139"/>
    </row>
    <row r="24" spans="1:19" s="86" customFormat="1" hidden="1" x14ac:dyDescent="0.3">
      <c r="A24" s="202" t="s">
        <v>255</v>
      </c>
      <c r="B24" s="94" t="s">
        <v>246</v>
      </c>
      <c r="C24" s="101" t="s">
        <v>17</v>
      </c>
      <c r="D24" s="86" t="s">
        <v>18</v>
      </c>
      <c r="E24" s="86" t="s">
        <v>11</v>
      </c>
      <c r="F24" s="198">
        <v>116000</v>
      </c>
      <c r="G24" s="96"/>
      <c r="H24" s="97"/>
      <c r="I24" s="96">
        <v>0</v>
      </c>
      <c r="J24" s="97"/>
      <c r="K24" s="96">
        <f>(F24*1.06)*0.75</f>
        <v>92220</v>
      </c>
      <c r="L24" s="97"/>
      <c r="M24" s="96">
        <f>F24*1.06</f>
        <v>122960</v>
      </c>
      <c r="N24" s="97"/>
      <c r="O24" s="96">
        <f>M24</f>
        <v>122960</v>
      </c>
      <c r="P24" s="109"/>
      <c r="Q24" s="110" t="s">
        <v>281</v>
      </c>
      <c r="R24" s="114"/>
      <c r="S24" s="139"/>
    </row>
    <row r="25" spans="1:19" s="205" customFormat="1" ht="31.2" hidden="1" x14ac:dyDescent="0.3">
      <c r="A25" s="143" t="s">
        <v>19</v>
      </c>
      <c r="B25" s="143" t="s">
        <v>301</v>
      </c>
      <c r="C25" s="101" t="s">
        <v>17</v>
      </c>
      <c r="D25" s="144" t="s">
        <v>18</v>
      </c>
      <c r="E25" s="144" t="s">
        <v>11</v>
      </c>
      <c r="F25" s="95">
        <v>84800</v>
      </c>
      <c r="G25" s="96"/>
      <c r="H25" s="97"/>
      <c r="I25" s="96">
        <v>0</v>
      </c>
      <c r="J25" s="97"/>
      <c r="K25" s="96"/>
      <c r="L25" s="97"/>
      <c r="M25" s="96"/>
      <c r="N25" s="97"/>
      <c r="O25" s="96"/>
      <c r="P25" s="109"/>
      <c r="Q25" s="110" t="s">
        <v>304</v>
      </c>
      <c r="R25" s="203"/>
      <c r="S25" s="204"/>
    </row>
    <row r="26" spans="1:19" s="116" customFormat="1" ht="31.5" hidden="1" customHeight="1" x14ac:dyDescent="0.3">
      <c r="A26" s="94" t="s">
        <v>299</v>
      </c>
      <c r="B26" s="94" t="s">
        <v>302</v>
      </c>
      <c r="C26" s="101" t="s">
        <v>30</v>
      </c>
      <c r="D26" s="86" t="s">
        <v>31</v>
      </c>
      <c r="E26" s="86" t="s">
        <v>26</v>
      </c>
      <c r="F26" s="95">
        <v>100000</v>
      </c>
      <c r="G26" s="145">
        <f>25000</f>
        <v>25000</v>
      </c>
      <c r="H26" s="206"/>
      <c r="I26" s="96">
        <f>+F26*1.03</f>
        <v>103000</v>
      </c>
      <c r="J26" s="97"/>
      <c r="K26" s="96">
        <f>F26*1.06</f>
        <v>106000</v>
      </c>
      <c r="L26" s="97"/>
      <c r="M26" s="96">
        <f>K26*1.06</f>
        <v>112360</v>
      </c>
      <c r="N26" s="97"/>
      <c r="O26" s="96">
        <f t="shared" ref="O26:O42" si="1">M26*1.03</f>
        <v>115730.8</v>
      </c>
      <c r="P26" s="109"/>
      <c r="Q26" s="110" t="s">
        <v>298</v>
      </c>
      <c r="R26" s="146"/>
    </row>
    <row r="27" spans="1:19" s="116" customFormat="1" hidden="1" x14ac:dyDescent="0.3">
      <c r="A27" s="202" t="s">
        <v>255</v>
      </c>
      <c r="B27" s="202" t="s">
        <v>256</v>
      </c>
      <c r="C27" s="207" t="s">
        <v>17</v>
      </c>
      <c r="D27" s="202" t="s">
        <v>18</v>
      </c>
      <c r="E27" s="202" t="s">
        <v>11</v>
      </c>
      <c r="F27" s="198">
        <f>115000*0.75</f>
        <v>86250</v>
      </c>
      <c r="G27" s="206"/>
      <c r="H27" s="96"/>
      <c r="I27" s="96">
        <v>0</v>
      </c>
      <c r="J27" s="96"/>
      <c r="K27" s="96">
        <f>(F27*1.06)*0.5</f>
        <v>45712.5</v>
      </c>
      <c r="L27" s="96"/>
      <c r="M27" s="96">
        <f>K27*1.06</f>
        <v>48455.25</v>
      </c>
      <c r="N27" s="96"/>
      <c r="O27" s="96">
        <f t="shared" si="1"/>
        <v>49908.907500000001</v>
      </c>
      <c r="P27" s="110"/>
      <c r="Q27" s="199" t="s">
        <v>290</v>
      </c>
    </row>
    <row r="28" spans="1:19" s="131" customFormat="1" ht="15.75" hidden="1" customHeight="1" x14ac:dyDescent="0.3">
      <c r="A28" s="189" t="s">
        <v>257</v>
      </c>
      <c r="B28" s="189" t="s">
        <v>258</v>
      </c>
      <c r="C28" s="190" t="s">
        <v>13</v>
      </c>
      <c r="D28" s="277" t="s">
        <v>333</v>
      </c>
      <c r="E28" s="189" t="s">
        <v>11</v>
      </c>
      <c r="F28" s="167">
        <f>(107000)*0.75</f>
        <v>80250</v>
      </c>
      <c r="G28" s="191"/>
      <c r="H28" s="135"/>
      <c r="I28" s="135">
        <v>0</v>
      </c>
      <c r="J28" s="135"/>
      <c r="K28" s="135">
        <f>(F28*1.06)*0.5</f>
        <v>42532.5</v>
      </c>
      <c r="L28" s="135"/>
      <c r="M28" s="135">
        <f>K28*1.06</f>
        <v>45084.450000000004</v>
      </c>
      <c r="N28" s="135"/>
      <c r="O28" s="135">
        <f t="shared" si="1"/>
        <v>46436.983500000002</v>
      </c>
      <c r="P28" s="138"/>
      <c r="Q28" s="168" t="s">
        <v>290</v>
      </c>
    </row>
    <row r="29" spans="1:19" s="131" customFormat="1" hidden="1" x14ac:dyDescent="0.3">
      <c r="A29" s="189" t="s">
        <v>288</v>
      </c>
      <c r="B29" s="189" t="s">
        <v>289</v>
      </c>
      <c r="C29" s="190" t="s">
        <v>17</v>
      </c>
      <c r="D29" s="189" t="s">
        <v>18</v>
      </c>
      <c r="E29" s="189" t="s">
        <v>11</v>
      </c>
      <c r="F29" s="167">
        <v>100000</v>
      </c>
      <c r="G29" s="191"/>
      <c r="H29" s="135"/>
      <c r="I29" s="135"/>
      <c r="J29" s="135"/>
      <c r="K29" s="135">
        <f>(F29*1.06)*0.5</f>
        <v>53000</v>
      </c>
      <c r="L29" s="135"/>
      <c r="M29" s="135">
        <f>F29*1.06</f>
        <v>106000</v>
      </c>
      <c r="N29" s="135"/>
      <c r="O29" s="135">
        <f>F29*1.06</f>
        <v>106000</v>
      </c>
      <c r="P29" s="138"/>
      <c r="Q29" s="253" t="s">
        <v>297</v>
      </c>
    </row>
    <row r="30" spans="1:19" s="131" customFormat="1" hidden="1" x14ac:dyDescent="0.3">
      <c r="A30" s="189" t="s">
        <v>259</v>
      </c>
      <c r="B30" s="189" t="s">
        <v>260</v>
      </c>
      <c r="C30" s="190" t="s">
        <v>13</v>
      </c>
      <c r="D30" s="189" t="s">
        <v>166</v>
      </c>
      <c r="E30" s="189" t="s">
        <v>11</v>
      </c>
      <c r="F30" s="167">
        <v>150000</v>
      </c>
      <c r="G30" s="191"/>
      <c r="H30" s="135"/>
      <c r="I30" s="135">
        <v>0</v>
      </c>
      <c r="J30" s="135"/>
      <c r="K30" s="135">
        <f>(F30*1.06)*0.1</f>
        <v>15900</v>
      </c>
      <c r="L30" s="135"/>
      <c r="M30" s="135">
        <f>K30*1.06</f>
        <v>16854</v>
      </c>
      <c r="N30" s="135"/>
      <c r="O30" s="135">
        <f t="shared" si="1"/>
        <v>17359.62</v>
      </c>
      <c r="P30" s="138"/>
      <c r="Q30" s="168" t="s">
        <v>309</v>
      </c>
    </row>
    <row r="31" spans="1:19" s="116" customFormat="1" hidden="1" x14ac:dyDescent="0.3">
      <c r="A31" s="208" t="s">
        <v>261</v>
      </c>
      <c r="B31" s="202" t="s">
        <v>262</v>
      </c>
      <c r="C31" s="207" t="s">
        <v>263</v>
      </c>
      <c r="D31" s="202" t="s">
        <v>264</v>
      </c>
      <c r="E31" s="202" t="s">
        <v>26</v>
      </c>
      <c r="F31" s="198">
        <v>70000</v>
      </c>
      <c r="G31" s="206"/>
      <c r="H31" s="96"/>
      <c r="I31" s="96">
        <v>0</v>
      </c>
      <c r="J31" s="96"/>
      <c r="K31" s="96">
        <f>(F31*1.06)</f>
        <v>74200</v>
      </c>
      <c r="L31" s="96"/>
      <c r="M31" s="96">
        <f>K31*1.06</f>
        <v>78652</v>
      </c>
      <c r="N31" s="96"/>
      <c r="O31" s="96">
        <f t="shared" si="1"/>
        <v>81011.56</v>
      </c>
      <c r="P31" s="110"/>
      <c r="Q31" s="199" t="s">
        <v>290</v>
      </c>
    </row>
    <row r="32" spans="1:19" s="116" customFormat="1" hidden="1" x14ac:dyDescent="0.3">
      <c r="A32" s="208" t="s">
        <v>261</v>
      </c>
      <c r="B32" s="202" t="s">
        <v>265</v>
      </c>
      <c r="C32" s="207" t="s">
        <v>263</v>
      </c>
      <c r="D32" s="202" t="s">
        <v>264</v>
      </c>
      <c r="E32" s="202" t="s">
        <v>26</v>
      </c>
      <c r="F32" s="198">
        <v>65000</v>
      </c>
      <c r="G32" s="206"/>
      <c r="H32" s="96"/>
      <c r="I32" s="96">
        <v>0</v>
      </c>
      <c r="J32" s="96"/>
      <c r="K32" s="96">
        <f>(F32*1.06)</f>
        <v>68900</v>
      </c>
      <c r="L32" s="96"/>
      <c r="M32" s="96">
        <v>70967</v>
      </c>
      <c r="N32" s="96"/>
      <c r="O32" s="96">
        <v>73096.009999999995</v>
      </c>
      <c r="P32" s="110"/>
      <c r="Q32" s="199" t="s">
        <v>291</v>
      </c>
    </row>
    <row r="33" spans="1:19" s="116" customFormat="1" hidden="1" x14ac:dyDescent="0.3">
      <c r="A33" s="208" t="s">
        <v>292</v>
      </c>
      <c r="B33" s="202" t="s">
        <v>310</v>
      </c>
      <c r="C33" s="207" t="s">
        <v>263</v>
      </c>
      <c r="D33" s="202" t="s">
        <v>293</v>
      </c>
      <c r="E33" s="202" t="s">
        <v>26</v>
      </c>
      <c r="F33" s="198">
        <v>65000</v>
      </c>
      <c r="G33" s="206"/>
      <c r="H33" s="96"/>
      <c r="I33" s="96"/>
      <c r="J33" s="96"/>
      <c r="K33" s="96"/>
      <c r="L33" s="96"/>
      <c r="M33" s="96"/>
      <c r="N33" s="96"/>
      <c r="O33" s="96">
        <f>F33*1.03</f>
        <v>66950</v>
      </c>
      <c r="P33" s="110"/>
      <c r="Q33" s="199" t="s">
        <v>311</v>
      </c>
    </row>
    <row r="34" spans="1:19" s="116" customFormat="1" hidden="1" x14ac:dyDescent="0.3">
      <c r="A34" s="202" t="s">
        <v>287</v>
      </c>
      <c r="B34" s="202" t="s">
        <v>252</v>
      </c>
      <c r="C34" s="209" t="s">
        <v>266</v>
      </c>
      <c r="D34" s="210" t="s">
        <v>267</v>
      </c>
      <c r="E34" s="202" t="s">
        <v>26</v>
      </c>
      <c r="F34" s="198">
        <v>90000</v>
      </c>
      <c r="G34" s="206"/>
      <c r="H34" s="96"/>
      <c r="I34" s="96">
        <v>0</v>
      </c>
      <c r="J34" s="96"/>
      <c r="K34" s="96">
        <f t="shared" ref="K34" si="2">(F34*1.06)</f>
        <v>95400</v>
      </c>
      <c r="L34" s="96"/>
      <c r="M34" s="96">
        <f>(K34*1.03)*0.2</f>
        <v>19652.400000000001</v>
      </c>
      <c r="N34" s="96"/>
      <c r="O34" s="96">
        <f t="shared" si="1"/>
        <v>20241.972000000002</v>
      </c>
      <c r="P34" s="110"/>
      <c r="Q34" s="146" t="s">
        <v>312</v>
      </c>
    </row>
    <row r="35" spans="1:19" s="116" customFormat="1" hidden="1" x14ac:dyDescent="0.3">
      <c r="A35" s="202" t="s">
        <v>268</v>
      </c>
      <c r="B35" s="202" t="s">
        <v>269</v>
      </c>
      <c r="C35" s="209" t="s">
        <v>266</v>
      </c>
      <c r="D35" s="210" t="s">
        <v>267</v>
      </c>
      <c r="E35" s="202" t="s">
        <v>26</v>
      </c>
      <c r="F35" s="198">
        <f>70000*0.25</f>
        <v>17500</v>
      </c>
      <c r="G35" s="206"/>
      <c r="H35" s="96"/>
      <c r="I35" s="96">
        <v>0</v>
      </c>
      <c r="J35" s="96"/>
      <c r="K35" s="96"/>
      <c r="L35" s="96"/>
      <c r="M35" s="96">
        <f t="shared" ref="M35:M40" si="3">K35*1.03</f>
        <v>0</v>
      </c>
      <c r="N35" s="96"/>
      <c r="O35" s="96">
        <f t="shared" si="1"/>
        <v>0</v>
      </c>
      <c r="P35" s="110"/>
      <c r="Q35" s="199" t="s">
        <v>290</v>
      </c>
    </row>
    <row r="36" spans="1:19" s="116" customFormat="1" hidden="1" x14ac:dyDescent="0.3">
      <c r="A36" s="202" t="s">
        <v>270</v>
      </c>
      <c r="B36" s="202" t="s">
        <v>271</v>
      </c>
      <c r="C36" s="207" t="s">
        <v>263</v>
      </c>
      <c r="D36" s="202" t="s">
        <v>264</v>
      </c>
      <c r="E36" s="202" t="s">
        <v>26</v>
      </c>
      <c r="F36" s="198">
        <v>80000</v>
      </c>
      <c r="G36" s="206"/>
      <c r="H36" s="96"/>
      <c r="I36" s="96">
        <v>0</v>
      </c>
      <c r="J36" s="96"/>
      <c r="K36" s="96">
        <f>(F36*1.06)</f>
        <v>84800</v>
      </c>
      <c r="L36" s="96"/>
      <c r="M36" s="96">
        <f t="shared" si="3"/>
        <v>87344</v>
      </c>
      <c r="N36" s="96"/>
      <c r="O36" s="96">
        <f t="shared" si="1"/>
        <v>89964.32</v>
      </c>
      <c r="P36" s="110"/>
      <c r="Q36" s="199" t="s">
        <v>290</v>
      </c>
    </row>
    <row r="37" spans="1:19" s="116" customFormat="1" hidden="1" x14ac:dyDescent="0.3">
      <c r="A37" s="202" t="s">
        <v>272</v>
      </c>
      <c r="B37" s="202" t="s">
        <v>273</v>
      </c>
      <c r="C37" s="207" t="s">
        <v>9</v>
      </c>
      <c r="D37" s="202" t="s">
        <v>8</v>
      </c>
      <c r="E37" s="202" t="s">
        <v>5</v>
      </c>
      <c r="F37" s="198">
        <f>123900*0.8</f>
        <v>99120</v>
      </c>
      <c r="G37" s="206"/>
      <c r="H37" s="96"/>
      <c r="I37" s="96">
        <v>0</v>
      </c>
      <c r="J37" s="96"/>
      <c r="K37" s="96">
        <f>(F37*1.06)*0.6</f>
        <v>63040.320000000007</v>
      </c>
      <c r="L37" s="96"/>
      <c r="M37" s="96">
        <f t="shared" si="3"/>
        <v>64931.529600000009</v>
      </c>
      <c r="N37" s="96"/>
      <c r="O37" s="96">
        <f t="shared" si="1"/>
        <v>66879.475488000011</v>
      </c>
      <c r="P37" s="110"/>
      <c r="Q37" s="199" t="s">
        <v>313</v>
      </c>
    </row>
    <row r="38" spans="1:19" s="116" customFormat="1" hidden="1" x14ac:dyDescent="0.3">
      <c r="A38" s="202" t="s">
        <v>272</v>
      </c>
      <c r="B38" s="202" t="s">
        <v>274</v>
      </c>
      <c r="C38" s="207" t="s">
        <v>9</v>
      </c>
      <c r="D38" s="202" t="s">
        <v>8</v>
      </c>
      <c r="E38" s="202" t="s">
        <v>5</v>
      </c>
      <c r="F38" s="198">
        <f>94000*0.8</f>
        <v>75200</v>
      </c>
      <c r="G38" s="206"/>
      <c r="H38" s="96"/>
      <c r="I38" s="96">
        <v>0</v>
      </c>
      <c r="J38" s="96"/>
      <c r="K38" s="96">
        <f>(F38*1.06)*0.6</f>
        <v>47827.199999999997</v>
      </c>
      <c r="L38" s="96"/>
      <c r="M38" s="96">
        <f t="shared" si="3"/>
        <v>49262.015999999996</v>
      </c>
      <c r="N38" s="96"/>
      <c r="O38" s="96">
        <f t="shared" si="1"/>
        <v>50739.876479999999</v>
      </c>
      <c r="P38" s="110"/>
      <c r="Q38" s="146" t="s">
        <v>314</v>
      </c>
    </row>
    <row r="39" spans="1:19" s="116" customFormat="1" hidden="1" x14ac:dyDescent="0.3">
      <c r="A39" s="202" t="s">
        <v>275</v>
      </c>
      <c r="B39" s="202" t="s">
        <v>276</v>
      </c>
      <c r="C39" s="207" t="s">
        <v>9</v>
      </c>
      <c r="D39" s="202" t="s">
        <v>8</v>
      </c>
      <c r="E39" s="202" t="s">
        <v>5</v>
      </c>
      <c r="F39" s="198">
        <f>107000*0.75</f>
        <v>80250</v>
      </c>
      <c r="G39" s="206"/>
      <c r="H39" s="96"/>
      <c r="I39" s="96">
        <v>0</v>
      </c>
      <c r="J39" s="96"/>
      <c r="K39" s="96">
        <f>(F39*1.06)*0.5</f>
        <v>42532.5</v>
      </c>
      <c r="L39" s="96"/>
      <c r="M39" s="96">
        <f t="shared" si="3"/>
        <v>43808.474999999999</v>
      </c>
      <c r="N39" s="96"/>
      <c r="O39" s="96">
        <f t="shared" si="1"/>
        <v>45122.729249999997</v>
      </c>
      <c r="P39" s="110"/>
      <c r="Q39" s="199" t="s">
        <v>315</v>
      </c>
    </row>
    <row r="40" spans="1:19" s="116" customFormat="1" hidden="1" x14ac:dyDescent="0.3">
      <c r="A40" s="211" t="s">
        <v>237</v>
      </c>
      <c r="B40" s="207" t="s">
        <v>277</v>
      </c>
      <c r="C40" s="211" t="s">
        <v>278</v>
      </c>
      <c r="D40" s="202" t="s">
        <v>167</v>
      </c>
      <c r="E40" s="202" t="s">
        <v>11</v>
      </c>
      <c r="F40" s="198">
        <v>127800</v>
      </c>
      <c r="G40" s="206"/>
      <c r="H40" s="96"/>
      <c r="I40" s="96">
        <f>(+F40*1.03)*0.25</f>
        <v>32908.5</v>
      </c>
      <c r="J40" s="96"/>
      <c r="K40" s="96">
        <f>F40*1.06</f>
        <v>135468</v>
      </c>
      <c r="L40" s="96"/>
      <c r="M40" s="96">
        <f t="shared" si="3"/>
        <v>139532.04</v>
      </c>
      <c r="N40" s="96"/>
      <c r="O40" s="96">
        <f t="shared" si="1"/>
        <v>143718.0012</v>
      </c>
      <c r="P40" s="110"/>
      <c r="Q40" s="146" t="s">
        <v>295</v>
      </c>
    </row>
    <row r="41" spans="1:19" s="116" customFormat="1" hidden="1" x14ac:dyDescent="0.3">
      <c r="A41" s="211" t="s">
        <v>279</v>
      </c>
      <c r="B41" s="207" t="s">
        <v>244</v>
      </c>
      <c r="C41" s="211" t="s">
        <v>263</v>
      </c>
      <c r="D41" s="202" t="s">
        <v>264</v>
      </c>
      <c r="E41" s="202" t="s">
        <v>26</v>
      </c>
      <c r="F41" s="198">
        <f>70000</f>
        <v>70000</v>
      </c>
      <c r="G41" s="206"/>
      <c r="H41" s="96"/>
      <c r="I41" s="96">
        <v>0</v>
      </c>
      <c r="J41" s="96"/>
      <c r="K41" s="96">
        <v>0</v>
      </c>
      <c r="L41" s="96"/>
      <c r="M41" s="96">
        <f>F41*0.5</f>
        <v>35000</v>
      </c>
      <c r="N41" s="96"/>
      <c r="O41" s="96">
        <f>F41*1.03</f>
        <v>72100</v>
      </c>
      <c r="P41" s="110"/>
      <c r="Q41" s="146" t="s">
        <v>296</v>
      </c>
    </row>
    <row r="42" spans="1:19" s="116" customFormat="1" ht="31.2" hidden="1" x14ac:dyDescent="0.3">
      <c r="A42" s="143" t="s">
        <v>32</v>
      </c>
      <c r="B42" s="143" t="s">
        <v>245</v>
      </c>
      <c r="C42" s="101" t="s">
        <v>33</v>
      </c>
      <c r="D42" s="144" t="s">
        <v>34</v>
      </c>
      <c r="E42" s="202" t="s">
        <v>26</v>
      </c>
      <c r="F42" s="145">
        <v>100000</v>
      </c>
      <c r="G42" s="212"/>
      <c r="H42" s="142"/>
      <c r="I42" s="96"/>
      <c r="J42" s="97"/>
      <c r="K42" s="96">
        <v>100000</v>
      </c>
      <c r="L42" s="97"/>
      <c r="M42" s="96">
        <f>(K42*1.03)*0.5</f>
        <v>51500</v>
      </c>
      <c r="N42" s="97"/>
      <c r="O42" s="96">
        <f t="shared" si="1"/>
        <v>53045</v>
      </c>
      <c r="P42" s="109"/>
      <c r="Q42" s="110" t="s">
        <v>240</v>
      </c>
      <c r="R42" s="146"/>
    </row>
    <row r="43" spans="1:19" s="116" customFormat="1" ht="97.5" hidden="1" customHeight="1" x14ac:dyDescent="0.3">
      <c r="A43" s="94" t="s">
        <v>199</v>
      </c>
      <c r="B43" s="94"/>
      <c r="C43" s="101" t="s">
        <v>9</v>
      </c>
      <c r="D43" s="86" t="s">
        <v>10</v>
      </c>
      <c r="E43" s="86" t="s">
        <v>5</v>
      </c>
      <c r="F43" s="95">
        <v>200000</v>
      </c>
      <c r="G43" s="141"/>
      <c r="H43" s="142"/>
      <c r="I43" s="96"/>
      <c r="J43" s="97"/>
      <c r="K43" s="96">
        <v>0</v>
      </c>
      <c r="L43" s="97"/>
      <c r="M43" s="96">
        <v>0</v>
      </c>
      <c r="N43" s="97"/>
      <c r="O43" s="96">
        <v>0</v>
      </c>
      <c r="P43" s="109"/>
      <c r="Q43" s="110" t="s">
        <v>305</v>
      </c>
      <c r="R43" s="146"/>
    </row>
    <row r="44" spans="1:19" s="255" customFormat="1" x14ac:dyDescent="0.3">
      <c r="A44" s="254" t="s">
        <v>35</v>
      </c>
      <c r="B44" s="254"/>
      <c r="C44" s="255" t="s">
        <v>36</v>
      </c>
      <c r="D44" s="255" t="s">
        <v>37</v>
      </c>
      <c r="E44" s="255" t="s">
        <v>38</v>
      </c>
      <c r="F44" s="256">
        <f>(SUM(F16:H43)*0.71)</f>
        <v>1828836.46</v>
      </c>
      <c r="G44" s="257"/>
      <c r="H44" s="258"/>
      <c r="I44" s="259">
        <f>(I18+I19)*0.71</f>
        <v>81280.800000000003</v>
      </c>
      <c r="J44" s="260"/>
      <c r="K44" s="259">
        <f>(K18+K19+K21)*0.71</f>
        <v>170087.6</v>
      </c>
      <c r="L44" s="260"/>
      <c r="M44" s="259">
        <f>(M18+M19+M21)*0.71</f>
        <v>119180.60000000002</v>
      </c>
      <c r="N44" s="260"/>
      <c r="O44" s="259">
        <f>(O18+O19+O21)*0.71</f>
        <v>122756.01800000001</v>
      </c>
      <c r="P44" s="261"/>
      <c r="Q44" s="262" t="s">
        <v>45</v>
      </c>
      <c r="R44" s="263"/>
    </row>
    <row r="45" spans="1:19" s="86" customFormat="1" ht="31.2" hidden="1" x14ac:dyDescent="0.3">
      <c r="A45" s="120" t="s">
        <v>21</v>
      </c>
      <c r="B45" s="120"/>
      <c r="C45" s="116" t="s">
        <v>20</v>
      </c>
      <c r="D45" s="116" t="s">
        <v>167</v>
      </c>
      <c r="E45" s="116" t="s">
        <v>11</v>
      </c>
      <c r="F45" s="117">
        <v>363416</v>
      </c>
      <c r="G45" s="103"/>
      <c r="H45" s="106">
        <v>59576</v>
      </c>
      <c r="I45" s="118"/>
      <c r="J45" s="106">
        <v>363416</v>
      </c>
      <c r="K45" s="118"/>
      <c r="L45" s="106">
        <v>363416</v>
      </c>
      <c r="M45" s="118"/>
      <c r="N45" s="106">
        <v>363416</v>
      </c>
      <c r="O45" s="118"/>
      <c r="P45" s="106">
        <v>363416</v>
      </c>
      <c r="Q45" s="99" t="s">
        <v>106</v>
      </c>
      <c r="R45" s="147"/>
      <c r="S45" s="139"/>
    </row>
    <row r="46" spans="1:19" s="86" customFormat="1" ht="31.2" hidden="1" x14ac:dyDescent="0.3">
      <c r="A46" s="120" t="s">
        <v>192</v>
      </c>
      <c r="B46" s="120"/>
      <c r="C46" s="116" t="s">
        <v>20</v>
      </c>
      <c r="D46" s="116" t="s">
        <v>167</v>
      </c>
      <c r="E46" s="116" t="s">
        <v>11</v>
      </c>
      <c r="F46" s="117">
        <v>214900</v>
      </c>
      <c r="G46" s="103"/>
      <c r="H46" s="106"/>
      <c r="I46" s="118"/>
      <c r="J46" s="106">
        <v>53728</v>
      </c>
      <c r="K46" s="118"/>
      <c r="L46" s="106">
        <v>214900</v>
      </c>
      <c r="M46" s="118"/>
      <c r="N46" s="106">
        <f>+L46</f>
        <v>214900</v>
      </c>
      <c r="O46" s="118"/>
      <c r="P46" s="106">
        <f>+N46</f>
        <v>214900</v>
      </c>
      <c r="Q46" s="99" t="s">
        <v>171</v>
      </c>
      <c r="R46" s="108"/>
      <c r="S46" s="139"/>
    </row>
    <row r="47" spans="1:19" s="217" customFormat="1" x14ac:dyDescent="0.3">
      <c r="A47" s="242" t="s">
        <v>193</v>
      </c>
      <c r="B47" s="242"/>
      <c r="C47" s="170" t="s">
        <v>20</v>
      </c>
      <c r="D47" s="170" t="s">
        <v>194</v>
      </c>
      <c r="E47" s="170" t="s">
        <v>11</v>
      </c>
      <c r="F47" s="243">
        <v>164738</v>
      </c>
      <c r="G47" s="220"/>
      <c r="H47" s="221"/>
      <c r="I47" s="244"/>
      <c r="J47" s="221">
        <v>2080</v>
      </c>
      <c r="K47" s="244"/>
      <c r="L47" s="221">
        <v>78208</v>
      </c>
      <c r="M47" s="244"/>
      <c r="N47" s="221">
        <v>164738</v>
      </c>
      <c r="O47" s="244"/>
      <c r="P47" s="221">
        <f>+N47</f>
        <v>164738</v>
      </c>
      <c r="Q47" s="171"/>
      <c r="R47" s="164"/>
      <c r="S47" s="226"/>
    </row>
    <row r="48" spans="1:19" s="217" customFormat="1" hidden="1" x14ac:dyDescent="0.3">
      <c r="A48" s="248" t="s">
        <v>200</v>
      </c>
      <c r="B48" s="248"/>
      <c r="C48" s="170" t="s">
        <v>20</v>
      </c>
      <c r="D48" s="170" t="s">
        <v>167</v>
      </c>
      <c r="E48" s="170" t="s">
        <v>11</v>
      </c>
      <c r="F48" s="243">
        <v>134500</v>
      </c>
      <c r="G48" s="220"/>
      <c r="H48" s="221"/>
      <c r="I48" s="244"/>
      <c r="J48" s="221">
        <v>134500</v>
      </c>
      <c r="K48" s="244"/>
      <c r="L48" s="221">
        <v>134500</v>
      </c>
      <c r="M48" s="221"/>
      <c r="N48" s="221">
        <v>134500</v>
      </c>
      <c r="O48" s="244"/>
      <c r="P48" s="221">
        <v>134500</v>
      </c>
      <c r="Q48" s="171" t="s">
        <v>180</v>
      </c>
      <c r="R48" s="164"/>
      <c r="S48" s="226"/>
    </row>
    <row r="49" spans="1:18" s="164" customFormat="1" x14ac:dyDescent="0.3">
      <c r="A49" s="242" t="s">
        <v>195</v>
      </c>
      <c r="B49" s="242"/>
      <c r="C49" s="170" t="s">
        <v>20</v>
      </c>
      <c r="D49" s="170" t="s">
        <v>161</v>
      </c>
      <c r="E49" s="170" t="s">
        <v>11</v>
      </c>
      <c r="F49" s="243">
        <v>99218</v>
      </c>
      <c r="G49" s="220"/>
      <c r="H49" s="221"/>
      <c r="I49" s="244"/>
      <c r="J49" s="221">
        <v>8978</v>
      </c>
      <c r="K49" s="244"/>
      <c r="L49" s="221">
        <v>88844</v>
      </c>
      <c r="M49" s="244"/>
      <c r="N49" s="221">
        <v>99218</v>
      </c>
      <c r="O49" s="244"/>
      <c r="P49" s="221">
        <f>+F49</f>
        <v>99218</v>
      </c>
      <c r="Q49" s="171"/>
      <c r="R49" s="163"/>
    </row>
    <row r="50" spans="1:18" s="164" customFormat="1" x14ac:dyDescent="0.3">
      <c r="A50" s="242" t="s">
        <v>233</v>
      </c>
      <c r="B50" s="242"/>
      <c r="C50" s="170" t="s">
        <v>20</v>
      </c>
      <c r="D50" s="170" t="s">
        <v>161</v>
      </c>
      <c r="E50" s="170" t="s">
        <v>11</v>
      </c>
      <c r="F50" s="243">
        <v>2173</v>
      </c>
      <c r="G50" s="220"/>
      <c r="H50" s="221"/>
      <c r="I50" s="244"/>
      <c r="J50" s="221"/>
      <c r="K50" s="244"/>
      <c r="L50" s="221">
        <v>380</v>
      </c>
      <c r="M50" s="244"/>
      <c r="N50" s="221">
        <v>1730</v>
      </c>
      <c r="O50" s="244"/>
      <c r="P50" s="221">
        <f>+F50</f>
        <v>2173</v>
      </c>
      <c r="Q50" s="171"/>
      <c r="R50" s="163"/>
    </row>
    <row r="51" spans="1:18" s="164" customFormat="1" x14ac:dyDescent="0.3">
      <c r="A51" s="242" t="s">
        <v>177</v>
      </c>
      <c r="B51" s="242"/>
      <c r="C51" s="170" t="s">
        <v>20</v>
      </c>
      <c r="D51" s="170" t="s">
        <v>176</v>
      </c>
      <c r="E51" s="170" t="s">
        <v>11</v>
      </c>
      <c r="F51" s="243">
        <v>51000</v>
      </c>
      <c r="G51" s="220"/>
      <c r="H51" s="221"/>
      <c r="I51" s="244"/>
      <c r="J51" s="221">
        <v>1050</v>
      </c>
      <c r="K51" s="244"/>
      <c r="L51" s="221">
        <v>1050</v>
      </c>
      <c r="M51" s="244"/>
      <c r="N51" s="221">
        <f>+F51</f>
        <v>51000</v>
      </c>
      <c r="O51" s="244"/>
      <c r="P51" s="221">
        <v>51000</v>
      </c>
      <c r="Q51" s="171" t="s">
        <v>316</v>
      </c>
      <c r="R51" s="163"/>
    </row>
    <row r="52" spans="1:18" s="164" customFormat="1" x14ac:dyDescent="0.3">
      <c r="A52" s="242" t="s">
        <v>178</v>
      </c>
      <c r="B52" s="242"/>
      <c r="C52" s="170" t="s">
        <v>20</v>
      </c>
      <c r="D52" s="170" t="s">
        <v>176</v>
      </c>
      <c r="E52" s="170" t="s">
        <v>11</v>
      </c>
      <c r="F52" s="243">
        <v>19300</v>
      </c>
      <c r="G52" s="220"/>
      <c r="H52" s="221"/>
      <c r="I52" s="244"/>
      <c r="J52" s="221"/>
      <c r="K52" s="244"/>
      <c r="L52" s="221">
        <v>787</v>
      </c>
      <c r="M52" s="244"/>
      <c r="N52" s="221">
        <v>12177</v>
      </c>
      <c r="O52" s="244"/>
      <c r="P52" s="221">
        <v>12177</v>
      </c>
      <c r="Q52" s="171" t="s">
        <v>316</v>
      </c>
      <c r="R52" s="163"/>
    </row>
    <row r="53" spans="1:18" s="164" customFormat="1" hidden="1" x14ac:dyDescent="0.3">
      <c r="A53" s="248" t="s">
        <v>201</v>
      </c>
      <c r="B53" s="248"/>
      <c r="C53" s="170" t="s">
        <v>20</v>
      </c>
      <c r="D53" s="170" t="s">
        <v>191</v>
      </c>
      <c r="E53" s="170" t="s">
        <v>11</v>
      </c>
      <c r="F53" s="221">
        <v>40557</v>
      </c>
      <c r="G53" s="220"/>
      <c r="H53" s="221"/>
      <c r="I53" s="244"/>
      <c r="J53" s="221">
        <v>40557</v>
      </c>
      <c r="K53" s="244"/>
      <c r="L53" s="221">
        <v>40557</v>
      </c>
      <c r="M53" s="221"/>
      <c r="N53" s="221">
        <v>40557</v>
      </c>
      <c r="O53" s="244"/>
      <c r="P53" s="221">
        <v>40557</v>
      </c>
      <c r="Q53" s="171" t="s">
        <v>182</v>
      </c>
      <c r="R53" s="163"/>
    </row>
    <row r="54" spans="1:18" s="164" customFormat="1" x14ac:dyDescent="0.3">
      <c r="A54" s="248" t="s">
        <v>203</v>
      </c>
      <c r="B54" s="248"/>
      <c r="C54" s="170" t="s">
        <v>20</v>
      </c>
      <c r="D54" s="170" t="s">
        <v>191</v>
      </c>
      <c r="E54" s="170" t="s">
        <v>11</v>
      </c>
      <c r="F54" s="243">
        <v>18675</v>
      </c>
      <c r="G54" s="220"/>
      <c r="H54" s="221"/>
      <c r="I54" s="244"/>
      <c r="J54" s="243">
        <v>18675</v>
      </c>
      <c r="K54" s="244"/>
      <c r="L54" s="243">
        <v>18675</v>
      </c>
      <c r="M54" s="244"/>
      <c r="N54" s="243">
        <v>18675</v>
      </c>
      <c r="O54" s="244"/>
      <c r="P54" s="243">
        <v>18675</v>
      </c>
      <c r="Q54" s="171" t="s">
        <v>182</v>
      </c>
      <c r="R54" s="163"/>
    </row>
    <row r="55" spans="1:18" s="164" customFormat="1" x14ac:dyDescent="0.3">
      <c r="A55" s="242" t="s">
        <v>24</v>
      </c>
      <c r="B55" s="242"/>
      <c r="C55" s="170" t="s">
        <v>20</v>
      </c>
      <c r="D55" s="170" t="s">
        <v>161</v>
      </c>
      <c r="E55" s="170" t="s">
        <v>11</v>
      </c>
      <c r="F55" s="243">
        <v>74680</v>
      </c>
      <c r="G55" s="220"/>
      <c r="H55" s="221"/>
      <c r="I55" s="244"/>
      <c r="J55" s="221">
        <v>10440</v>
      </c>
      <c r="K55" s="244"/>
      <c r="L55" s="221">
        <v>71200</v>
      </c>
      <c r="M55" s="244"/>
      <c r="N55" s="221">
        <v>97241</v>
      </c>
      <c r="O55" s="244"/>
      <c r="P55" s="221">
        <v>97805</v>
      </c>
      <c r="Q55" s="171" t="s">
        <v>317</v>
      </c>
      <c r="R55" s="163"/>
    </row>
    <row r="56" spans="1:18" s="108" customFormat="1" ht="46.8" hidden="1" x14ac:dyDescent="0.3">
      <c r="A56" s="120" t="s">
        <v>25</v>
      </c>
      <c r="B56" s="120"/>
      <c r="C56" s="116" t="s">
        <v>20</v>
      </c>
      <c r="D56" s="116" t="s">
        <v>167</v>
      </c>
      <c r="E56" s="116" t="s">
        <v>11</v>
      </c>
      <c r="F56" s="117">
        <v>233484</v>
      </c>
      <c r="G56" s="103"/>
      <c r="H56" s="106">
        <v>38216</v>
      </c>
      <c r="I56" s="118"/>
      <c r="J56" s="106">
        <v>100952</v>
      </c>
      <c r="K56" s="118"/>
      <c r="L56" s="106">
        <f>F56</f>
        <v>233484</v>
      </c>
      <c r="M56" s="118"/>
      <c r="N56" s="106">
        <f>F56</f>
        <v>233484</v>
      </c>
      <c r="O56" s="118"/>
      <c r="P56" s="106">
        <f>F56</f>
        <v>233484</v>
      </c>
      <c r="Q56" s="99" t="s">
        <v>181</v>
      </c>
      <c r="R56" s="119"/>
    </row>
    <row r="57" spans="1:18" s="108" customFormat="1" ht="46.8" hidden="1" x14ac:dyDescent="0.3">
      <c r="A57" s="120" t="s">
        <v>196</v>
      </c>
      <c r="B57" s="120"/>
      <c r="C57" s="101" t="s">
        <v>33</v>
      </c>
      <c r="D57" s="86" t="s">
        <v>34</v>
      </c>
      <c r="E57" s="86" t="s">
        <v>26</v>
      </c>
      <c r="F57" s="117">
        <v>450000</v>
      </c>
      <c r="G57" s="103"/>
      <c r="H57" s="106"/>
      <c r="I57" s="118"/>
      <c r="J57" s="106"/>
      <c r="K57" s="118"/>
      <c r="L57" s="106">
        <f>F57*0.5</f>
        <v>225000</v>
      </c>
      <c r="M57" s="118"/>
      <c r="N57" s="106">
        <f>F57*0.5</f>
        <v>225000</v>
      </c>
      <c r="O57" s="118"/>
      <c r="P57" s="106"/>
      <c r="Q57" s="99" t="s">
        <v>197</v>
      </c>
      <c r="R57" s="119"/>
    </row>
    <row r="58" spans="1:18" s="116" customFormat="1" ht="46.8" hidden="1" x14ac:dyDescent="0.3">
      <c r="A58" s="120" t="s">
        <v>198</v>
      </c>
      <c r="B58" s="120"/>
      <c r="C58" s="116" t="s">
        <v>20</v>
      </c>
      <c r="D58" s="116" t="s">
        <v>167</v>
      </c>
      <c r="E58" s="116" t="s">
        <v>11</v>
      </c>
      <c r="F58" s="117">
        <v>650000</v>
      </c>
      <c r="G58" s="103"/>
      <c r="H58" s="106"/>
      <c r="I58" s="118"/>
      <c r="J58" s="106">
        <v>30000</v>
      </c>
      <c r="K58" s="118"/>
      <c r="L58" s="106">
        <v>180000</v>
      </c>
      <c r="M58" s="118"/>
      <c r="N58" s="106">
        <v>180000</v>
      </c>
      <c r="O58" s="118"/>
      <c r="P58" s="106">
        <v>180000</v>
      </c>
      <c r="Q58" s="99" t="s">
        <v>238</v>
      </c>
      <c r="R58" s="213"/>
    </row>
    <row r="59" spans="1:18" s="86" customFormat="1" ht="16.2" thickBot="1" x14ac:dyDescent="0.35">
      <c r="A59" s="94"/>
      <c r="B59" s="94"/>
      <c r="F59" s="148">
        <f t="shared" ref="F59" si="4">SUM(F4:F58)</f>
        <v>5185640.92</v>
      </c>
      <c r="G59" s="149">
        <v>0</v>
      </c>
      <c r="H59" s="150">
        <f>0</f>
        <v>0</v>
      </c>
      <c r="I59" s="149">
        <f>I44+I19+I18</f>
        <v>195760.8</v>
      </c>
      <c r="J59" s="150">
        <f>J47+J49+J51+J54+J55</f>
        <v>41223</v>
      </c>
      <c r="K59" s="149">
        <f>K18+K19+K21+K44</f>
        <v>409647.6</v>
      </c>
      <c r="L59" s="150">
        <f>L47+L49+L50+L51+L52+L54+L55</f>
        <v>259144</v>
      </c>
      <c r="M59" s="149">
        <f>M18+M19+M21+M44</f>
        <v>287040.60000000003</v>
      </c>
      <c r="N59" s="150">
        <f>N47+N49+N50+N51+N52+N54+N55</f>
        <v>444779</v>
      </c>
      <c r="O59" s="149">
        <f>O18+O19+O21+O44</f>
        <v>295651.81800000003</v>
      </c>
      <c r="P59" s="150">
        <f>P47+P49+P50+P51+P52+P54+P55</f>
        <v>445786</v>
      </c>
      <c r="Q59" s="110"/>
    </row>
    <row r="60" spans="1:18" s="86" customFormat="1" x14ac:dyDescent="0.3">
      <c r="A60" s="151"/>
      <c r="B60" s="151"/>
      <c r="F60" s="95"/>
      <c r="G60" s="96"/>
      <c r="H60" s="97"/>
      <c r="I60" s="96"/>
      <c r="J60" s="97"/>
      <c r="K60" s="96"/>
      <c r="L60" s="97"/>
      <c r="M60" s="96"/>
      <c r="N60" s="97"/>
      <c r="O60" s="96"/>
      <c r="P60" s="109"/>
      <c r="Q60" s="110"/>
    </row>
    <row r="61" spans="1:18" s="86" customFormat="1" ht="16.2" thickBot="1" x14ac:dyDescent="0.35">
      <c r="A61" s="94"/>
      <c r="B61" s="94"/>
      <c r="F61" s="152" t="s">
        <v>105</v>
      </c>
      <c r="G61" s="186"/>
      <c r="H61" s="187">
        <v>0</v>
      </c>
      <c r="I61" s="272"/>
      <c r="J61" s="272">
        <f>I59+J59</f>
        <v>236983.8</v>
      </c>
      <c r="K61" s="273"/>
      <c r="L61" s="272">
        <f>K59+L59</f>
        <v>668791.6</v>
      </c>
      <c r="M61" s="273"/>
      <c r="N61" s="272">
        <f>M59+N59</f>
        <v>731819.60000000009</v>
      </c>
      <c r="O61" s="273"/>
      <c r="P61" s="272">
        <f>O59+P59</f>
        <v>741437.81799999997</v>
      </c>
      <c r="Q61" s="214" t="s">
        <v>46</v>
      </c>
    </row>
    <row r="62" spans="1:18" s="86" customFormat="1" ht="16.2" hidden="1" thickTop="1" x14ac:dyDescent="0.3">
      <c r="A62" s="94"/>
      <c r="B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Q62" s="110"/>
    </row>
    <row r="63" spans="1:18" s="86" customFormat="1" hidden="1" x14ac:dyDescent="0.3">
      <c r="A63" s="195" t="s">
        <v>107</v>
      </c>
      <c r="B63" s="195"/>
      <c r="F63" s="95"/>
      <c r="G63" s="95"/>
      <c r="H63" s="95"/>
      <c r="I63" s="95"/>
      <c r="J63" s="95"/>
      <c r="K63" s="95"/>
      <c r="L63" s="95"/>
      <c r="M63" s="95"/>
      <c r="N63" s="95"/>
      <c r="O63" s="95"/>
      <c r="Q63" s="110"/>
    </row>
    <row r="64" spans="1:18" s="94" customFormat="1" ht="16.5" hidden="1" customHeight="1" thickBot="1" x14ac:dyDescent="0.35">
      <c r="A64" s="89" t="s">
        <v>1</v>
      </c>
      <c r="B64" s="89"/>
      <c r="C64" s="89" t="s">
        <v>2</v>
      </c>
      <c r="D64" s="89" t="s">
        <v>3</v>
      </c>
      <c r="E64" s="89" t="s">
        <v>0</v>
      </c>
      <c r="F64" s="154" t="s">
        <v>4</v>
      </c>
      <c r="G64" s="188">
        <v>2017</v>
      </c>
      <c r="H64" s="188"/>
      <c r="I64" s="298">
        <v>2018</v>
      </c>
      <c r="J64" s="298"/>
      <c r="K64" s="298">
        <v>2019</v>
      </c>
      <c r="L64" s="298"/>
      <c r="M64" s="298">
        <v>2020</v>
      </c>
      <c r="N64" s="298"/>
      <c r="O64" s="298">
        <v>2021</v>
      </c>
      <c r="P64" s="298"/>
      <c r="Q64" s="93" t="s">
        <v>39</v>
      </c>
    </row>
    <row r="65" spans="1:18" s="86" customFormat="1" hidden="1" x14ac:dyDescent="0.3">
      <c r="A65" s="94" t="s">
        <v>47</v>
      </c>
      <c r="B65" s="94"/>
      <c r="C65" s="86" t="s">
        <v>9</v>
      </c>
      <c r="D65" s="86" t="s">
        <v>10</v>
      </c>
      <c r="E65" s="86" t="s">
        <v>5</v>
      </c>
      <c r="F65" s="95">
        <v>-148000</v>
      </c>
      <c r="G65" s="111"/>
      <c r="H65" s="111"/>
      <c r="I65" s="111"/>
      <c r="J65" s="111"/>
      <c r="K65" s="111">
        <v>-37000</v>
      </c>
      <c r="L65" s="111"/>
      <c r="M65" s="111">
        <v>-74000</v>
      </c>
      <c r="N65" s="111"/>
      <c r="O65" s="111">
        <v>-37000</v>
      </c>
      <c r="P65" s="155"/>
      <c r="Q65" s="99" t="s">
        <v>48</v>
      </c>
      <c r="R65" s="114"/>
    </row>
    <row r="66" spans="1:18" s="86" customFormat="1" hidden="1" x14ac:dyDescent="0.3">
      <c r="A66" s="86" t="s">
        <v>227</v>
      </c>
      <c r="C66" s="86" t="s">
        <v>9</v>
      </c>
      <c r="D66" s="86" t="s">
        <v>10</v>
      </c>
      <c r="E66" s="86" t="s">
        <v>5</v>
      </c>
      <c r="F66" s="111">
        <v>-87515</v>
      </c>
      <c r="G66" s="111"/>
      <c r="H66" s="111"/>
      <c r="I66" s="111">
        <v>0</v>
      </c>
      <c r="J66" s="111"/>
      <c r="K66" s="111">
        <v>-87515.19</v>
      </c>
      <c r="L66" s="111"/>
      <c r="M66" s="111">
        <v>-240287.94736799999</v>
      </c>
      <c r="N66" s="111"/>
      <c r="O66" s="111">
        <v>-304808.81035290001</v>
      </c>
      <c r="P66" s="156"/>
      <c r="Q66" s="99"/>
      <c r="R66" s="114"/>
    </row>
    <row r="67" spans="1:18" s="86" customFormat="1" hidden="1" x14ac:dyDescent="0.3">
      <c r="A67" s="94" t="s">
        <v>49</v>
      </c>
      <c r="B67" s="94"/>
      <c r="C67" s="86" t="s">
        <v>9</v>
      </c>
      <c r="D67" s="86" t="s">
        <v>10</v>
      </c>
      <c r="E67" s="86" t="s">
        <v>5</v>
      </c>
      <c r="F67" s="95">
        <v>-829895</v>
      </c>
      <c r="G67" s="111"/>
      <c r="H67" s="111"/>
      <c r="I67" s="111">
        <v>0</v>
      </c>
      <c r="J67" s="111"/>
      <c r="K67" s="111">
        <v>-292022.46388064302</v>
      </c>
      <c r="L67" s="111"/>
      <c r="M67" s="111">
        <v>-809875.63316231605</v>
      </c>
      <c r="N67" s="111"/>
      <c r="O67" s="111">
        <v>-1052838.32311101</v>
      </c>
      <c r="P67" s="156"/>
      <c r="Q67" s="99" t="s">
        <v>50</v>
      </c>
      <c r="R67" s="114"/>
    </row>
    <row r="68" spans="1:18" s="86" customFormat="1" hidden="1" x14ac:dyDescent="0.3">
      <c r="A68" s="94" t="s">
        <v>51</v>
      </c>
      <c r="B68" s="94"/>
      <c r="C68" s="86" t="s">
        <v>52</v>
      </c>
      <c r="D68" s="86" t="s">
        <v>53</v>
      </c>
      <c r="E68" s="86" t="s">
        <v>5</v>
      </c>
      <c r="F68" s="95">
        <v>-219451</v>
      </c>
      <c r="G68" s="111"/>
      <c r="H68" s="111"/>
      <c r="I68" s="111">
        <v>0</v>
      </c>
      <c r="J68" s="111"/>
      <c r="K68" s="111">
        <v>-77017.827814686694</v>
      </c>
      <c r="L68" s="111"/>
      <c r="M68" s="111">
        <v>-213596.109139398</v>
      </c>
      <c r="N68" s="111"/>
      <c r="O68" s="111">
        <v>-277674.941881217</v>
      </c>
      <c r="P68" s="156"/>
      <c r="Q68" s="99" t="s">
        <v>54</v>
      </c>
      <c r="R68" s="114"/>
    </row>
    <row r="69" spans="1:18" s="86" customFormat="1" hidden="1" x14ac:dyDescent="0.3">
      <c r="A69" s="94" t="s">
        <v>55</v>
      </c>
      <c r="B69" s="94"/>
      <c r="C69" s="86" t="s">
        <v>52</v>
      </c>
      <c r="D69" s="86" t="s">
        <v>53</v>
      </c>
      <c r="E69" s="86" t="s">
        <v>5</v>
      </c>
      <c r="F69" s="95">
        <v>-248115</v>
      </c>
      <c r="G69" s="111"/>
      <c r="H69" s="111"/>
      <c r="I69" s="111">
        <v>0</v>
      </c>
      <c r="J69" s="111"/>
      <c r="K69" s="111">
        <v>-87077.836984320005</v>
      </c>
      <c r="L69" s="111"/>
      <c r="M69" s="111">
        <v>-241495.867903181</v>
      </c>
      <c r="N69" s="111"/>
      <c r="O69" s="111">
        <v>-313944.628274135</v>
      </c>
      <c r="P69" s="156"/>
      <c r="Q69" s="99" t="s">
        <v>54</v>
      </c>
      <c r="R69" s="114"/>
    </row>
    <row r="70" spans="1:18" s="86" customFormat="1" hidden="1" x14ac:dyDescent="0.3">
      <c r="A70" s="94" t="s">
        <v>56</v>
      </c>
      <c r="B70" s="94"/>
      <c r="C70" s="86" t="s">
        <v>9</v>
      </c>
      <c r="D70" s="86" t="s">
        <v>10</v>
      </c>
      <c r="E70" s="86" t="s">
        <v>5</v>
      </c>
      <c r="F70" s="95">
        <v>-214776</v>
      </c>
      <c r="G70" s="111"/>
      <c r="H70" s="111"/>
      <c r="I70" s="111">
        <v>0</v>
      </c>
      <c r="J70" s="111"/>
      <c r="K70" s="111">
        <v>-103081.204426948</v>
      </c>
      <c r="L70" s="111"/>
      <c r="M70" s="111">
        <v>-285053.89064198802</v>
      </c>
      <c r="N70" s="111"/>
      <c r="O70" s="111">
        <v>-369501.10574467701</v>
      </c>
      <c r="P70" s="156"/>
      <c r="Q70" s="99" t="s">
        <v>57</v>
      </c>
      <c r="R70" s="114"/>
    </row>
    <row r="71" spans="1:18" s="86" customFormat="1" hidden="1" x14ac:dyDescent="0.3">
      <c r="A71" s="143" t="s">
        <v>58</v>
      </c>
      <c r="B71" s="143"/>
      <c r="C71" s="86" t="s">
        <v>52</v>
      </c>
      <c r="D71" s="86" t="s">
        <v>53</v>
      </c>
      <c r="E71" s="86" t="s">
        <v>5</v>
      </c>
      <c r="F71" s="145">
        <v>-2741156</v>
      </c>
      <c r="G71" s="111"/>
      <c r="H71" s="111"/>
      <c r="I71" s="111">
        <v>0</v>
      </c>
      <c r="J71" s="111"/>
      <c r="K71" s="111">
        <v>-1371502.5417571201</v>
      </c>
      <c r="L71" s="111"/>
      <c r="M71" s="111">
        <v>-3813572.7588315499</v>
      </c>
      <c r="N71" s="111"/>
      <c r="O71" s="111">
        <v>-4970971.9407323599</v>
      </c>
      <c r="P71" s="156"/>
      <c r="Q71" s="157" t="s">
        <v>59</v>
      </c>
      <c r="R71" s="114"/>
    </row>
    <row r="72" spans="1:18" s="86" customFormat="1" hidden="1" x14ac:dyDescent="0.3">
      <c r="A72" s="94" t="s">
        <v>60</v>
      </c>
      <c r="B72" s="94"/>
      <c r="C72" s="86" t="s">
        <v>61</v>
      </c>
      <c r="E72" s="86" t="s">
        <v>62</v>
      </c>
      <c r="F72" s="95">
        <v>-1570233</v>
      </c>
      <c r="G72" s="111"/>
      <c r="H72" s="111"/>
      <c r="I72" s="111">
        <v>0</v>
      </c>
      <c r="J72" s="111"/>
      <c r="K72" s="111">
        <v>-390801.84142294701</v>
      </c>
      <c r="L72" s="111"/>
      <c r="M72" s="111">
        <v>-1080697.3588149201</v>
      </c>
      <c r="N72" s="111"/>
      <c r="O72" s="111">
        <v>-1400853.9513638399</v>
      </c>
      <c r="P72" s="156"/>
      <c r="Q72" s="99" t="s">
        <v>63</v>
      </c>
      <c r="R72" s="114"/>
    </row>
    <row r="73" spans="1:18" s="86" customFormat="1" hidden="1" x14ac:dyDescent="0.3">
      <c r="A73" s="94" t="s">
        <v>64</v>
      </c>
      <c r="B73" s="94"/>
      <c r="C73" s="86" t="s">
        <v>61</v>
      </c>
      <c r="E73" s="86" t="s">
        <v>62</v>
      </c>
      <c r="F73" s="95">
        <v>-324081</v>
      </c>
      <c r="G73" s="111">
        <v>-43380.51</v>
      </c>
      <c r="H73" s="116"/>
      <c r="I73" s="111">
        <v>-44681.925300000003</v>
      </c>
      <c r="J73" s="111"/>
      <c r="K73" s="111">
        <v>-112432.05501499699</v>
      </c>
      <c r="L73" s="111"/>
      <c r="M73" s="111">
        <v>-310912.10946813802</v>
      </c>
      <c r="N73" s="111"/>
      <c r="O73" s="111">
        <v>-403019.82189807401</v>
      </c>
      <c r="P73" s="156"/>
      <c r="Q73" s="99" t="s">
        <v>63</v>
      </c>
      <c r="R73" s="114"/>
    </row>
    <row r="74" spans="1:18" s="86" customFormat="1" hidden="1" x14ac:dyDescent="0.3">
      <c r="A74" s="94" t="s">
        <v>69</v>
      </c>
      <c r="B74" s="94"/>
      <c r="C74" s="86" t="s">
        <v>66</v>
      </c>
      <c r="D74" s="86" t="s">
        <v>67</v>
      </c>
      <c r="E74" s="86" t="s">
        <v>26</v>
      </c>
      <c r="F74" s="95">
        <v>-383903</v>
      </c>
      <c r="G74" s="111"/>
      <c r="H74" s="111"/>
      <c r="I74" s="111">
        <v>0</v>
      </c>
      <c r="J74" s="111"/>
      <c r="K74" s="111">
        <v>-140325.36064097899</v>
      </c>
      <c r="L74" s="111"/>
      <c r="M74" s="111">
        <v>-389281.26046616299</v>
      </c>
      <c r="N74" s="111"/>
      <c r="O74" s="111">
        <v>-506211.619078686</v>
      </c>
      <c r="P74" s="156"/>
      <c r="Q74" s="99" t="s">
        <v>68</v>
      </c>
      <c r="R74" s="114"/>
    </row>
    <row r="75" spans="1:18" s="86" customFormat="1" hidden="1" x14ac:dyDescent="0.3">
      <c r="A75" s="94" t="s">
        <v>70</v>
      </c>
      <c r="B75" s="94"/>
      <c r="C75" s="86" t="s">
        <v>66</v>
      </c>
      <c r="D75" s="86" t="s">
        <v>67</v>
      </c>
      <c r="E75" s="86" t="s">
        <v>26</v>
      </c>
      <c r="F75" s="95">
        <v>-193781</v>
      </c>
      <c r="G75" s="111"/>
      <c r="H75" s="111"/>
      <c r="I75" s="111">
        <v>0</v>
      </c>
      <c r="J75" s="111"/>
      <c r="K75" s="111">
        <v>-70831.3684610239</v>
      </c>
      <c r="L75" s="111"/>
      <c r="M75" s="111">
        <v>-196495.66029334199</v>
      </c>
      <c r="N75" s="111"/>
      <c r="O75" s="111">
        <v>-255518.04425395399</v>
      </c>
      <c r="P75" s="156"/>
      <c r="Q75" s="99" t="s">
        <v>68</v>
      </c>
      <c r="R75" s="114"/>
    </row>
    <row r="76" spans="1:18" s="86" customFormat="1" hidden="1" x14ac:dyDescent="0.3">
      <c r="A76" s="94" t="s">
        <v>71</v>
      </c>
      <c r="B76" s="94"/>
      <c r="C76" s="86" t="s">
        <v>66</v>
      </c>
      <c r="D76" s="86" t="s">
        <v>67</v>
      </c>
      <c r="E76" s="86" t="s">
        <v>26</v>
      </c>
      <c r="F76" s="95">
        <v>-95334</v>
      </c>
      <c r="G76" s="111"/>
      <c r="H76" s="111"/>
      <c r="I76" s="111">
        <v>0</v>
      </c>
      <c r="J76" s="111"/>
      <c r="K76" s="111">
        <v>-41714.2515680836</v>
      </c>
      <c r="L76" s="111"/>
      <c r="M76" s="111">
        <v>-112350.38422337201</v>
      </c>
      <c r="N76" s="111"/>
      <c r="O76" s="111">
        <v>-141842.36008200701</v>
      </c>
      <c r="P76" s="156"/>
      <c r="Q76" s="99" t="s">
        <v>68</v>
      </c>
      <c r="R76" s="114"/>
    </row>
    <row r="77" spans="1:18" s="86" customFormat="1" hidden="1" x14ac:dyDescent="0.3">
      <c r="A77" s="94" t="s">
        <v>72</v>
      </c>
      <c r="B77" s="94"/>
      <c r="C77" s="86" t="s">
        <v>66</v>
      </c>
      <c r="D77" s="86" t="s">
        <v>67</v>
      </c>
      <c r="E77" s="86" t="s">
        <v>26</v>
      </c>
      <c r="F77" s="95">
        <v>-48454</v>
      </c>
      <c r="G77" s="111"/>
      <c r="H77" s="111"/>
      <c r="I77" s="111">
        <v>0</v>
      </c>
      <c r="J77" s="111"/>
      <c r="K77" s="111">
        <v>-17711.024019385601</v>
      </c>
      <c r="L77" s="111"/>
      <c r="M77" s="111">
        <v>-49132.7420996449</v>
      </c>
      <c r="N77" s="111"/>
      <c r="O77" s="111">
        <v>-63890.989507825798</v>
      </c>
      <c r="P77" s="156"/>
      <c r="Q77" s="99" t="s">
        <v>68</v>
      </c>
      <c r="R77" s="114"/>
    </row>
    <row r="78" spans="1:18" s="86" customFormat="1" hidden="1" x14ac:dyDescent="0.3">
      <c r="A78" s="94" t="s">
        <v>73</v>
      </c>
      <c r="B78" s="94"/>
      <c r="C78" s="86" t="s">
        <v>66</v>
      </c>
      <c r="D78" s="86" t="s">
        <v>67</v>
      </c>
      <c r="E78" s="86" t="s">
        <v>26</v>
      </c>
      <c r="F78" s="95">
        <v>-102647</v>
      </c>
      <c r="G78" s="111"/>
      <c r="H78" s="111"/>
      <c r="I78" s="111">
        <v>0</v>
      </c>
      <c r="J78" s="111"/>
      <c r="K78" s="111">
        <v>-36024.6675374775</v>
      </c>
      <c r="L78" s="111"/>
      <c r="M78" s="111">
        <v>-99908.411303937493</v>
      </c>
      <c r="N78" s="111"/>
      <c r="O78" s="111">
        <v>-129880.93469511899</v>
      </c>
      <c r="P78" s="156"/>
      <c r="Q78" s="99" t="s">
        <v>68</v>
      </c>
      <c r="R78" s="114"/>
    </row>
    <row r="79" spans="1:18" s="144" customFormat="1" hidden="1" x14ac:dyDescent="0.3">
      <c r="A79" s="143" t="s">
        <v>74</v>
      </c>
      <c r="B79" s="143"/>
      <c r="C79" s="144" t="s">
        <v>66</v>
      </c>
      <c r="D79" s="144" t="s">
        <v>67</v>
      </c>
      <c r="E79" s="144" t="s">
        <v>26</v>
      </c>
      <c r="F79" s="145">
        <v>-156882</v>
      </c>
      <c r="G79" s="111"/>
      <c r="H79" s="111"/>
      <c r="I79" s="111">
        <v>0</v>
      </c>
      <c r="J79" s="111"/>
      <c r="K79" s="111">
        <v>-55058.783625644799</v>
      </c>
      <c r="L79" s="111"/>
      <c r="M79" s="111">
        <v>-152696.35992178801</v>
      </c>
      <c r="N79" s="111"/>
      <c r="O79" s="111">
        <v>-198505.26789832499</v>
      </c>
      <c r="P79" s="156"/>
      <c r="Q79" s="107" t="s">
        <v>75</v>
      </c>
      <c r="R79" s="158"/>
    </row>
    <row r="80" spans="1:18" s="86" customFormat="1" hidden="1" x14ac:dyDescent="0.3">
      <c r="A80" s="94" t="s">
        <v>76</v>
      </c>
      <c r="B80" s="94"/>
      <c r="C80" s="86" t="s">
        <v>77</v>
      </c>
      <c r="D80" s="86" t="s">
        <v>78</v>
      </c>
      <c r="E80" s="86" t="s">
        <v>79</v>
      </c>
      <c r="F80" s="95">
        <f>114700/3</f>
        <v>38233.333333333336</v>
      </c>
      <c r="G80" s="111"/>
      <c r="H80" s="111"/>
      <c r="I80" s="111">
        <v>38233</v>
      </c>
      <c r="J80" s="111"/>
      <c r="K80" s="111">
        <v>38233</v>
      </c>
      <c r="L80" s="111"/>
      <c r="M80" s="111">
        <v>38233</v>
      </c>
      <c r="N80" s="111"/>
      <c r="O80" s="111">
        <v>38233</v>
      </c>
      <c r="P80" s="156"/>
      <c r="Q80" s="99" t="s">
        <v>80</v>
      </c>
      <c r="R80" s="114"/>
    </row>
    <row r="81" spans="1:18" s="86" customFormat="1" hidden="1" x14ac:dyDescent="0.3">
      <c r="A81" s="94" t="s">
        <v>81</v>
      </c>
      <c r="B81" s="94"/>
      <c r="C81" s="86" t="s">
        <v>82</v>
      </c>
      <c r="D81" s="86" t="s">
        <v>83</v>
      </c>
      <c r="E81" s="86" t="s">
        <v>38</v>
      </c>
      <c r="F81" s="95">
        <v>1240000</v>
      </c>
      <c r="G81" s="111"/>
      <c r="H81" s="111"/>
      <c r="I81" s="111">
        <v>1240000</v>
      </c>
      <c r="J81" s="111"/>
      <c r="K81" s="111">
        <v>1240000</v>
      </c>
      <c r="L81" s="111"/>
      <c r="M81" s="111">
        <v>1240000</v>
      </c>
      <c r="N81" s="111"/>
      <c r="O81" s="111">
        <v>1240000</v>
      </c>
      <c r="P81" s="159"/>
      <c r="Q81" s="110" t="s">
        <v>84</v>
      </c>
      <c r="R81" s="114"/>
    </row>
    <row r="82" spans="1:18" s="86" customFormat="1" ht="16.2" hidden="1" thickBot="1" x14ac:dyDescent="0.35">
      <c r="A82" s="94"/>
      <c r="B82" s="94"/>
      <c r="F82" s="95"/>
      <c r="G82" s="160"/>
      <c r="H82" s="160">
        <f>SUM(G65:H81)</f>
        <v>-43380.51</v>
      </c>
      <c r="I82" s="161">
        <f>SUM(I65:J81)</f>
        <v>1233551.0747</v>
      </c>
      <c r="J82" s="162"/>
      <c r="K82" s="161">
        <f>SUM(K65:L81)</f>
        <v>-1641883.4171542558</v>
      </c>
      <c r="L82" s="162"/>
      <c r="M82" s="161">
        <f>SUM(M65:N81)</f>
        <v>-6791123.4936377378</v>
      </c>
      <c r="N82" s="162"/>
      <c r="O82" s="161">
        <f>SUM(O65:P81)</f>
        <v>-9148229.73887413</v>
      </c>
      <c r="P82" s="162"/>
      <c r="Q82" s="214" t="s">
        <v>85</v>
      </c>
      <c r="R82" s="114"/>
    </row>
    <row r="83" spans="1:18" s="86" customFormat="1" ht="16.2" hidden="1" thickTop="1" x14ac:dyDescent="0.3">
      <c r="A83" s="151"/>
      <c r="B83" s="151"/>
      <c r="F83" s="95"/>
      <c r="G83" s="95"/>
      <c r="H83" s="95"/>
      <c r="J83" s="95"/>
      <c r="L83" s="95"/>
      <c r="N83" s="95"/>
      <c r="P83" s="95"/>
      <c r="Q83" s="110"/>
      <c r="R83" s="114"/>
    </row>
    <row r="84" spans="1:18" s="86" customFormat="1" hidden="1" x14ac:dyDescent="0.3">
      <c r="A84" s="86" t="s">
        <v>183</v>
      </c>
      <c r="F84" s="95"/>
      <c r="G84" s="95"/>
      <c r="H84" s="95"/>
      <c r="J84" s="95"/>
      <c r="L84" s="95"/>
      <c r="N84" s="95"/>
      <c r="P84" s="95"/>
      <c r="Q84" s="110"/>
      <c r="R84" s="114"/>
    </row>
    <row r="85" spans="1:18" hidden="1" x14ac:dyDescent="0.3">
      <c r="A85" s="85" t="s">
        <v>184</v>
      </c>
    </row>
    <row r="86" spans="1:18" hidden="1" x14ac:dyDescent="0.3">
      <c r="A86" s="85" t="s">
        <v>185</v>
      </c>
    </row>
    <row r="87" spans="1:18" hidden="1" x14ac:dyDescent="0.3"/>
    <row r="88" spans="1:18" hidden="1" x14ac:dyDescent="0.3">
      <c r="A88" s="85" t="s">
        <v>186</v>
      </c>
    </row>
    <row r="89" spans="1:18" hidden="1" x14ac:dyDescent="0.3">
      <c r="A89" s="85" t="s">
        <v>187</v>
      </c>
    </row>
    <row r="90" spans="1:18" hidden="1" x14ac:dyDescent="0.3">
      <c r="A90" s="85" t="s">
        <v>239</v>
      </c>
    </row>
    <row r="91" spans="1:18" hidden="1" x14ac:dyDescent="0.3"/>
    <row r="92" spans="1:18" hidden="1" x14ac:dyDescent="0.3">
      <c r="A92" s="85" t="s">
        <v>188</v>
      </c>
    </row>
    <row r="93" spans="1:18" hidden="1" x14ac:dyDescent="0.3">
      <c r="A93" s="85" t="s">
        <v>189</v>
      </c>
    </row>
    <row r="94" spans="1:18" hidden="1" x14ac:dyDescent="0.3">
      <c r="A94" s="85" t="s">
        <v>190</v>
      </c>
    </row>
    <row r="95" spans="1:18" hidden="1" x14ac:dyDescent="0.3"/>
    <row r="96" spans="1:18" hidden="1" x14ac:dyDescent="0.3"/>
    <row r="97" ht="16.2" thickTop="1" x14ac:dyDescent="0.3"/>
  </sheetData>
  <mergeCells count="4">
    <mergeCell ref="I64:J64"/>
    <mergeCell ref="K64:L64"/>
    <mergeCell ref="M64:N64"/>
    <mergeCell ref="O64:P64"/>
  </mergeCells>
  <printOptions horizontalCentered="1"/>
  <pageMargins left="0.25" right="0.25" top="0.5" bottom="0.5" header="0.3" footer="0.3"/>
  <pageSetup paperSize="17" scale="65" orientation="landscape" r:id="rId1"/>
  <headerFooter>
    <oddFooter>&amp;R&amp;F;  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22B4-C9C3-47DB-AA2E-67F99AC19155}">
  <sheetPr>
    <tabColor rgb="FFE8D3A2"/>
  </sheetPr>
  <dimension ref="A1:H13"/>
  <sheetViews>
    <sheetView workbookViewId="0">
      <selection activeCell="D13" sqref="D13"/>
    </sheetView>
  </sheetViews>
  <sheetFormatPr defaultRowHeight="13.2" x14ac:dyDescent="0.25"/>
  <cols>
    <col min="1" max="1" width="17.33203125" bestFit="1" customWidth="1"/>
    <col min="2" max="3" width="12.109375" bestFit="1" customWidth="1"/>
    <col min="4" max="6" width="13.6640625" bestFit="1" customWidth="1"/>
    <col min="7" max="8" width="12.109375" bestFit="1" customWidth="1"/>
  </cols>
  <sheetData>
    <row r="1" spans="1:8" x14ac:dyDescent="0.25">
      <c r="A1" s="268" t="s">
        <v>243</v>
      </c>
      <c r="B1" s="268">
        <v>2015</v>
      </c>
      <c r="C1" s="268">
        <v>2016</v>
      </c>
      <c r="D1" s="268">
        <v>2017</v>
      </c>
      <c r="E1" s="268">
        <v>2018</v>
      </c>
      <c r="F1" s="268">
        <v>2019</v>
      </c>
      <c r="G1" s="268">
        <v>2020</v>
      </c>
      <c r="H1" s="268">
        <v>2021</v>
      </c>
    </row>
    <row r="2" spans="1:8" x14ac:dyDescent="0.25">
      <c r="A2" s="268" t="s">
        <v>320</v>
      </c>
      <c r="B2" s="269">
        <v>5526.46</v>
      </c>
      <c r="C2" s="269">
        <v>654197.6399999999</v>
      </c>
      <c r="D2" s="269">
        <v>752903.19</v>
      </c>
      <c r="E2" s="269">
        <v>1828799.4750000003</v>
      </c>
      <c r="F2" s="269">
        <v>3250455.9600000004</v>
      </c>
      <c r="G2" s="269">
        <v>3732648.6979214512</v>
      </c>
      <c r="H2" s="269">
        <v>785978.03507753368</v>
      </c>
    </row>
    <row r="3" spans="1:8" x14ac:dyDescent="0.25">
      <c r="A3" s="268" t="s">
        <v>321</v>
      </c>
      <c r="B3" s="271">
        <f>B2</f>
        <v>5526.46</v>
      </c>
      <c r="C3" s="271">
        <f t="shared" ref="C3:H3" si="0">B3+C2</f>
        <v>659724.09999999986</v>
      </c>
      <c r="D3" s="271">
        <f t="shared" si="0"/>
        <v>1412627.2899999998</v>
      </c>
      <c r="E3" s="271">
        <f t="shared" si="0"/>
        <v>3241426.7650000001</v>
      </c>
      <c r="F3" s="271">
        <f t="shared" si="0"/>
        <v>6491882.7250000006</v>
      </c>
      <c r="G3" s="271">
        <f t="shared" si="0"/>
        <v>10224531.422921453</v>
      </c>
      <c r="H3" s="271">
        <f t="shared" si="0"/>
        <v>11010509.457998987</v>
      </c>
    </row>
    <row r="13" spans="1:8" ht="13.8" x14ac:dyDescent="0.25">
      <c r="D13" s="27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24533-B342-4576-98C9-E512898A4B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598173-BF98-486B-884E-68D1EC1742E4}">
  <ds:schemaRefs>
    <ds:schemaRef ds:uri="cee72a49-0225-498e-9094-e3b3c613a582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00BB69-DB01-4BDC-AA3B-63A7E40B1DB7}"/>
</file>

<file path=customXml/itemProps4.xml><?xml version="1.0" encoding="utf-8"?>
<ds:datastoreItem xmlns:ds="http://schemas.openxmlformats.org/officeDocument/2006/customXml" ds:itemID="{74474A36-B2A4-4B76-B01F-282FBDCA5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Org Chart</vt:lpstr>
      <vt:lpstr>O&amp;M Summary by Year</vt:lpstr>
      <vt:lpstr>Summary</vt:lpstr>
      <vt:lpstr>MDM - O&amp;M Detail by Year</vt:lpstr>
      <vt:lpstr>MDM - Capital Detail By Year</vt:lpstr>
      <vt:lpstr>HES - O&amp;M Detail by Year</vt:lpstr>
      <vt:lpstr>HES - Capital Detail By Year</vt:lpstr>
      <vt:lpstr>CI - O&amp;M Detail by Year</vt:lpstr>
      <vt:lpstr>CI - Capital Detail By Year</vt:lpstr>
      <vt:lpstr>Meter Dep - O&amp;M Detail by Year</vt:lpstr>
      <vt:lpstr>Meter - Capital Detail By Year</vt:lpstr>
      <vt:lpstr>Data An - O&amp;M Detail by Year</vt:lpstr>
      <vt:lpstr>Data A - Capital Detail by Year</vt:lpstr>
      <vt:lpstr>Annual Summary</vt:lpstr>
      <vt:lpstr>O&amp;M Detail by Year _ Indirect B</vt:lpstr>
      <vt:lpstr>HES and CI O&amp;M Forecast</vt:lpstr>
      <vt:lpstr>Business Case Comparison</vt:lpstr>
      <vt:lpstr>'CI - O&amp;M Detail by Year'!Print_Area</vt:lpstr>
      <vt:lpstr>'Data An - O&amp;M Detail by Year'!Print_Area</vt:lpstr>
      <vt:lpstr>'HES - O&amp;M Detail by Year'!Print_Area</vt:lpstr>
      <vt:lpstr>'MDM - O&amp;M Detail by Year'!Print_Area</vt:lpstr>
      <vt:lpstr>'Meter Dep - O&amp;M Detail by Year'!Print_Area</vt:lpstr>
      <vt:lpstr>'Org Chart'!Print_Area</vt:lpstr>
      <vt:lpstr>Summary!Print_Area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 Carrozzo</dc:creator>
  <cp:lastModifiedBy>Kimball, Paul</cp:lastModifiedBy>
  <cp:lastPrinted>2020-10-21T17:56:25Z</cp:lastPrinted>
  <dcterms:created xsi:type="dcterms:W3CDTF">2016-08-04T16:59:42Z</dcterms:created>
  <dcterms:modified xsi:type="dcterms:W3CDTF">2020-10-21T17:56:43Z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ESRI_WORKBOOK_ID">
    <vt:lpwstr>18ad57a5f4904ec8b85da0ec4d6dedbb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