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"/>
    </mc:Choice>
  </mc:AlternateContent>
  <xr:revisionPtr revIDLastSave="0" documentId="13_ncr:1_{D3D22062-6B04-4943-9950-05E9CF8B2F11}" xr6:coauthVersionLast="44" xr6:coauthVersionMax="44" xr10:uidLastSave="{00000000-0000-0000-0000-000000000000}"/>
  <bookViews>
    <workbookView xWindow="28680" yWindow="-120" windowWidth="29040" windowHeight="15840" xr2:uid="{00000000-000D-0000-FFFF-FFFF01000000}"/>
  </bookViews>
  <sheets>
    <sheet name="E-CAP SUMMARY" sheetId="1" r:id="rId1"/>
    <sheet name="G-CAP SUMMARY" sheetId="10" r:id="rId2"/>
    <sheet name="AMI - Electric" sheetId="5" r:id="rId3"/>
    <sheet name="AMI - Natural Gas" sheetId="6" r:id="rId4"/>
    <sheet name="NR.1E-New Rev " sheetId="7" r:id="rId5"/>
    <sheet name="NR.1G-New Rev" sheetId="8" r:id="rId6"/>
    <sheet name="NR.2-New Rev Adds" sheetId="9" r:id="rId7"/>
  </sheets>
  <externalReferences>
    <externalReference r:id="rId8"/>
  </externalReferences>
  <definedNames>
    <definedName name="_xlnm._FilterDatabase" localSheetId="4" hidden="1">'NR.1E-New Rev '!$A$10:$A$10</definedName>
    <definedName name="_xlnm._FilterDatabase" localSheetId="5" hidden="1">'NR.1G-New Rev'!$A$10:$A$10</definedName>
    <definedName name="ID_Elec">#REF!</definedName>
    <definedName name="ID_Gas">'[1]DEBT CALC'!#REF!</definedName>
    <definedName name="_xlnm.Print_Area" localSheetId="0">'E-CAP SUMMARY'!$A$1:$K$68</definedName>
    <definedName name="_xlnm.Print_Area" localSheetId="1">'G-CAP SUMMARY'!$A$1:$K$42</definedName>
    <definedName name="_xlnm.Print_Area" localSheetId="4">'NR.1E-New Rev '!$A$1:$X$35</definedName>
    <definedName name="_xlnm.Print_Area" localSheetId="5">'NR.1G-New Rev'!$A$1:$X$35</definedName>
    <definedName name="_xlnm.Print_Area" localSheetId="6">'NR.2-New Rev Adds'!$A$1:$P$52</definedName>
    <definedName name="Print_for_Checking">'[1]ADJ SUMMARY'!#REF!:'[1]ADJ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RC_Adjustment_Print">#REF!</definedName>
    <definedName name="RRC_Rate_Print">#REF!</definedName>
    <definedName name="Summary">#REF!</definedName>
    <definedName name="WA_Elec">#REF!</definedName>
    <definedName name="WA_Gas">'[1]DEBT CALC'!#REF!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SUMMARY'!$E:$J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Q30" i="5"/>
  <c r="C35" i="7"/>
  <c r="I10" i="10"/>
  <c r="K10" i="10" s="1"/>
  <c r="H13" i="10" l="1"/>
  <c r="H12" i="10"/>
  <c r="H11" i="10"/>
  <c r="H10" i="10"/>
  <c r="H14" i="1"/>
  <c r="H12" i="1"/>
  <c r="H10" i="1"/>
  <c r="I10" i="1"/>
  <c r="F10" i="1" l="1"/>
  <c r="I36" i="1" l="1"/>
  <c r="I32" i="10"/>
  <c r="K32" i="10" l="1"/>
  <c r="K36" i="1"/>
  <c r="K25" i="10" l="1"/>
  <c r="K19" i="10"/>
  <c r="K55" i="1"/>
  <c r="K54" i="1"/>
  <c r="K53" i="1"/>
  <c r="K56" i="1" s="1"/>
  <c r="K49" i="1"/>
  <c r="K48" i="1"/>
  <c r="K47" i="1"/>
  <c r="K50" i="1" s="1"/>
  <c r="K31" i="1"/>
  <c r="K30" i="1"/>
  <c r="K29" i="1"/>
  <c r="K28" i="1"/>
  <c r="K32" i="1" s="1"/>
  <c r="K27" i="1"/>
  <c r="K24" i="1"/>
  <c r="K23" i="1"/>
  <c r="K22" i="1"/>
  <c r="K21" i="1"/>
  <c r="K20" i="1"/>
  <c r="K25" i="1" s="1"/>
  <c r="K33" i="1" s="1"/>
  <c r="K37" i="1" l="1"/>
  <c r="G26" i="10"/>
  <c r="G12" i="10"/>
  <c r="G30" i="1"/>
  <c r="G13" i="1"/>
  <c r="H35" i="8"/>
  <c r="H35" i="7"/>
  <c r="H27" i="10" l="1"/>
  <c r="H26" i="10"/>
  <c r="H24" i="10"/>
  <c r="H21" i="10"/>
  <c r="H20" i="10"/>
  <c r="H18" i="10"/>
  <c r="G32" i="10"/>
  <c r="G20" i="10"/>
  <c r="G28" i="10"/>
  <c r="F13" i="10"/>
  <c r="F12" i="10"/>
  <c r="F11" i="10"/>
  <c r="F10" i="10"/>
  <c r="I13" i="10"/>
  <c r="K13" i="10" s="1"/>
  <c r="F42" i="10"/>
  <c r="E42" i="10"/>
  <c r="E28" i="10"/>
  <c r="F22" i="10"/>
  <c r="I27" i="10"/>
  <c r="K27" i="10" s="1"/>
  <c r="I24" i="10"/>
  <c r="K24" i="10" s="1"/>
  <c r="I18" i="10"/>
  <c r="K18" i="10" s="1"/>
  <c r="G14" i="10"/>
  <c r="I21" i="10" l="1"/>
  <c r="K21" i="10" s="1"/>
  <c r="I20" i="10"/>
  <c r="K20" i="10" s="1"/>
  <c r="K22" i="10" s="1"/>
  <c r="I26" i="10"/>
  <c r="K26" i="10" s="1"/>
  <c r="K28" i="10" s="1"/>
  <c r="I12" i="10"/>
  <c r="K12" i="10" s="1"/>
  <c r="G22" i="10"/>
  <c r="G29" i="10" s="1"/>
  <c r="G33" i="10" s="1"/>
  <c r="H14" i="10"/>
  <c r="E14" i="10"/>
  <c r="F28" i="10"/>
  <c r="F29" i="10" s="1"/>
  <c r="F33" i="10" s="1"/>
  <c r="I25" i="10"/>
  <c r="E22" i="10"/>
  <c r="I19" i="10"/>
  <c r="I11" i="10"/>
  <c r="K11" i="10" s="1"/>
  <c r="H22" i="10"/>
  <c r="H28" i="10"/>
  <c r="K29" i="10" l="1"/>
  <c r="K33" i="10" s="1"/>
  <c r="K14" i="10"/>
  <c r="I22" i="10"/>
  <c r="E29" i="10"/>
  <c r="E33" i="10" s="1"/>
  <c r="I28" i="10"/>
  <c r="H29" i="10"/>
  <c r="F14" i="10"/>
  <c r="I14" i="10"/>
  <c r="H33" i="10" l="1"/>
  <c r="I29" i="10"/>
  <c r="I33" i="10" s="1"/>
  <c r="G36" i="1"/>
  <c r="G23" i="1"/>
  <c r="A3" i="9"/>
  <c r="O11" i="9"/>
  <c r="D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3" i="9" s="1"/>
  <c r="C16" i="9"/>
  <c r="D16" i="9"/>
  <c r="O20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2" i="9" s="1"/>
  <c r="O29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1" i="9" s="1"/>
  <c r="C34" i="9"/>
  <c r="O38" i="9"/>
  <c r="C41" i="9"/>
  <c r="D41" i="9"/>
  <c r="E41" i="9"/>
  <c r="F41" i="9"/>
  <c r="G41" i="9"/>
  <c r="H41" i="9"/>
  <c r="I41" i="9"/>
  <c r="J41" i="9"/>
  <c r="K41" i="9"/>
  <c r="L41" i="9"/>
  <c r="M41" i="9"/>
  <c r="N41" i="9"/>
  <c r="C42" i="9"/>
  <c r="D40" i="9" s="1"/>
  <c r="C43" i="9"/>
  <c r="O47" i="9"/>
  <c r="D49" i="9"/>
  <c r="C50" i="9"/>
  <c r="D50" i="9"/>
  <c r="E50" i="9"/>
  <c r="F50" i="9"/>
  <c r="G50" i="9"/>
  <c r="H50" i="9"/>
  <c r="I50" i="9"/>
  <c r="J50" i="9"/>
  <c r="K50" i="9"/>
  <c r="L50" i="9"/>
  <c r="M50" i="9"/>
  <c r="N50" i="9"/>
  <c r="C51" i="9"/>
  <c r="D51" i="9"/>
  <c r="E49" i="9" s="1"/>
  <c r="C52" i="9"/>
  <c r="D52" i="9"/>
  <c r="F12" i="8"/>
  <c r="H12" i="8"/>
  <c r="M12" i="8"/>
  <c r="N12" i="8"/>
  <c r="P12" i="8"/>
  <c r="Q12" i="8"/>
  <c r="R12" i="8"/>
  <c r="S12" i="8"/>
  <c r="U12" i="8"/>
  <c r="F13" i="8"/>
  <c r="H13" i="8"/>
  <c r="I13" i="8" s="1"/>
  <c r="J13" i="8" s="1"/>
  <c r="K13" i="8" s="1"/>
  <c r="M13" i="8"/>
  <c r="N13" i="8"/>
  <c r="P13" i="8"/>
  <c r="Q13" i="8"/>
  <c r="R13" i="8"/>
  <c r="R15" i="8" s="1"/>
  <c r="S13" i="8"/>
  <c r="F14" i="8"/>
  <c r="H14" i="8"/>
  <c r="I14" i="8"/>
  <c r="J14" i="8" s="1"/>
  <c r="K14" i="8" s="1"/>
  <c r="M14" i="8"/>
  <c r="N14" i="8"/>
  <c r="N15" i="8" s="1"/>
  <c r="P14" i="8"/>
  <c r="Q14" i="8"/>
  <c r="R14" i="8"/>
  <c r="S14" i="8"/>
  <c r="S15" i="8" s="1"/>
  <c r="U14" i="8"/>
  <c r="V14" i="8"/>
  <c r="W14" i="8" s="1"/>
  <c r="X14" i="8"/>
  <c r="C15" i="8"/>
  <c r="D15" i="8"/>
  <c r="M15" i="8"/>
  <c r="O15" i="8"/>
  <c r="P15" i="8"/>
  <c r="Q15" i="8"/>
  <c r="F17" i="8"/>
  <c r="H17" i="8"/>
  <c r="I17" i="8" s="1"/>
  <c r="J17" i="8" s="1"/>
  <c r="K17" i="8" s="1"/>
  <c r="M17" i="8"/>
  <c r="U17" i="8" s="1"/>
  <c r="N17" i="8"/>
  <c r="P17" i="8"/>
  <c r="V17" i="8" s="1"/>
  <c r="W17" i="8" s="1"/>
  <c r="X17" i="8" s="1"/>
  <c r="Q17" i="8"/>
  <c r="R17" i="8"/>
  <c r="S17" i="8"/>
  <c r="F21" i="8"/>
  <c r="H21" i="8"/>
  <c r="M21" i="8"/>
  <c r="N21" i="8"/>
  <c r="P21" i="8"/>
  <c r="S21" i="8"/>
  <c r="U21" i="8"/>
  <c r="F24" i="8"/>
  <c r="H24" i="8"/>
  <c r="I24" i="8" s="1"/>
  <c r="M24" i="8"/>
  <c r="U24" i="8" s="1"/>
  <c r="U26" i="8" s="1"/>
  <c r="N24" i="8"/>
  <c r="P24" i="8"/>
  <c r="Q24" i="8"/>
  <c r="R24" i="8"/>
  <c r="R26" i="8" s="1"/>
  <c r="S24" i="8"/>
  <c r="F25" i="8"/>
  <c r="W25" i="8" s="1"/>
  <c r="X25" i="8" s="1"/>
  <c r="H25" i="8"/>
  <c r="I25" i="8"/>
  <c r="J25" i="8" s="1"/>
  <c r="K25" i="8" s="1"/>
  <c r="M25" i="8"/>
  <c r="N25" i="8"/>
  <c r="N26" i="8" s="1"/>
  <c r="P25" i="8"/>
  <c r="Q25" i="8"/>
  <c r="R25" i="8"/>
  <c r="S25" i="8"/>
  <c r="S26" i="8" s="1"/>
  <c r="U25" i="8"/>
  <c r="V25" i="8"/>
  <c r="C26" i="8"/>
  <c r="D26" i="8"/>
  <c r="F26" i="8"/>
  <c r="P26" i="8"/>
  <c r="Q26" i="8"/>
  <c r="F28" i="8"/>
  <c r="W28" i="8" s="1"/>
  <c r="H28" i="8"/>
  <c r="I28" i="8"/>
  <c r="J28" i="8" s="1"/>
  <c r="M28" i="8"/>
  <c r="N28" i="8"/>
  <c r="N30" i="8" s="1"/>
  <c r="P28" i="8"/>
  <c r="Q28" i="8"/>
  <c r="R28" i="8"/>
  <c r="S28" i="8"/>
  <c r="S30" i="8" s="1"/>
  <c r="U28" i="8"/>
  <c r="V28" i="8"/>
  <c r="F29" i="8"/>
  <c r="H29" i="8"/>
  <c r="I29" i="8" s="1"/>
  <c r="J29" i="8"/>
  <c r="K29" i="8" s="1"/>
  <c r="M29" i="8"/>
  <c r="M30" i="8" s="1"/>
  <c r="N29" i="8"/>
  <c r="P29" i="8"/>
  <c r="Q29" i="8"/>
  <c r="R29" i="8"/>
  <c r="S29" i="8"/>
  <c r="U29" i="8"/>
  <c r="U30" i="8" s="1"/>
  <c r="C30" i="8"/>
  <c r="D30" i="8"/>
  <c r="F30" i="8"/>
  <c r="O30" i="8"/>
  <c r="Q30" i="8"/>
  <c r="R30" i="8"/>
  <c r="F12" i="7"/>
  <c r="H12" i="7"/>
  <c r="I12" i="7" s="1"/>
  <c r="J12" i="7"/>
  <c r="M12" i="7"/>
  <c r="N12" i="7"/>
  <c r="P12" i="7"/>
  <c r="Q12" i="7"/>
  <c r="R12" i="7"/>
  <c r="S12" i="7"/>
  <c r="U12" i="7"/>
  <c r="F13" i="7"/>
  <c r="H13" i="7"/>
  <c r="M13" i="7"/>
  <c r="N13" i="7"/>
  <c r="P13" i="7"/>
  <c r="Q13" i="7"/>
  <c r="R13" i="7"/>
  <c r="S13" i="7"/>
  <c r="U13" i="7"/>
  <c r="V13" i="7"/>
  <c r="F14" i="7"/>
  <c r="H14" i="7"/>
  <c r="M14" i="7"/>
  <c r="M15" i="7" s="1"/>
  <c r="N14" i="7"/>
  <c r="P14" i="7"/>
  <c r="Q14" i="7"/>
  <c r="R14" i="7"/>
  <c r="R15" i="7" s="1"/>
  <c r="S14" i="7"/>
  <c r="C15" i="7"/>
  <c r="D15" i="7"/>
  <c r="F15" i="7"/>
  <c r="N15" i="7"/>
  <c r="O15" i="7"/>
  <c r="P15" i="7"/>
  <c r="S15" i="7"/>
  <c r="F17" i="7"/>
  <c r="H17" i="7"/>
  <c r="M17" i="7"/>
  <c r="N17" i="7"/>
  <c r="P17" i="7"/>
  <c r="W17" i="7" s="1"/>
  <c r="Q17" i="7"/>
  <c r="R17" i="7"/>
  <c r="S17" i="7"/>
  <c r="U17" i="7"/>
  <c r="V17" i="7"/>
  <c r="C20" i="7"/>
  <c r="F20" i="7" s="1"/>
  <c r="F22" i="7" s="1"/>
  <c r="F21" i="7"/>
  <c r="H21" i="7"/>
  <c r="I21" i="7"/>
  <c r="J21" i="7"/>
  <c r="K21" i="7" s="1"/>
  <c r="M21" i="7"/>
  <c r="N21" i="7"/>
  <c r="P21" i="7"/>
  <c r="S21" i="7"/>
  <c r="U21" i="7"/>
  <c r="F24" i="7"/>
  <c r="I24" i="7" s="1"/>
  <c r="H24" i="7"/>
  <c r="M24" i="7"/>
  <c r="N24" i="7"/>
  <c r="P24" i="7"/>
  <c r="W24" i="7" s="1"/>
  <c r="Q24" i="7"/>
  <c r="R24" i="7"/>
  <c r="S24" i="7"/>
  <c r="U24" i="7"/>
  <c r="V24" i="7"/>
  <c r="F25" i="7"/>
  <c r="H25" i="7"/>
  <c r="I25" i="7" s="1"/>
  <c r="J25" i="7" s="1"/>
  <c r="K25" i="7" s="1"/>
  <c r="M25" i="7"/>
  <c r="M26" i="7" s="1"/>
  <c r="N25" i="7"/>
  <c r="P25" i="7"/>
  <c r="Q25" i="7"/>
  <c r="R25" i="7"/>
  <c r="R26" i="7" s="1"/>
  <c r="S25" i="7"/>
  <c r="C26" i="7"/>
  <c r="D26" i="7"/>
  <c r="F26" i="7"/>
  <c r="N26" i="7"/>
  <c r="P26" i="7"/>
  <c r="Q26" i="7"/>
  <c r="S26" i="7"/>
  <c r="F28" i="7"/>
  <c r="H28" i="7"/>
  <c r="I28" i="7" s="1"/>
  <c r="M28" i="7"/>
  <c r="U28" i="7" s="1"/>
  <c r="N28" i="7"/>
  <c r="P28" i="7"/>
  <c r="Q28" i="7"/>
  <c r="R28" i="7"/>
  <c r="R30" i="7" s="1"/>
  <c r="S28" i="7"/>
  <c r="F29" i="7"/>
  <c r="H29" i="7"/>
  <c r="I29" i="7"/>
  <c r="J29" i="7" s="1"/>
  <c r="K29" i="7" s="1"/>
  <c r="M29" i="7"/>
  <c r="U29" i="7" s="1"/>
  <c r="V29" i="7" s="1"/>
  <c r="W29" i="7" s="1"/>
  <c r="X29" i="7" s="1"/>
  <c r="N29" i="7"/>
  <c r="N30" i="7" s="1"/>
  <c r="P29" i="7"/>
  <c r="Q29" i="7"/>
  <c r="R29" i="7"/>
  <c r="S29" i="7"/>
  <c r="S30" i="7" s="1"/>
  <c r="C30" i="7"/>
  <c r="D30" i="7"/>
  <c r="F30" i="7"/>
  <c r="H30" i="7"/>
  <c r="M30" i="7"/>
  <c r="O30" i="7"/>
  <c r="P30" i="7"/>
  <c r="Q30" i="7"/>
  <c r="X24" i="7" l="1"/>
  <c r="W21" i="7"/>
  <c r="X21" i="7" s="1"/>
  <c r="X17" i="7"/>
  <c r="I30" i="7"/>
  <c r="J28" i="7"/>
  <c r="I26" i="7"/>
  <c r="J24" i="7"/>
  <c r="F33" i="7"/>
  <c r="U30" i="7"/>
  <c r="V28" i="7"/>
  <c r="I12" i="8"/>
  <c r="F15" i="8"/>
  <c r="D33" i="9"/>
  <c r="E31" i="9" s="1"/>
  <c r="D34" i="9"/>
  <c r="V21" i="7"/>
  <c r="X28" i="8"/>
  <c r="M26" i="8"/>
  <c r="I26" i="8"/>
  <c r="J24" i="8"/>
  <c r="E15" i="9"/>
  <c r="F13" i="9" s="1"/>
  <c r="E16" i="9"/>
  <c r="D42" i="9"/>
  <c r="E40" i="9" s="1"/>
  <c r="D43" i="9"/>
  <c r="C20" i="8"/>
  <c r="O55" i="9"/>
  <c r="U25" i="7"/>
  <c r="C22" i="7"/>
  <c r="C33" i="7" s="1"/>
  <c r="M20" i="7"/>
  <c r="I17" i="7"/>
  <c r="J17" i="7" s="1"/>
  <c r="K17" i="7" s="1"/>
  <c r="U14" i="7"/>
  <c r="U15" i="7" s="1"/>
  <c r="V14" i="7"/>
  <c r="W14" i="7" s="1"/>
  <c r="X14" i="7" s="1"/>
  <c r="I14" i="7"/>
  <c r="J14" i="7" s="1"/>
  <c r="K14" i="7" s="1"/>
  <c r="H15" i="7"/>
  <c r="W13" i="7"/>
  <c r="X13" i="7" s="1"/>
  <c r="I13" i="7"/>
  <c r="K12" i="7"/>
  <c r="J30" i="8"/>
  <c r="K28" i="8"/>
  <c r="K30" i="8" s="1"/>
  <c r="H26" i="8"/>
  <c r="V24" i="8"/>
  <c r="H15" i="8"/>
  <c r="V12" i="8"/>
  <c r="D24" i="9"/>
  <c r="E22" i="9" s="1"/>
  <c r="D25" i="9"/>
  <c r="H26" i="7"/>
  <c r="Q15" i="7"/>
  <c r="V12" i="7"/>
  <c r="V15" i="7" s="1"/>
  <c r="W12" i="7"/>
  <c r="I30" i="8"/>
  <c r="V29" i="8"/>
  <c r="V30" i="8" s="1"/>
  <c r="P30" i="8"/>
  <c r="I21" i="8"/>
  <c r="J21" i="8" s="1"/>
  <c r="K21" i="8" s="1"/>
  <c r="V21" i="8"/>
  <c r="W21" i="8" s="1"/>
  <c r="X21" i="8" s="1"/>
  <c r="U13" i="8"/>
  <c r="E51" i="9"/>
  <c r="F49" i="9" s="1"/>
  <c r="C25" i="9"/>
  <c r="H30" i="8"/>
  <c r="F51" i="9" l="1"/>
  <c r="G49" i="9" s="1"/>
  <c r="F52" i="9"/>
  <c r="V15" i="8"/>
  <c r="M22" i="7"/>
  <c r="M33" i="7" s="1"/>
  <c r="N20" i="7"/>
  <c r="N22" i="7" s="1"/>
  <c r="N33" i="7" s="1"/>
  <c r="R20" i="7"/>
  <c r="S20" i="7"/>
  <c r="S22" i="7" s="1"/>
  <c r="S33" i="7" s="1"/>
  <c r="V13" i="8"/>
  <c r="W13" i="8" s="1"/>
  <c r="X13" i="8" s="1"/>
  <c r="U15" i="8"/>
  <c r="P20" i="7"/>
  <c r="J13" i="7"/>
  <c r="I15" i="7"/>
  <c r="Q20" i="7"/>
  <c r="M20" i="8"/>
  <c r="Q20" i="8" s="1"/>
  <c r="C22" i="8"/>
  <c r="C33" i="8" s="1"/>
  <c r="N20" i="8"/>
  <c r="N22" i="8" s="1"/>
  <c r="N33" i="8" s="1"/>
  <c r="R20" i="8"/>
  <c r="F20" i="8"/>
  <c r="F22" i="8" s="1"/>
  <c r="P20" i="8"/>
  <c r="J26" i="8"/>
  <c r="K24" i="8"/>
  <c r="K26" i="8" s="1"/>
  <c r="W28" i="7"/>
  <c r="V30" i="7"/>
  <c r="J26" i="7"/>
  <c r="K24" i="7"/>
  <c r="K26" i="7" s="1"/>
  <c r="X12" i="7"/>
  <c r="X15" i="7" s="1"/>
  <c r="W15" i="7"/>
  <c r="E24" i="9"/>
  <c r="F22" i="9" s="1"/>
  <c r="F33" i="8"/>
  <c r="W12" i="8"/>
  <c r="J30" i="7"/>
  <c r="K28" i="7"/>
  <c r="K30" i="7" s="1"/>
  <c r="E52" i="9"/>
  <c r="W29" i="8"/>
  <c r="V26" i="8"/>
  <c r="W24" i="8"/>
  <c r="V25" i="7"/>
  <c r="U26" i="7"/>
  <c r="E42" i="9"/>
  <c r="F40" i="9" s="1"/>
  <c r="E43" i="9"/>
  <c r="F15" i="9"/>
  <c r="G13" i="9" s="1"/>
  <c r="E33" i="9"/>
  <c r="F31" i="9" s="1"/>
  <c r="E34" i="9"/>
  <c r="I15" i="8"/>
  <c r="J12" i="8"/>
  <c r="Q22" i="8" l="1"/>
  <c r="Q33" i="8" s="1"/>
  <c r="W25" i="7"/>
  <c r="V26" i="7"/>
  <c r="P22" i="8"/>
  <c r="P33" i="8" s="1"/>
  <c r="Q22" i="7"/>
  <c r="Q33" i="7" s="1"/>
  <c r="X29" i="8"/>
  <c r="X30" i="8" s="1"/>
  <c r="W30" i="8"/>
  <c r="W15" i="8"/>
  <c r="X12" i="8"/>
  <c r="X15" i="8" s="1"/>
  <c r="G15" i="9"/>
  <c r="H13" i="9" s="1"/>
  <c r="P22" i="7"/>
  <c r="P33" i="7" s="1"/>
  <c r="F33" i="9"/>
  <c r="G31" i="9" s="1"/>
  <c r="F42" i="9"/>
  <c r="G40" i="9" s="1"/>
  <c r="F43" i="9"/>
  <c r="X24" i="8"/>
  <c r="X26" i="8" s="1"/>
  <c r="W26" i="8"/>
  <c r="E25" i="9"/>
  <c r="S20" i="8"/>
  <c r="S22" i="8" s="1"/>
  <c r="S33" i="8" s="1"/>
  <c r="K13" i="7"/>
  <c r="K15" i="7" s="1"/>
  <c r="J15" i="7"/>
  <c r="O20" i="7"/>
  <c r="G51" i="9"/>
  <c r="H49" i="9" s="1"/>
  <c r="W30" i="7"/>
  <c r="X28" i="7"/>
  <c r="X30" i="7" s="1"/>
  <c r="R22" i="7"/>
  <c r="R33" i="7" s="1"/>
  <c r="J15" i="8"/>
  <c r="K12" i="8"/>
  <c r="K15" i="8" s="1"/>
  <c r="F16" i="9"/>
  <c r="F24" i="9"/>
  <c r="G22" i="9" s="1"/>
  <c r="F25" i="9"/>
  <c r="R22" i="8"/>
  <c r="R33" i="8" s="1"/>
  <c r="O20" i="8"/>
  <c r="M22" i="8"/>
  <c r="M33" i="8" s="1"/>
  <c r="G33" i="9" l="1"/>
  <c r="H31" i="9" s="1"/>
  <c r="G34" i="9"/>
  <c r="W26" i="7"/>
  <c r="X25" i="7"/>
  <c r="X26" i="7" s="1"/>
  <c r="O22" i="7"/>
  <c r="O33" i="7" s="1"/>
  <c r="H51" i="9"/>
  <c r="I49" i="9" s="1"/>
  <c r="O22" i="8"/>
  <c r="O33" i="8" s="1"/>
  <c r="G25" i="9"/>
  <c r="G24" i="9"/>
  <c r="H22" i="9" s="1"/>
  <c r="G42" i="9"/>
  <c r="H40" i="9" s="1"/>
  <c r="G43" i="9"/>
  <c r="H15" i="9"/>
  <c r="I13" i="9" s="1"/>
  <c r="H16" i="9"/>
  <c r="G52" i="9"/>
  <c r="F34" i="9"/>
  <c r="G16" i="9"/>
  <c r="I51" i="9" l="1"/>
  <c r="J49" i="9" s="1"/>
  <c r="H42" i="9"/>
  <c r="I40" i="9" s="1"/>
  <c r="H43" i="9"/>
  <c r="H33" i="9"/>
  <c r="I31" i="9" s="1"/>
  <c r="H34" i="9"/>
  <c r="I15" i="9"/>
  <c r="J13" i="9" s="1"/>
  <c r="I16" i="9"/>
  <c r="H24" i="9"/>
  <c r="I22" i="9" s="1"/>
  <c r="H25" i="9"/>
  <c r="H52" i="9"/>
  <c r="J51" i="9" l="1"/>
  <c r="K49" i="9" s="1"/>
  <c r="J52" i="9"/>
  <c r="J15" i="9"/>
  <c r="K13" i="9" s="1"/>
  <c r="J16" i="9"/>
  <c r="I42" i="9"/>
  <c r="J40" i="9" s="1"/>
  <c r="I43" i="9"/>
  <c r="I24" i="9"/>
  <c r="J22" i="9" s="1"/>
  <c r="I25" i="9"/>
  <c r="I33" i="9"/>
  <c r="J31" i="9" s="1"/>
  <c r="I34" i="9"/>
  <c r="I52" i="9"/>
  <c r="K15" i="9" l="1"/>
  <c r="L13" i="9" s="1"/>
  <c r="K16" i="9"/>
  <c r="J24" i="9"/>
  <c r="K22" i="9" s="1"/>
  <c r="J25" i="9"/>
  <c r="J33" i="9"/>
  <c r="K31" i="9" s="1"/>
  <c r="J34" i="9"/>
  <c r="J42" i="9"/>
  <c r="K40" i="9" s="1"/>
  <c r="J43" i="9"/>
  <c r="K51" i="9"/>
  <c r="L49" i="9" s="1"/>
  <c r="K52" i="9"/>
  <c r="K42" i="9" l="1"/>
  <c r="L40" i="9" s="1"/>
  <c r="K43" i="9"/>
  <c r="K24" i="9"/>
  <c r="L22" i="9" s="1"/>
  <c r="L51" i="9"/>
  <c r="M49" i="9" s="1"/>
  <c r="L52" i="9"/>
  <c r="K33" i="9"/>
  <c r="L31" i="9" s="1"/>
  <c r="K34" i="9"/>
  <c r="L15" i="9"/>
  <c r="M13" i="9" s="1"/>
  <c r="L16" i="9"/>
  <c r="L24" i="9" l="1"/>
  <c r="M22" i="9" s="1"/>
  <c r="L25" i="9"/>
  <c r="K25" i="9"/>
  <c r="L33" i="9"/>
  <c r="M31" i="9" s="1"/>
  <c r="M15" i="9"/>
  <c r="N13" i="9" s="1"/>
  <c r="M16" i="9"/>
  <c r="M51" i="9"/>
  <c r="N49" i="9" s="1"/>
  <c r="L42" i="9"/>
  <c r="M40" i="9" s="1"/>
  <c r="L43" i="9"/>
  <c r="M33" i="9" l="1"/>
  <c r="N31" i="9" s="1"/>
  <c r="M34" i="9"/>
  <c r="M42" i="9"/>
  <c r="N40" i="9" s="1"/>
  <c r="M43" i="9"/>
  <c r="N51" i="9"/>
  <c r="N52" i="9"/>
  <c r="P47" i="9" s="1"/>
  <c r="N15" i="9"/>
  <c r="N16" i="9"/>
  <c r="P11" i="9" s="1"/>
  <c r="D20" i="7" s="1"/>
  <c r="M52" i="9"/>
  <c r="L34" i="9"/>
  <c r="M24" i="9"/>
  <c r="N22" i="9" s="1"/>
  <c r="M25" i="9"/>
  <c r="H20" i="7" l="1"/>
  <c r="D22" i="7"/>
  <c r="D33" i="7" s="1"/>
  <c r="N42" i="9"/>
  <c r="N43" i="9" s="1"/>
  <c r="P38" i="9" s="1"/>
  <c r="N24" i="9"/>
  <c r="N25" i="9"/>
  <c r="P20" i="9" s="1"/>
  <c r="N33" i="9"/>
  <c r="N34" i="9" s="1"/>
  <c r="P29" i="9" s="1"/>
  <c r="D20" i="8" s="1"/>
  <c r="H20" i="8" l="1"/>
  <c r="D22" i="8"/>
  <c r="D33" i="8" s="1"/>
  <c r="C35" i="8"/>
  <c r="H22" i="7"/>
  <c r="H33" i="7" s="1"/>
  <c r="I20" i="7"/>
  <c r="U20" i="7"/>
  <c r="U22" i="7" l="1"/>
  <c r="U33" i="7" s="1"/>
  <c r="V20" i="7"/>
  <c r="I22" i="7"/>
  <c r="I33" i="7" s="1"/>
  <c r="J20" i="7"/>
  <c r="I20" i="8"/>
  <c r="H22" i="8"/>
  <c r="H33" i="8" s="1"/>
  <c r="U20" i="8"/>
  <c r="K20" i="7" l="1"/>
  <c r="K22" i="7" s="1"/>
  <c r="K33" i="7" s="1"/>
  <c r="J22" i="7"/>
  <c r="J33" i="7" s="1"/>
  <c r="V22" i="7"/>
  <c r="V33" i="7" s="1"/>
  <c r="W20" i="7"/>
  <c r="U22" i="8"/>
  <c r="U33" i="8" s="1"/>
  <c r="V20" i="8"/>
  <c r="I22" i="8"/>
  <c r="I33" i="8" s="1"/>
  <c r="J20" i="8"/>
  <c r="J22" i="8" l="1"/>
  <c r="J33" i="8" s="1"/>
  <c r="K20" i="8"/>
  <c r="K22" i="8" s="1"/>
  <c r="K33" i="8" s="1"/>
  <c r="V22" i="8"/>
  <c r="V33" i="8" s="1"/>
  <c r="W20" i="8"/>
  <c r="W22" i="7"/>
  <c r="W33" i="7" s="1"/>
  <c r="X20" i="7"/>
  <c r="X22" i="7" s="1"/>
  <c r="X33" i="7" s="1"/>
  <c r="W22" i="8" l="1"/>
  <c r="W33" i="8" s="1"/>
  <c r="X20" i="8"/>
  <c r="X22" i="8" s="1"/>
  <c r="X33" i="8" s="1"/>
  <c r="I22" i="1" l="1"/>
  <c r="G15" i="1"/>
  <c r="F14" i="1"/>
  <c r="F13" i="1"/>
  <c r="I13" i="1" s="1"/>
  <c r="K13" i="1" s="1"/>
  <c r="F12" i="1"/>
  <c r="I12" i="1" s="1"/>
  <c r="K12" i="1" s="1"/>
  <c r="K10" i="1"/>
  <c r="F68" i="1"/>
  <c r="F42" i="1"/>
  <c r="F43" i="1"/>
  <c r="E68" i="1"/>
  <c r="I14" i="1" l="1"/>
  <c r="K14" i="1" s="1"/>
  <c r="H15" i="1"/>
  <c r="G25" i="1" l="1"/>
  <c r="G32" i="1"/>
  <c r="H31" i="1"/>
  <c r="H30" i="1"/>
  <c r="H27" i="1"/>
  <c r="I27" i="1" s="1"/>
  <c r="H20" i="1"/>
  <c r="I20" i="1" s="1"/>
  <c r="H24" i="1"/>
  <c r="I24" i="1" s="1"/>
  <c r="H23" i="1"/>
  <c r="I23" i="1" s="1"/>
  <c r="Q32" i="6"/>
  <c r="Q33" i="6" s="1"/>
  <c r="Q31" i="6"/>
  <c r="Q30" i="6"/>
  <c r="Q15" i="6"/>
  <c r="Q16" i="6" s="1"/>
  <c r="Q14" i="6"/>
  <c r="Q13" i="6"/>
  <c r="Q33" i="5"/>
  <c r="Q31" i="5"/>
  <c r="Q32" i="5"/>
  <c r="Q16" i="5"/>
  <c r="Q14" i="5"/>
  <c r="Q15" i="5"/>
  <c r="Q13" i="5"/>
  <c r="O32" i="6"/>
  <c r="O31" i="6"/>
  <c r="O30" i="6"/>
  <c r="O33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P26" i="6"/>
  <c r="P32" i="6" s="1"/>
  <c r="P25" i="6"/>
  <c r="P24" i="6"/>
  <c r="P23" i="6"/>
  <c r="P22" i="6"/>
  <c r="P21" i="6"/>
  <c r="P31" i="6" s="1"/>
  <c r="P20" i="6"/>
  <c r="P19" i="6"/>
  <c r="P28" i="6" s="1"/>
  <c r="O15" i="6"/>
  <c r="O14" i="6"/>
  <c r="O13" i="6"/>
  <c r="O16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P9" i="6"/>
  <c r="P15" i="6" s="1"/>
  <c r="P8" i="6"/>
  <c r="P7" i="6"/>
  <c r="P6" i="6"/>
  <c r="P5" i="6"/>
  <c r="P4" i="6"/>
  <c r="P14" i="6" s="1"/>
  <c r="P3" i="6"/>
  <c r="P2" i="6"/>
  <c r="P13" i="6" s="1"/>
  <c r="O32" i="5"/>
  <c r="O31" i="5"/>
  <c r="O30" i="5"/>
  <c r="O33" i="5" s="1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P26" i="5"/>
  <c r="P32" i="5" s="1"/>
  <c r="P25" i="5"/>
  <c r="P24" i="5"/>
  <c r="P23" i="5"/>
  <c r="P22" i="5"/>
  <c r="P21" i="5"/>
  <c r="P31" i="5" s="1"/>
  <c r="P20" i="5"/>
  <c r="P19" i="5"/>
  <c r="P28" i="5" s="1"/>
  <c r="O15" i="5"/>
  <c r="O14" i="5"/>
  <c r="O13" i="5"/>
  <c r="O16" i="5" s="1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P9" i="5"/>
  <c r="P15" i="5" s="1"/>
  <c r="P8" i="5"/>
  <c r="P7" i="5"/>
  <c r="P6" i="5"/>
  <c r="P5" i="5"/>
  <c r="P4" i="5"/>
  <c r="P14" i="5" s="1"/>
  <c r="P3" i="5"/>
  <c r="P2" i="5"/>
  <c r="P13" i="5" s="1"/>
  <c r="H25" i="1" l="1"/>
  <c r="G33" i="1"/>
  <c r="G37" i="1" s="1"/>
  <c r="H32" i="1"/>
  <c r="P16" i="6"/>
  <c r="P30" i="6"/>
  <c r="P33" i="6" s="1"/>
  <c r="P11" i="6"/>
  <c r="P16" i="5"/>
  <c r="P11" i="5"/>
  <c r="P30" i="5"/>
  <c r="P33" i="5" s="1"/>
  <c r="H33" i="1" l="1"/>
  <c r="H37" i="1" s="1"/>
  <c r="I53" i="1" l="1"/>
  <c r="I55" i="1"/>
  <c r="I54" i="1"/>
  <c r="I49" i="1"/>
  <c r="I48" i="1"/>
  <c r="I47" i="1"/>
  <c r="I42" i="1"/>
  <c r="K42" i="1" s="1"/>
  <c r="I29" i="1"/>
  <c r="I30" i="1"/>
  <c r="I31" i="1"/>
  <c r="F56" i="1"/>
  <c r="F28" i="1" s="1"/>
  <c r="F32" i="1" s="1"/>
  <c r="F50" i="1"/>
  <c r="F21" i="1" s="1"/>
  <c r="F25" i="1" s="1"/>
  <c r="I56" i="1" l="1"/>
  <c r="F33" i="1"/>
  <c r="F37" i="1" s="1"/>
  <c r="I50" i="1"/>
  <c r="E41" i="1" l="1"/>
  <c r="E50" i="1"/>
  <c r="E21" i="1" s="1"/>
  <c r="I21" i="1" s="1"/>
  <c r="I25" i="1" s="1"/>
  <c r="F41" i="1" l="1"/>
  <c r="I41" i="1" s="1"/>
  <c r="K41" i="1" s="1"/>
  <c r="E25" i="1"/>
  <c r="E44" i="1" l="1"/>
  <c r="E11" i="1" s="1"/>
  <c r="E56" i="1"/>
  <c r="E28" i="1" s="1"/>
  <c r="I28" i="1" s="1"/>
  <c r="I32" i="1" s="1"/>
  <c r="I33" i="1" s="1"/>
  <c r="I37" i="1" s="1"/>
  <c r="E32" i="1" l="1"/>
  <c r="E33" i="1" s="1"/>
  <c r="E37" i="1" s="1"/>
  <c r="E15" i="1"/>
  <c r="F44" i="1" l="1"/>
  <c r="F11" i="1" s="1"/>
  <c r="I11" i="1" s="1"/>
  <c r="I43" i="1"/>
  <c r="I44" i="1" l="1"/>
  <c r="K43" i="1"/>
  <c r="K44" i="1" s="1"/>
  <c r="I15" i="1"/>
  <c r="K11" i="1"/>
  <c r="K15" i="1" s="1"/>
  <c r="F15" i="1"/>
</calcChain>
</file>

<file path=xl/sharedStrings.xml><?xml version="1.0" encoding="utf-8"?>
<sst xmlns="http://schemas.openxmlformats.org/spreadsheetml/2006/main" count="395" uniqueCount="156">
  <si>
    <t xml:space="preserve">AVISTA UTILITIES  </t>
  </si>
  <si>
    <t xml:space="preserve">(000'S OF DOLLARS)  </t>
  </si>
  <si>
    <t>DESCRIPTION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</si>
  <si>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</si>
  <si>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</si>
  <si>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</si>
  <si>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</si>
  <si>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</si>
  <si>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</si>
  <si>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</si>
  <si>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</si>
  <si>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</si>
  <si>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</si>
  <si>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</si>
  <si>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</si>
  <si>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</si>
  <si>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</si>
  <si>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</si>
  <si>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AMA</t>
  </si>
  <si>
    <t>EOP</t>
  </si>
  <si>
    <t>WASHINGTON NATURAL GAS RESULTS  - ADJUST NET PLANT AMA TO EOP</t>
  </si>
  <si>
    <t>WASHINGTON ELECTRIC RESULTS  - ADJUST NET PLANT AMA TO EOP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</si>
  <si>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</si>
  <si>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</si>
  <si>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</si>
  <si>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</si>
  <si>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</si>
  <si>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</si>
  <si>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</si>
  <si>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</si>
  <si>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</si>
  <si>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</si>
  <si>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</si>
  <si>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</si>
  <si>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</si>
  <si>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</si>
  <si>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Cost</t>
  </si>
  <si>
    <t>A/D</t>
  </si>
  <si>
    <t>ROO</t>
  </si>
  <si>
    <t xml:space="preserve">ADFIT AMA </t>
  </si>
  <si>
    <t>ADFIT EOP</t>
  </si>
  <si>
    <t>2) Adj. Dep Exp</t>
  </si>
  <si>
    <t>12.31.2019</t>
  </si>
  <si>
    <t>TWELVE MONTHS ENDED DECEMBER 31, 2019</t>
  </si>
  <si>
    <t>AMA to EOP</t>
  </si>
  <si>
    <t>Plant Acct</t>
  </si>
  <si>
    <t>370121</t>
  </si>
  <si>
    <t>Dist</t>
  </si>
  <si>
    <t>381121</t>
  </si>
  <si>
    <t>389421</t>
  </si>
  <si>
    <t>GP</t>
  </si>
  <si>
    <t>391120</t>
  </si>
  <si>
    <t>391121</t>
  </si>
  <si>
    <t>395121</t>
  </si>
  <si>
    <t>397121</t>
  </si>
  <si>
    <t>303120</t>
  </si>
  <si>
    <t>Intangibles</t>
  </si>
  <si>
    <t>303121</t>
  </si>
  <si>
    <t>Total</t>
  </si>
  <si>
    <t>Electric Depreciation Exp Adjustment to Plant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</si>
  <si>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</si>
  <si>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</si>
  <si>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</si>
  <si>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</si>
  <si>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</si>
  <si>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</si>
  <si>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</si>
  <si>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</si>
  <si>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Electric Depreciation Exp Adjustment to Plant - AMI</t>
  </si>
  <si>
    <t>Electric Total</t>
  </si>
  <si>
    <t>Subtotal IT</t>
  </si>
  <si>
    <t xml:space="preserve">Hardware </t>
  </si>
  <si>
    <t>Software</t>
  </si>
  <si>
    <t>Subtotal</t>
  </si>
  <si>
    <t>Transport.</t>
  </si>
  <si>
    <t>AN</t>
  </si>
  <si>
    <t>Direct</t>
  </si>
  <si>
    <t>Distribution</t>
  </si>
  <si>
    <t>Other</t>
  </si>
  <si>
    <t>Hydro</t>
  </si>
  <si>
    <t>Thermal</t>
  </si>
  <si>
    <t>Generation</t>
  </si>
  <si>
    <t>12.31.2022</t>
  </si>
  <si>
    <t>12.31.2021</t>
  </si>
  <si>
    <t>12.31.2020</t>
  </si>
  <si>
    <t>2019 Total</t>
  </si>
  <si>
    <t xml:space="preserve">Tax Depreciation </t>
  </si>
  <si>
    <t>Repairs</t>
  </si>
  <si>
    <t>Estimated Annual Deprec Expense</t>
  </si>
  <si>
    <t>Book Rate</t>
  </si>
  <si>
    <t>AMA Cost</t>
  </si>
  <si>
    <t>EOP Cost</t>
  </si>
  <si>
    <t>Description</t>
  </si>
  <si>
    <t>Accumulated DFIT</t>
  </si>
  <si>
    <t>Tax Depreciation</t>
  </si>
  <si>
    <t>Corporate Tax Rate</t>
  </si>
  <si>
    <t>Transport. &amp; Hardare</t>
  </si>
  <si>
    <t>P/T/D</t>
  </si>
  <si>
    <t>5th Year Rate</t>
  </si>
  <si>
    <t>4th Year Rate</t>
  </si>
  <si>
    <t>3rd Year Rate</t>
  </si>
  <si>
    <t>2nd Year Rate</t>
  </si>
  <si>
    <t>1st Year Rate</t>
  </si>
  <si>
    <t xml:space="preserve">Repairs </t>
  </si>
  <si>
    <t>Tax Rate</t>
  </si>
  <si>
    <t>AVISTA UTILITIES</t>
  </si>
  <si>
    <t>Reconcile Adds</t>
  </si>
  <si>
    <t>Monthly Average</t>
  </si>
  <si>
    <t>End Bal</t>
  </si>
  <si>
    <t>Additions</t>
  </si>
  <si>
    <t>Beg Bal</t>
  </si>
  <si>
    <t>AMA Calculation:</t>
  </si>
  <si>
    <t>OR Gas Distribution Subtotal</t>
  </si>
  <si>
    <t>New Revenue Capital Additions {1000's ER's}</t>
  </si>
  <si>
    <t>ID Gas Distribution Subtotal</t>
  </si>
  <si>
    <t>NR.1G</t>
  </si>
  <si>
    <t>WA Gas Distribution Subtotal</t>
  </si>
  <si>
    <t>ID Electric Distribution Subtotal</t>
  </si>
  <si>
    <t>NR.1E</t>
  </si>
  <si>
    <t>WA Electric Distribution Subtotal</t>
  </si>
  <si>
    <t>Balance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</si>
  <si>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</si>
  <si>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</si>
  <si>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</si>
  <si>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</si>
  <si>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</si>
  <si>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</si>
  <si>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</si>
  <si>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</si>
  <si>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</si>
  <si>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</si>
  <si>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</si>
  <si>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</si>
  <si>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in (000's)</t>
  </si>
  <si>
    <t xml:space="preserve">  Plant Additions by Month</t>
  </si>
  <si>
    <t>Adjustment from EOP to AMA (net reduction)</t>
  </si>
  <si>
    <t>Pro Forma Rate Base Adjustment</t>
  </si>
  <si>
    <t>Avista Utilities</t>
  </si>
  <si>
    <t>NR.1E-New Rev</t>
  </si>
  <si>
    <t>AMI - Electric</t>
  </si>
  <si>
    <t xml:space="preserve">Total Natural Gas Expenses  </t>
  </si>
  <si>
    <t>Underground Storage Plant</t>
  </si>
  <si>
    <t>Natural Gas Depreciation Exp Adjustment to Plant</t>
  </si>
  <si>
    <t>Natural Gas Depreciation Exp Adjustment to Plant - AMI</t>
  </si>
  <si>
    <t>E-CAP SUMMARY</t>
  </si>
  <si>
    <t>G-CAP SUMMARY</t>
  </si>
  <si>
    <t>NR.1G-New Rev</t>
  </si>
  <si>
    <t>AMI - Natural Gas</t>
  </si>
  <si>
    <t>Underground Storage</t>
  </si>
  <si>
    <t>Adjustment 2.19</t>
  </si>
  <si>
    <t>RECONCILIATION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</si>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</sst>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0%"/>
    <numFmt numFmtId="167" formatCode="#,##0.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 "/>
    </font>
    <font>
      <sz val="10"/>
      <color theme="1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sz val="10"/>
      <color indexed="8"/>
      <name val="Tahoma "/>
    </font>
    <font>
      <b/>
      <sz val="10"/>
      <color indexed="8"/>
      <name val="Tahoma 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</cellStyleXfs>
  <cellXfs count="141">
    <xf numFmtId="0" fontId="0" fillId="0" borderId="0" xfId="0"/>
    <xf numFmtId="0" fontId="4" fillId="0" borderId="0" xfId="1" applyNumberFormat="1" applyFont="1" applyAlignment="1">
      <alignment horizontal="center"/>
    </xf>
    <xf numFmtId="0" fontId="4" fillId="0" borderId="0" xfId="1" applyFont="1"/>
    <xf numFmtId="41" fontId="4" fillId="0" borderId="0" xfId="1" applyNumberFormat="1" applyFont="1" applyFill="1"/>
    <xf numFmtId="41" fontId="5" fillId="0" borderId="0" xfId="1" applyNumberFormat="1" applyFont="1" applyFill="1"/>
    <xf numFmtId="0" fontId="6" fillId="0" borderId="0" xfId="0" applyFont="1"/>
    <xf numFmtId="0" fontId="4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2" fontId="5" fillId="0" borderId="0" xfId="2" applyNumberFormat="1" applyFont="1" applyAlignment="1" applyProtection="1">
      <alignment horizontal="center"/>
    </xf>
    <xf numFmtId="41" fontId="4" fillId="0" borderId="0" xfId="1" applyNumberFormat="1" applyFont="1" applyFill="1" applyBorder="1"/>
    <xf numFmtId="37" fontId="4" fillId="0" borderId="0" xfId="1" applyNumberFormat="1" applyFont="1" applyAlignment="1">
      <alignment horizontal="center"/>
    </xf>
    <xf numFmtId="5" fontId="4" fillId="0" borderId="0" xfId="1" applyNumberFormat="1" applyFont="1"/>
    <xf numFmtId="37" fontId="4" fillId="0" borderId="0" xfId="1" applyNumberFormat="1" applyFont="1"/>
    <xf numFmtId="37" fontId="4" fillId="0" borderId="0" xfId="1" applyNumberFormat="1" applyFont="1" applyFill="1"/>
    <xf numFmtId="37" fontId="4" fillId="0" borderId="5" xfId="1" applyNumberFormat="1" applyFont="1" applyFill="1" applyBorder="1"/>
    <xf numFmtId="37" fontId="4" fillId="0" borderId="0" xfId="1" applyNumberFormat="1" applyFont="1" applyFill="1" applyBorder="1"/>
    <xf numFmtId="1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41" fontId="4" fillId="0" borderId="2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4" fillId="0" borderId="6" xfId="1" applyNumberFormat="1" applyFont="1" applyFill="1" applyBorder="1"/>
    <xf numFmtId="41" fontId="4" fillId="0" borderId="6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4" fillId="0" borderId="5" xfId="1" applyNumberFormat="1" applyFont="1" applyFill="1" applyBorder="1"/>
    <xf numFmtId="37" fontId="7" fillId="0" borderId="0" xfId="1" applyNumberFormat="1" applyFont="1" applyFill="1"/>
    <xf numFmtId="41" fontId="7" fillId="0" borderId="0" xfId="1" applyNumberFormat="1" applyFont="1" applyFill="1"/>
    <xf numFmtId="164" fontId="5" fillId="0" borderId="0" xfId="7" applyNumberFormat="1" applyFont="1" applyFill="1"/>
    <xf numFmtId="0" fontId="12" fillId="0" borderId="0" xfId="0" applyFont="1"/>
    <xf numFmtId="165" fontId="12" fillId="0" borderId="0" xfId="7" applyNumberFormat="1" applyFont="1"/>
    <xf numFmtId="0" fontId="11" fillId="0" borderId="0" xfId="0" applyFont="1" applyAlignment="1">
      <alignment horizontal="center"/>
    </xf>
    <xf numFmtId="164" fontId="0" fillId="0" borderId="0" xfId="7" applyNumberFormat="1" applyFont="1"/>
    <xf numFmtId="164" fontId="0" fillId="0" borderId="8" xfId="7" applyNumberFormat="1" applyFont="1" applyBorder="1"/>
    <xf numFmtId="16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37" fontId="4" fillId="3" borderId="0" xfId="1" applyNumberFormat="1" applyFont="1" applyFill="1" applyBorder="1"/>
    <xf numFmtId="37" fontId="7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center" vertical="center" wrapText="1"/>
    </xf>
    <xf numFmtId="37" fontId="4" fillId="3" borderId="5" xfId="1" applyNumberFormat="1" applyFont="1" applyFill="1" applyBorder="1"/>
    <xf numFmtId="37" fontId="4" fillId="0" borderId="5" xfId="1" applyNumberFormat="1" applyFont="1" applyBorder="1"/>
    <xf numFmtId="41" fontId="4" fillId="3" borderId="0" xfId="1" applyNumberFormat="1" applyFont="1" applyFill="1"/>
    <xf numFmtId="0" fontId="9" fillId="0" borderId="0" xfId="8" applyFont="1"/>
    <xf numFmtId="0" fontId="13" fillId="0" borderId="0" xfId="8" applyFont="1"/>
    <xf numFmtId="10" fontId="14" fillId="0" borderId="0" xfId="9" applyNumberFormat="1" applyFont="1" applyAlignment="1">
      <alignment horizontal="center"/>
    </xf>
    <xf numFmtId="164" fontId="15" fillId="0" borderId="0" xfId="10" applyNumberFormat="1" applyFont="1"/>
    <xf numFmtId="164" fontId="14" fillId="0" borderId="0" xfId="10" applyNumberFormat="1" applyFont="1"/>
    <xf numFmtId="164" fontId="16" fillId="0" borderId="0" xfId="10" applyNumberFormat="1" applyFont="1"/>
    <xf numFmtId="0" fontId="15" fillId="0" borderId="0" xfId="8" applyFont="1" applyAlignment="1">
      <alignment horizontal="right"/>
    </xf>
    <xf numFmtId="164" fontId="13" fillId="0" borderId="0" xfId="10" applyNumberFormat="1" applyFont="1"/>
    <xf numFmtId="10" fontId="13" fillId="0" borderId="0" xfId="9" applyNumberFormat="1" applyFont="1" applyAlignment="1">
      <alignment horizontal="center"/>
    </xf>
    <xf numFmtId="164" fontId="13" fillId="0" borderId="12" xfId="10" applyNumberFormat="1" applyFont="1" applyBorder="1"/>
    <xf numFmtId="164" fontId="9" fillId="0" borderId="0" xfId="10" applyNumberFormat="1" applyFont="1"/>
    <xf numFmtId="164" fontId="17" fillId="0" borderId="0" xfId="10" applyNumberFormat="1" applyFont="1" applyAlignment="1">
      <alignment wrapText="1"/>
    </xf>
    <xf numFmtId="164" fontId="9" fillId="0" borderId="5" xfId="10" applyNumberFormat="1" applyFont="1" applyBorder="1"/>
    <xf numFmtId="164" fontId="13" fillId="0" borderId="5" xfId="10" applyNumberFormat="1" applyFont="1" applyBorder="1"/>
    <xf numFmtId="164" fontId="14" fillId="0" borderId="5" xfId="10" applyNumberFormat="1" applyFont="1" applyBorder="1"/>
    <xf numFmtId="164" fontId="17" fillId="0" borderId="5" xfId="10" applyNumberFormat="1" applyFont="1" applyBorder="1" applyAlignment="1">
      <alignment wrapText="1"/>
    </xf>
    <xf numFmtId="164" fontId="14" fillId="0" borderId="2" xfId="10" applyNumberFormat="1" applyFont="1" applyBorder="1"/>
    <xf numFmtId="164" fontId="14" fillId="0" borderId="6" xfId="10" applyNumberFormat="1" applyFont="1" applyBorder="1"/>
    <xf numFmtId="164" fontId="16" fillId="0" borderId="6" xfId="10" applyNumberFormat="1" applyFont="1" applyBorder="1"/>
    <xf numFmtId="43" fontId="9" fillId="0" borderId="0" xfId="8" applyNumberFormat="1" applyFont="1"/>
    <xf numFmtId="43" fontId="14" fillId="0" borderId="0" xfId="11" applyFont="1" applyAlignment="1">
      <alignment horizontal="center"/>
    </xf>
    <xf numFmtId="0" fontId="9" fillId="0" borderId="0" xfId="8" applyFont="1" applyAlignment="1">
      <alignment horizontal="center" wrapText="1"/>
    </xf>
    <xf numFmtId="0" fontId="13" fillId="0" borderId="0" xfId="8" applyFont="1" applyAlignment="1">
      <alignment horizontal="center" wrapText="1"/>
    </xf>
    <xf numFmtId="164" fontId="13" fillId="0" borderId="0" xfId="10" applyNumberFormat="1" applyFont="1" applyAlignment="1">
      <alignment horizontal="center" wrapText="1"/>
    </xf>
    <xf numFmtId="10" fontId="18" fillId="0" borderId="0" xfId="9" applyNumberFormat="1" applyFont="1" applyAlignment="1">
      <alignment horizontal="center" wrapText="1"/>
    </xf>
    <xf numFmtId="0" fontId="18" fillId="0" borderId="0" xfId="12" applyFont="1" applyAlignment="1">
      <alignment horizontal="center" wrapText="1"/>
    </xf>
    <xf numFmtId="0" fontId="13" fillId="0" borderId="0" xfId="8" applyFont="1" applyAlignment="1">
      <alignment horizontal="center"/>
    </xf>
    <xf numFmtId="9" fontId="9" fillId="0" borderId="0" xfId="8" applyNumberFormat="1" applyFont="1"/>
    <xf numFmtId="0" fontId="9" fillId="0" borderId="0" xfId="8" applyFont="1" applyAlignment="1">
      <alignment horizontal="right"/>
    </xf>
    <xf numFmtId="10" fontId="9" fillId="0" borderId="0" xfId="8" applyNumberFormat="1" applyFont="1"/>
    <xf numFmtId="10" fontId="13" fillId="0" borderId="0" xfId="8" applyNumberFormat="1" applyFont="1"/>
    <xf numFmtId="164" fontId="9" fillId="0" borderId="0" xfId="8" applyNumberFormat="1" applyFont="1"/>
    <xf numFmtId="166" fontId="9" fillId="0" borderId="0" xfId="8" applyNumberFormat="1" applyFont="1"/>
    <xf numFmtId="166" fontId="13" fillId="0" borderId="0" xfId="8" applyNumberFormat="1" applyFont="1"/>
    <xf numFmtId="0" fontId="9" fillId="0" borderId="0" xfId="8" applyFont="1" applyAlignment="1">
      <alignment wrapText="1"/>
    </xf>
    <xf numFmtId="0" fontId="9" fillId="0" borderId="5" xfId="8" applyFont="1" applyBorder="1" applyAlignment="1">
      <alignment horizontal="center" wrapText="1"/>
    </xf>
    <xf numFmtId="0" fontId="13" fillId="0" borderId="5" xfId="8" applyFont="1" applyBorder="1" applyAlignment="1">
      <alignment horizontal="center" wrapText="1"/>
    </xf>
    <xf numFmtId="164" fontId="13" fillId="0" borderId="0" xfId="10" applyNumberFormat="1" applyFont="1" applyAlignment="1">
      <alignment wrapText="1"/>
    </xf>
    <xf numFmtId="10" fontId="14" fillId="0" borderId="0" xfId="9" applyNumberFormat="1" applyFont="1" applyAlignment="1">
      <alignment horizontal="center" wrapText="1"/>
    </xf>
    <xf numFmtId="0" fontId="13" fillId="0" borderId="0" xfId="8" applyFont="1" applyAlignment="1">
      <alignment wrapText="1"/>
    </xf>
    <xf numFmtId="0" fontId="20" fillId="0" borderId="0" xfId="8" applyFont="1"/>
    <xf numFmtId="0" fontId="6" fillId="0" borderId="0" xfId="8"/>
    <xf numFmtId="3" fontId="20" fillId="0" borderId="0" xfId="8" applyNumberFormat="1" applyFont="1"/>
    <xf numFmtId="3" fontId="6" fillId="0" borderId="0" xfId="8" applyNumberFormat="1"/>
    <xf numFmtId="0" fontId="6" fillId="4" borderId="0" xfId="8" applyFill="1"/>
    <xf numFmtId="167" fontId="20" fillId="0" borderId="0" xfId="8" applyNumberFormat="1" applyFont="1"/>
    <xf numFmtId="0" fontId="21" fillId="0" borderId="0" xfId="8" applyFont="1"/>
    <xf numFmtId="0" fontId="22" fillId="0" borderId="18" xfId="13" applyFont="1" applyBorder="1" applyAlignment="1">
      <alignment horizontal="left" wrapText="1"/>
    </xf>
    <xf numFmtId="2" fontId="6" fillId="0" borderId="0" xfId="8" applyNumberFormat="1"/>
    <xf numFmtId="9" fontId="6" fillId="0" borderId="0" xfId="9"/>
    <xf numFmtId="0" fontId="23" fillId="0" borderId="0" xfId="8" applyFont="1" applyAlignment="1">
      <alignment horizontal="right"/>
    </xf>
    <xf numFmtId="6" fontId="6" fillId="0" borderId="0" xfId="8" applyNumberFormat="1"/>
    <xf numFmtId="8" fontId="6" fillId="0" borderId="0" xfId="8" applyNumberFormat="1"/>
    <xf numFmtId="0" fontId="24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25" fillId="0" borderId="0" xfId="8" applyFont="1" applyAlignment="1">
      <alignment horizontal="left"/>
    </xf>
    <xf numFmtId="164" fontId="5" fillId="2" borderId="3" xfId="7" applyNumberFormat="1" applyFont="1" applyFill="1" applyBorder="1" applyAlignment="1" applyProtection="1">
      <alignment horizontal="center"/>
    </xf>
    <xf numFmtId="164" fontId="5" fillId="2" borderId="3" xfId="7" applyNumberFormat="1" applyFont="1" applyFill="1" applyBorder="1"/>
    <xf numFmtId="164" fontId="5" fillId="2" borderId="7" xfId="7" applyNumberFormat="1" applyFont="1" applyFill="1" applyBorder="1"/>
    <xf numFmtId="164" fontId="5" fillId="2" borderId="4" xfId="7" applyNumberFormat="1" applyFont="1" applyFill="1" applyBorder="1"/>
    <xf numFmtId="164" fontId="5" fillId="2" borderId="1" xfId="7" applyNumberFormat="1" applyFont="1" applyFill="1" applyBorder="1"/>
    <xf numFmtId="164" fontId="5" fillId="2" borderId="0" xfId="7" applyNumberFormat="1" applyFont="1" applyFill="1"/>
    <xf numFmtId="0" fontId="15" fillId="0" borderId="0" xfId="8" applyFont="1" applyAlignment="1">
      <alignment horizontal="left"/>
    </xf>
    <xf numFmtId="164" fontId="5" fillId="0" borderId="0" xfId="10" applyNumberFormat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64" fontId="7" fillId="2" borderId="7" xfId="10" quotePrefix="1" applyNumberFormat="1" applyFont="1" applyFill="1" applyBorder="1" applyAlignment="1">
      <alignment horizontal="center" vertical="center" wrapText="1"/>
    </xf>
    <xf numFmtId="37" fontId="7" fillId="0" borderId="0" xfId="1" applyNumberFormat="1" applyFont="1"/>
    <xf numFmtId="41" fontId="4" fillId="0" borderId="0" xfId="1" applyNumberFormat="1" applyFont="1"/>
    <xf numFmtId="41" fontId="4" fillId="0" borderId="2" xfId="1" applyNumberFormat="1" applyFont="1" applyBorder="1"/>
    <xf numFmtId="41" fontId="4" fillId="0" borderId="5" xfId="1" applyNumberFormat="1" applyFont="1" applyBorder="1"/>
    <xf numFmtId="41" fontId="7" fillId="0" borderId="0" xfId="1" applyNumberFormat="1" applyFont="1"/>
    <xf numFmtId="37" fontId="4" fillId="0" borderId="6" xfId="1" applyNumberFormat="1" applyFont="1" applyBorder="1"/>
    <xf numFmtId="37" fontId="4" fillId="3" borderId="19" xfId="1" applyNumberFormat="1" applyFont="1" applyFill="1" applyBorder="1"/>
    <xf numFmtId="164" fontId="0" fillId="0" borderId="20" xfId="0" applyNumberFormat="1" applyBorder="1"/>
    <xf numFmtId="164" fontId="14" fillId="5" borderId="0" xfId="10" applyNumberFormat="1" applyFont="1" applyFill="1"/>
    <xf numFmtId="37" fontId="4" fillId="5" borderId="0" xfId="1" applyNumberFormat="1" applyFont="1" applyFill="1" applyBorder="1"/>
    <xf numFmtId="164" fontId="0" fillId="5" borderId="11" xfId="0" applyNumberFormat="1" applyFill="1" applyBorder="1"/>
    <xf numFmtId="41" fontId="4" fillId="5" borderId="0" xfId="1" applyNumberFormat="1" applyFont="1" applyFill="1"/>
    <xf numFmtId="41" fontId="4" fillId="5" borderId="2" xfId="1" applyNumberFormat="1" applyFont="1" applyFill="1" applyBorder="1"/>
    <xf numFmtId="41" fontId="4" fillId="5" borderId="5" xfId="1" applyNumberFormat="1" applyFont="1" applyFill="1" applyBorder="1"/>
    <xf numFmtId="164" fontId="13" fillId="5" borderId="12" xfId="10" applyNumberFormat="1" applyFont="1" applyFill="1" applyBorder="1"/>
    <xf numFmtId="37" fontId="4" fillId="5" borderId="0" xfId="1" applyNumberFormat="1" applyFont="1" applyFill="1"/>
    <xf numFmtId="3" fontId="6" fillId="5" borderId="0" xfId="8" applyNumberFormat="1" applyFill="1"/>
    <xf numFmtId="0" fontId="13" fillId="0" borderId="13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3" fillId="0" borderId="17" xfId="8" applyFont="1" applyBorder="1" applyAlignment="1">
      <alignment horizontal="center"/>
    </xf>
    <xf numFmtId="0" fontId="13" fillId="0" borderId="16" xfId="8" applyFont="1" applyBorder="1" applyAlignment="1">
      <alignment horizontal="center"/>
    </xf>
    <xf numFmtId="0" fontId="13" fillId="0" borderId="15" xfId="8" applyFont="1" applyBorder="1" applyAlignment="1">
      <alignment horizontal="center"/>
    </xf>
    <xf numFmtId="43" fontId="4" fillId="0" borderId="0" xfId="6" applyFont="1"/>
  </cellXfs>
  <cellStyles count="14">
    <cellStyle name="Comma" xfId="7" builtinId="3"/>
    <cellStyle name="Comma 2" xfId="6" xr:uid="{00000000-0005-0000-0000-000000000000}"/>
    <cellStyle name="Comma 2 2" xfId="10" xr:uid="{9F446449-C55E-4670-98B1-B6731D3597A1}"/>
    <cellStyle name="Comma 3" xfId="11" xr:uid="{C8819C78-D4B6-4909-80AE-650602D9B27B}"/>
    <cellStyle name="Followed Hyperlink" xfId="2" builtinId="9"/>
    <cellStyle name="Followed Hyperlink 2" xfId="4" xr:uid="{00000000-0005-0000-0000-000002000000}"/>
    <cellStyle name="Normal" xfId="0" builtinId="0"/>
    <cellStyle name="Normal 2" xfId="5" xr:uid="{00000000-0005-0000-0000-000004000000}"/>
    <cellStyle name="Normal 2 2" xfId="8" xr:uid="{122C41F2-6ED2-4468-974A-10B7061C0F5F}"/>
    <cellStyle name="Normal_DFIT-WaEle_SUM" xfId="3" xr:uid="{00000000-0005-0000-0000-000005000000}"/>
    <cellStyle name="Normal_Pro forma Rates 2" xfId="13" xr:uid="{8021CAD9-4321-433A-8E72-440FA7076C81}"/>
    <cellStyle name="Normal_Sheet1" xfId="12" xr:uid="{D65C1FCC-3F22-440D-B86B-4ACCC2C848A5}"/>
    <cellStyle name="Normal_WAElec6_97" xfId="1" xr:uid="{00000000-0005-0000-0000-000007000000}"/>
    <cellStyle name="Percent 2 2" xfId="9" xr:uid="{AFB87CCB-25CB-406A-8AF8-377E0DE03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2297417-BC35-4463-8488-49123E48354D}"/>
            </a:ext>
          </a:extLst>
        </xdr:cNvPr>
        <xdr:cNvCxnSpPr/>
      </xdr:nvCxnSpPr>
      <xdr:spPr>
        <a:xfrm>
          <a:off x="2893695" y="36595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9B0066-F33A-4C2E-ADCE-FCDA663D4078}"/>
            </a:ext>
          </a:extLst>
        </xdr:cNvPr>
        <xdr:cNvCxnSpPr/>
      </xdr:nvCxnSpPr>
      <xdr:spPr>
        <a:xfrm>
          <a:off x="2903220" y="85801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209B75-05A7-4F1B-A71A-B168BF82371C}"/>
            </a:ext>
          </a:extLst>
        </xdr:cNvPr>
        <xdr:cNvCxnSpPr/>
      </xdr:nvCxnSpPr>
      <xdr:spPr>
        <a:xfrm>
          <a:off x="2887980" y="45567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373461-0AE1-4E8C-A626-7D57F1589AFD}"/>
            </a:ext>
          </a:extLst>
        </xdr:cNvPr>
        <xdr:cNvCxnSpPr/>
      </xdr:nvCxnSpPr>
      <xdr:spPr>
        <a:xfrm>
          <a:off x="2903220" y="75895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01BD8D-1E93-45BD-ACC9-28F78D115204}"/>
            </a:ext>
          </a:extLst>
        </xdr:cNvPr>
        <xdr:cNvCxnSpPr/>
      </xdr:nvCxnSpPr>
      <xdr:spPr>
        <a:xfrm>
          <a:off x="2910840" y="17754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EE43869-5BD7-44E6-99FF-50F11F38B6E4}"/>
            </a:ext>
          </a:extLst>
        </xdr:cNvPr>
        <xdr:cNvCxnSpPr/>
      </xdr:nvCxnSpPr>
      <xdr:spPr>
        <a:xfrm>
          <a:off x="2895600" y="656844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A25C76-0AEC-48BB-A97A-948BA3E3FC2B}"/>
            </a:ext>
          </a:extLst>
        </xdr:cNvPr>
        <xdr:cNvCxnSpPr/>
      </xdr:nvCxnSpPr>
      <xdr:spPr>
        <a:xfrm>
          <a:off x="7810500" y="6762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3E9D7F7-D2F8-451B-8958-DD4884F92F91}"/>
            </a:ext>
          </a:extLst>
        </xdr:cNvPr>
        <xdr:cNvCxnSpPr/>
      </xdr:nvCxnSpPr>
      <xdr:spPr>
        <a:xfrm>
          <a:off x="779145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BE7BD39-7CDD-47DB-899E-91C6DE239E29}"/>
            </a:ext>
          </a:extLst>
        </xdr:cNvPr>
        <xdr:cNvCxnSpPr/>
      </xdr:nvCxnSpPr>
      <xdr:spPr>
        <a:xfrm>
          <a:off x="7800975" y="881062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A6A1D0A-BAB0-4E68-8A07-88C73F9851AB}"/>
            </a:ext>
          </a:extLst>
        </xdr:cNvPr>
        <xdr:cNvCxnSpPr/>
      </xdr:nvCxnSpPr>
      <xdr:spPr>
        <a:xfrm>
          <a:off x="7800975" y="1781175"/>
          <a:ext cx="0" cy="6315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97F14DE-438D-42A8-AE12-97E786531BFA}"/>
            </a:ext>
          </a:extLst>
        </xdr:cNvPr>
        <xdr:cNvCxnSpPr/>
      </xdr:nvCxnSpPr>
      <xdr:spPr>
        <a:xfrm>
          <a:off x="3716655" y="3678555"/>
          <a:ext cx="0" cy="69437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8E3E563-79C5-4483-8FBB-DB69ED3C7D22}"/>
            </a:ext>
          </a:extLst>
        </xdr:cNvPr>
        <xdr:cNvCxnSpPr/>
      </xdr:nvCxnSpPr>
      <xdr:spPr>
        <a:xfrm>
          <a:off x="3710940" y="492252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ED0AB60-0C79-4999-9A5D-E3ED52BB2EA9}"/>
            </a:ext>
          </a:extLst>
        </xdr:cNvPr>
        <xdr:cNvCxnSpPr/>
      </xdr:nvCxnSpPr>
      <xdr:spPr>
        <a:xfrm>
          <a:off x="2625090" y="1101090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2440891-EFD1-4326-91F1-0971016C1F1E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CEAA1818-5A15-4C95-9C09-5D4F9796C8D3}"/>
            </a:ext>
          </a:extLst>
        </xdr:cNvPr>
        <xdr:cNvCxnSpPr/>
      </xdr:nvCxnSpPr>
      <xdr:spPr>
        <a:xfrm>
          <a:off x="5465445" y="366522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207CF4B-EC3F-439E-A739-059EB3E53200}"/>
            </a:ext>
          </a:extLst>
        </xdr:cNvPr>
        <xdr:cNvCxnSpPr/>
      </xdr:nvCxnSpPr>
      <xdr:spPr>
        <a:xfrm>
          <a:off x="5469255" y="493395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E8F86B1-1D8C-4659-AD7E-7F010F474E28}"/>
            </a:ext>
          </a:extLst>
        </xdr:cNvPr>
        <xdr:cNvCxnSpPr/>
      </xdr:nvCxnSpPr>
      <xdr:spPr>
        <a:xfrm>
          <a:off x="457009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8BB0163-E70C-418E-9B58-6EC63D54FA91}"/>
            </a:ext>
          </a:extLst>
        </xdr:cNvPr>
        <xdr:cNvCxnSpPr/>
      </xdr:nvCxnSpPr>
      <xdr:spPr>
        <a:xfrm>
          <a:off x="457390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355DCD2E-501F-435A-B132-AED69A7DDCC8}"/>
            </a:ext>
          </a:extLst>
        </xdr:cNvPr>
        <xdr:cNvCxnSpPr/>
      </xdr:nvCxnSpPr>
      <xdr:spPr>
        <a:xfrm>
          <a:off x="457009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ED5651D-2C8B-44E8-9940-A0155093C51E}"/>
            </a:ext>
          </a:extLst>
        </xdr:cNvPr>
        <xdr:cNvCxnSpPr/>
      </xdr:nvCxnSpPr>
      <xdr:spPr>
        <a:xfrm>
          <a:off x="4581525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84A2B4-4B73-4CE2-B52A-7018C7446DEC}"/>
            </a:ext>
          </a:extLst>
        </xdr:cNvPr>
        <xdr:cNvCxnSpPr/>
      </xdr:nvCxnSpPr>
      <xdr:spPr>
        <a:xfrm>
          <a:off x="2897505" y="3663315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8F644B2-9DCA-4840-BD3C-A49C3309C3A8}"/>
            </a:ext>
          </a:extLst>
        </xdr:cNvPr>
        <xdr:cNvCxnSpPr/>
      </xdr:nvCxnSpPr>
      <xdr:spPr>
        <a:xfrm>
          <a:off x="2886075" y="49053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730D4F7-007A-4171-B607-1EBE0CCCAC56}"/>
            </a:ext>
          </a:extLst>
        </xdr:cNvPr>
        <xdr:cNvCxnSpPr/>
      </xdr:nvCxnSpPr>
      <xdr:spPr>
        <a:xfrm>
          <a:off x="2905125" y="18859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51D6521-7AE3-412A-A516-2A3D7851839D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2D0552-ADD5-449C-B136-A0C5B5144EE7}"/>
            </a:ext>
          </a:extLst>
        </xdr:cNvPr>
        <xdr:cNvCxnSpPr/>
      </xdr:nvCxnSpPr>
      <xdr:spPr>
        <a:xfrm>
          <a:off x="3712845" y="3676650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5E21927-FF85-4410-B454-0FEDC01A44DC}"/>
            </a:ext>
          </a:extLst>
        </xdr:cNvPr>
        <xdr:cNvCxnSpPr/>
      </xdr:nvCxnSpPr>
      <xdr:spPr>
        <a:xfrm>
          <a:off x="3714750" y="4926330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631C60-1E28-4A1C-ADF2-EF44DB8A8D9F}"/>
            </a:ext>
          </a:extLst>
        </xdr:cNvPr>
        <xdr:cNvCxnSpPr/>
      </xdr:nvCxnSpPr>
      <xdr:spPr>
        <a:xfrm>
          <a:off x="2625090" y="1112710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8B45D56-41B5-4291-AE93-7F1046C28287}"/>
            </a:ext>
          </a:extLst>
        </xdr:cNvPr>
        <xdr:cNvCxnSpPr/>
      </xdr:nvCxnSpPr>
      <xdr:spPr>
        <a:xfrm>
          <a:off x="54768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F013630-2643-46B3-89DF-5E6321A45A16}"/>
            </a:ext>
          </a:extLst>
        </xdr:cNvPr>
        <xdr:cNvCxnSpPr/>
      </xdr:nvCxnSpPr>
      <xdr:spPr>
        <a:xfrm>
          <a:off x="5469255" y="366903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C2E5885-DB2A-40C0-A972-EEF3468416C0}"/>
            </a:ext>
          </a:extLst>
        </xdr:cNvPr>
        <xdr:cNvCxnSpPr/>
      </xdr:nvCxnSpPr>
      <xdr:spPr>
        <a:xfrm>
          <a:off x="5465445" y="493204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68A5815-6E5C-40C2-A0C6-A012FAAF44CB}"/>
            </a:ext>
          </a:extLst>
        </xdr:cNvPr>
        <xdr:cNvCxnSpPr/>
      </xdr:nvCxnSpPr>
      <xdr:spPr>
        <a:xfrm>
          <a:off x="457390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CF5F3D8-A02E-4CC9-8C8F-4ADF5CBBCE12}"/>
            </a:ext>
          </a:extLst>
        </xdr:cNvPr>
        <xdr:cNvCxnSpPr/>
      </xdr:nvCxnSpPr>
      <xdr:spPr>
        <a:xfrm>
          <a:off x="457009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6BF5E7D-3B12-4305-B1EE-04E4D59F1AAC}"/>
            </a:ext>
          </a:extLst>
        </xdr:cNvPr>
        <xdr:cNvCxnSpPr/>
      </xdr:nvCxnSpPr>
      <xdr:spPr>
        <a:xfrm>
          <a:off x="457390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9B7AA0D-78F7-4669-966A-D49A3953342E}"/>
            </a:ext>
          </a:extLst>
        </xdr:cNvPr>
        <xdr:cNvCxnSpPr/>
      </xdr:nvCxnSpPr>
      <xdr:spPr>
        <a:xfrm>
          <a:off x="4579620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13</xdr:row>
      <xdr:rowOff>5715</xdr:rowOff>
    </xdr:from>
    <xdr:to>
      <xdr:col>17</xdr:col>
      <xdr:colOff>133350</xdr:colOff>
      <xdr:row>15</xdr:row>
      <xdr:rowOff>93345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0ED1AC-CCE3-468D-9BE9-F216B6528F54}"/>
            </a:ext>
          </a:extLst>
        </xdr:cNvPr>
        <xdr:cNvCxnSpPr/>
      </xdr:nvCxnSpPr>
      <xdr:spPr>
        <a:xfrm>
          <a:off x="12849225" y="2244090"/>
          <a:ext cx="0" cy="43053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30</xdr:row>
      <xdr:rowOff>76200</xdr:rowOff>
    </xdr:from>
    <xdr:to>
      <xdr:col>17</xdr:col>
      <xdr:colOff>123825</xdr:colOff>
      <xdr:row>32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A92019C-0CC0-4666-879C-9A28C9B23459}"/>
            </a:ext>
          </a:extLst>
        </xdr:cNvPr>
        <xdr:cNvCxnSpPr/>
      </xdr:nvCxnSpPr>
      <xdr:spPr>
        <a:xfrm flipH="1">
          <a:off x="12837795" y="5238750"/>
          <a:ext cx="1905" cy="3581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13</xdr:row>
      <xdr:rowOff>19050</xdr:rowOff>
    </xdr:from>
    <xdr:to>
      <xdr:col>17</xdr:col>
      <xdr:colOff>102870</xdr:colOff>
      <xdr:row>15</xdr:row>
      <xdr:rowOff>100965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AF28E8-C869-4AD1-80D1-9669E780C33E}"/>
            </a:ext>
          </a:extLst>
        </xdr:cNvPr>
        <xdr:cNvCxnSpPr/>
      </xdr:nvCxnSpPr>
      <xdr:spPr>
        <a:xfrm>
          <a:off x="12618720" y="2257425"/>
          <a:ext cx="0" cy="42481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</xdr:colOff>
      <xdr:row>30</xdr:row>
      <xdr:rowOff>30480</xdr:rowOff>
    </xdr:from>
    <xdr:to>
      <xdr:col>17</xdr:col>
      <xdr:colOff>97155</xdr:colOff>
      <xdr:row>32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0300CA2-3253-481F-B5BC-9271A8F7B835}"/>
            </a:ext>
          </a:extLst>
        </xdr:cNvPr>
        <xdr:cNvCxnSpPr/>
      </xdr:nvCxnSpPr>
      <xdr:spPr>
        <a:xfrm>
          <a:off x="12613005" y="519303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2.44140625" style="3" bestFit="1" customWidth="1"/>
    <col min="9" max="9" width="14" style="32" bestFit="1" customWidth="1"/>
    <col min="10" max="10" width="2.88671875" customWidth="1"/>
    <col min="11" max="11" width="17.44140625" style="5" bestFit="1" customWidth="1"/>
    <col min="12" max="16384" width="10.6640625" style="2"/>
  </cols>
  <sheetData>
    <row r="1" spans="1:11">
      <c r="D1" s="140"/>
    </row>
    <row r="2" spans="1:11">
      <c r="A2" s="6" t="s">
        <v>0</v>
      </c>
      <c r="D2" s="1"/>
      <c r="E2" s="4"/>
      <c r="F2" s="4"/>
      <c r="G2" s="4"/>
      <c r="H2" s="4"/>
    </row>
    <row r="3" spans="1:11" ht="12.75" customHeight="1">
      <c r="A3" s="6" t="s">
        <v>21</v>
      </c>
      <c r="D3" s="1"/>
      <c r="E3" s="7"/>
      <c r="F3" s="7"/>
      <c r="G3" s="7"/>
      <c r="H3" s="7"/>
    </row>
    <row r="4" spans="1:11">
      <c r="A4" s="6" t="s">
        <v>43</v>
      </c>
      <c r="D4" s="1"/>
    </row>
    <row r="5" spans="1:11" ht="12.75" customHeight="1">
      <c r="A5" s="6" t="s">
        <v>1</v>
      </c>
      <c r="D5" s="1"/>
      <c r="E5" s="7"/>
      <c r="F5" s="7"/>
      <c r="G5" s="7"/>
      <c r="H5" s="7"/>
    </row>
    <row r="6" spans="1:11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11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11" s="10" customFormat="1">
      <c r="B8" s="11"/>
      <c r="E8" s="12"/>
      <c r="F8" s="12"/>
      <c r="G8" s="12"/>
      <c r="H8" s="12"/>
      <c r="I8" s="104"/>
      <c r="J8"/>
    </row>
    <row r="9" spans="1:11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11" s="16" customFormat="1">
      <c r="A10" s="14"/>
      <c r="C10" s="16" t="s">
        <v>34</v>
      </c>
      <c r="E10" s="19">
        <v>20791</v>
      </c>
      <c r="F10" s="42">
        <f>E10+(E60/1000)</f>
        <v>21711.468380000628</v>
      </c>
      <c r="H10" s="42">
        <f>-(F60/1000)</f>
        <v>-72.288396421350768</v>
      </c>
      <c r="I10" s="105">
        <f>SUM(-E10,F10,G10:H10)</f>
        <v>848.17998357927706</v>
      </c>
      <c r="J10"/>
      <c r="K10" s="16">
        <f>E10+I10</f>
        <v>21639.179983579277</v>
      </c>
    </row>
    <row r="11" spans="1:11" s="16" customFormat="1">
      <c r="A11" s="14"/>
      <c r="C11" s="16" t="s">
        <v>33</v>
      </c>
      <c r="E11" s="19">
        <f>E44</f>
        <v>21924.798000000003</v>
      </c>
      <c r="F11" s="42">
        <f>F44</f>
        <v>24686.845332398429</v>
      </c>
      <c r="H11" s="42"/>
      <c r="I11" s="105">
        <f>SUM(-E11,F11,G11:H11)</f>
        <v>2762.0473323984261</v>
      </c>
      <c r="J11"/>
      <c r="K11" s="16">
        <f t="shared" ref="K11:K14" si="0">E11+I11</f>
        <v>24686.845332398429</v>
      </c>
    </row>
    <row r="12" spans="1:11" s="16" customFormat="1">
      <c r="A12" s="14"/>
      <c r="C12" s="16" t="s">
        <v>32</v>
      </c>
      <c r="E12" s="19">
        <v>9925</v>
      </c>
      <c r="F12" s="42">
        <f>E12+(E64/1000)</f>
        <v>10729.753958451944</v>
      </c>
      <c r="H12" s="47">
        <f>-(F64/1000)</f>
        <v>0</v>
      </c>
      <c r="I12" s="105">
        <f t="shared" ref="I12:I14" si="1">SUM(-E12,F12,G12:H12)</f>
        <v>804.75395845194362</v>
      </c>
      <c r="J12"/>
      <c r="K12" s="16">
        <f t="shared" si="0"/>
        <v>10729.753958451944</v>
      </c>
    </row>
    <row r="13" spans="1:11" s="16" customFormat="1">
      <c r="A13" s="14"/>
      <c r="C13" s="16" t="s">
        <v>4</v>
      </c>
      <c r="E13" s="19">
        <v>31102</v>
      </c>
      <c r="F13" s="42">
        <f>E13+(E65/1000)</f>
        <v>31255.137906385287</v>
      </c>
      <c r="G13" s="132">
        <f>-'NR.1E-New Rev '!H35</f>
        <v>-345.68607147929077</v>
      </c>
      <c r="H13" s="42">
        <f>-(F65/1000)</f>
        <v>-1170.472579806391</v>
      </c>
      <c r="I13" s="105">
        <f t="shared" si="1"/>
        <v>-1363.0207449003944</v>
      </c>
      <c r="J13"/>
      <c r="K13" s="16">
        <f t="shared" si="0"/>
        <v>29738.979255099606</v>
      </c>
    </row>
    <row r="14" spans="1:11" s="16" customFormat="1">
      <c r="A14" s="14"/>
      <c r="C14" s="16" t="s">
        <v>35</v>
      </c>
      <c r="E14" s="18">
        <v>15583</v>
      </c>
      <c r="F14" s="45">
        <f>E14+(SUM(E66:E67)/1000)</f>
        <v>14580.692554547988</v>
      </c>
      <c r="G14" s="46"/>
      <c r="H14" s="45">
        <f>-(SUM(F66:F67)/1000)</f>
        <v>-193.84457795641882</v>
      </c>
      <c r="I14" s="105">
        <f t="shared" si="1"/>
        <v>-1196.1520234084308</v>
      </c>
      <c r="J14"/>
      <c r="K14" s="46">
        <f t="shared" si="0"/>
        <v>14386.847976591569</v>
      </c>
    </row>
    <row r="15" spans="1:11" s="16" customFormat="1" ht="18" customHeight="1">
      <c r="A15" s="14"/>
      <c r="B15" s="16" t="s">
        <v>5</v>
      </c>
      <c r="E15" s="18">
        <f>SUM(E10:E14)</f>
        <v>99325.79800000001</v>
      </c>
      <c r="F15" s="18">
        <f>SUM(F10:F14)</f>
        <v>102963.89813178427</v>
      </c>
      <c r="G15" s="27">
        <f>SUM(G10:G14)</f>
        <v>-345.68607147929077</v>
      </c>
      <c r="H15" s="18">
        <f t="shared" ref="H15" si="2">SUM(H10:H14)</f>
        <v>-1436.6055541841606</v>
      </c>
      <c r="I15" s="106">
        <f>SUM(I10:I14)</f>
        <v>1855.8085061208214</v>
      </c>
      <c r="J15"/>
      <c r="K15" s="46">
        <f>SUM(K10:K14)</f>
        <v>101181.60650612082</v>
      </c>
    </row>
    <row r="16" spans="1:11" s="16" customFormat="1">
      <c r="E16" s="30"/>
      <c r="F16" s="30"/>
      <c r="G16" s="30"/>
      <c r="H16" s="17"/>
      <c r="I16" s="105"/>
      <c r="J16"/>
      <c r="K16" s="117"/>
    </row>
    <row r="17" spans="1:37" s="5" customFormat="1">
      <c r="A17" s="21"/>
      <c r="B17" s="2"/>
      <c r="C17" s="2"/>
      <c r="D17" s="2"/>
      <c r="E17" s="3"/>
      <c r="F17" s="3"/>
      <c r="G17" s="3"/>
      <c r="H17" s="3"/>
      <c r="I17" s="105"/>
      <c r="J17"/>
      <c r="K17" s="11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5" customFormat="1">
      <c r="A18" s="21"/>
      <c r="B18" s="2" t="s">
        <v>6</v>
      </c>
      <c r="C18" s="2"/>
      <c r="D18" s="2"/>
      <c r="E18" s="3"/>
      <c r="F18" s="3"/>
      <c r="G18" s="3"/>
      <c r="H18" s="3"/>
      <c r="I18" s="105"/>
      <c r="J18"/>
      <c r="K18" s="11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5" customFormat="1">
      <c r="A19" s="1"/>
      <c r="B19" s="2" t="s">
        <v>7</v>
      </c>
      <c r="C19" s="2"/>
      <c r="D19" s="2"/>
      <c r="E19" s="30" t="s">
        <v>38</v>
      </c>
      <c r="F19" s="30" t="s">
        <v>38</v>
      </c>
      <c r="G19" s="30" t="s">
        <v>138</v>
      </c>
      <c r="H19" s="30" t="s">
        <v>139</v>
      </c>
      <c r="I19" s="105"/>
      <c r="J19"/>
      <c r="K19" s="1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5" customFormat="1">
      <c r="A20" s="22"/>
      <c r="C20" s="15" t="s">
        <v>8</v>
      </c>
      <c r="E20" s="19">
        <v>211035.28899999999</v>
      </c>
      <c r="F20" s="19">
        <v>213102</v>
      </c>
      <c r="G20" s="19"/>
      <c r="H20" s="19">
        <f>-'AMI - Electric'!Q15/1000</f>
        <v>12.401530738737435</v>
      </c>
      <c r="I20" s="105">
        <f>SUM(-E20,F20,G20:H20)</f>
        <v>2079.1125307387479</v>
      </c>
      <c r="J20"/>
      <c r="K20" s="16">
        <f t="shared" ref="K20:K24" si="3">E20+I20</f>
        <v>213114.40153073875</v>
      </c>
    </row>
    <row r="21" spans="1:37" s="16" customFormat="1">
      <c r="A21" s="21"/>
      <c r="C21" s="16" t="s">
        <v>9</v>
      </c>
      <c r="E21" s="19">
        <f>E50</f>
        <v>930160</v>
      </c>
      <c r="F21" s="19">
        <f>F50</f>
        <v>934139.30099999998</v>
      </c>
      <c r="G21" s="19"/>
      <c r="H21" s="19"/>
      <c r="I21" s="105">
        <f t="shared" ref="I21:I24" si="4">SUM(-E21,F21,G21:H21)</f>
        <v>3979.3009999999776</v>
      </c>
      <c r="J21"/>
      <c r="K21" s="16">
        <f t="shared" si="3"/>
        <v>934139.30099999998</v>
      </c>
    </row>
    <row r="22" spans="1:37" s="16" customFormat="1">
      <c r="A22" s="21"/>
      <c r="C22" s="16" t="s">
        <v>10</v>
      </c>
      <c r="E22" s="19">
        <v>509896.91200000001</v>
      </c>
      <c r="F22" s="19">
        <v>527864</v>
      </c>
      <c r="G22" s="19"/>
      <c r="H22" s="19"/>
      <c r="I22" s="105">
        <f t="shared" si="4"/>
        <v>17967.087999999989</v>
      </c>
      <c r="J22"/>
      <c r="K22" s="16">
        <f t="shared" si="3"/>
        <v>527864</v>
      </c>
    </row>
    <row r="23" spans="1:37" s="16" customFormat="1">
      <c r="A23" s="21"/>
      <c r="C23" s="16" t="s">
        <v>4</v>
      </c>
      <c r="E23" s="19">
        <v>1194476.476</v>
      </c>
      <c r="F23" s="19">
        <v>1233690</v>
      </c>
      <c r="G23" s="126">
        <f>-'NR.1E-New Rev '!C35</f>
        <v>-14111.248264734279</v>
      </c>
      <c r="H23" s="19">
        <f>-'AMI - Electric'!Q13/1000</f>
        <v>-17592.489930833341</v>
      </c>
      <c r="I23" s="105">
        <f t="shared" si="4"/>
        <v>7509.7858044323584</v>
      </c>
      <c r="J23"/>
      <c r="K23" s="16">
        <f t="shared" si="3"/>
        <v>1201986.2618044324</v>
      </c>
    </row>
    <row r="24" spans="1:37" s="16" customFormat="1">
      <c r="A24" s="21"/>
      <c r="C24" s="16" t="s">
        <v>11</v>
      </c>
      <c r="E24" s="18">
        <v>279556.24900000001</v>
      </c>
      <c r="F24" s="18">
        <v>286687</v>
      </c>
      <c r="G24" s="18"/>
      <c r="H24" s="18">
        <f>-'AMI - Electric'!Q14/1000</f>
        <v>-1517.7501680260859</v>
      </c>
      <c r="I24" s="107">
        <f t="shared" si="4"/>
        <v>5613.0008319739036</v>
      </c>
      <c r="J24"/>
      <c r="K24" s="46">
        <f t="shared" si="3"/>
        <v>285169.24983197392</v>
      </c>
    </row>
    <row r="25" spans="1:37" s="16" customFormat="1">
      <c r="A25" s="21"/>
      <c r="B25" s="16" t="s">
        <v>12</v>
      </c>
      <c r="E25" s="3">
        <f>SUM(E20:E24)</f>
        <v>3125124.926</v>
      </c>
      <c r="F25" s="3">
        <f>SUM(F20:F24)</f>
        <v>3195482.301</v>
      </c>
      <c r="G25" s="3">
        <f t="shared" ref="G25:H25" si="5">SUM(G20:G24)</f>
        <v>-14111.248264734279</v>
      </c>
      <c r="H25" s="128">
        <f t="shared" si="5"/>
        <v>-19097.838568120689</v>
      </c>
      <c r="I25" s="105">
        <f>SUM(I20:I24)</f>
        <v>37148.28816714498</v>
      </c>
      <c r="J25"/>
      <c r="K25" s="118">
        <f>SUM(K20:K24)</f>
        <v>3162273.2141671451</v>
      </c>
    </row>
    <row r="26" spans="1:37" s="16" customFormat="1" ht="18" customHeight="1">
      <c r="A26" s="21"/>
      <c r="B26" s="16" t="s">
        <v>13</v>
      </c>
      <c r="E26" s="30" t="s">
        <v>38</v>
      </c>
      <c r="F26" s="30" t="s">
        <v>38</v>
      </c>
      <c r="G26" s="30" t="s">
        <v>138</v>
      </c>
      <c r="H26" s="30" t="s">
        <v>139</v>
      </c>
      <c r="I26" s="105"/>
      <c r="J26"/>
      <c r="K26" s="117"/>
    </row>
    <row r="27" spans="1:37" s="16" customFormat="1">
      <c r="A27" s="21"/>
      <c r="C27" s="15" t="s">
        <v>8</v>
      </c>
      <c r="E27" s="19">
        <v>-57195</v>
      </c>
      <c r="F27" s="19">
        <v>-64518.855000000003</v>
      </c>
      <c r="G27" s="19"/>
      <c r="H27" s="19">
        <f>-'AMI - Electric'!Q32/1000</f>
        <v>2010.2032951567835</v>
      </c>
      <c r="I27" s="105">
        <f>SUM(-E27,F27,G27:H27)</f>
        <v>-5313.6517048432197</v>
      </c>
      <c r="J27"/>
      <c r="K27" s="16">
        <f t="shared" ref="K27:K31" si="6">E27+I27</f>
        <v>-62508.651704843222</v>
      </c>
    </row>
    <row r="28" spans="1:37" s="16" customFormat="1">
      <c r="A28" s="21"/>
      <c r="C28" s="16" t="s">
        <v>9</v>
      </c>
      <c r="E28" s="19">
        <f>E56</f>
        <v>-382437</v>
      </c>
      <c r="F28" s="19">
        <f>F56</f>
        <v>-390611.13500000001</v>
      </c>
      <c r="G28" s="19"/>
      <c r="H28" s="19"/>
      <c r="I28" s="105">
        <f t="shared" ref="I28:I31" si="7">SUM(-E28,F28,G28:H28)</f>
        <v>-8174.1350000000093</v>
      </c>
      <c r="J28"/>
      <c r="K28" s="16">
        <f t="shared" si="6"/>
        <v>-390611.13500000001</v>
      </c>
    </row>
    <row r="29" spans="1:37" s="16" customFormat="1">
      <c r="A29" s="21"/>
      <c r="C29" s="16" t="s">
        <v>10</v>
      </c>
      <c r="E29" s="19">
        <v>-147016</v>
      </c>
      <c r="F29" s="19">
        <v>-150786.728</v>
      </c>
      <c r="G29" s="19"/>
      <c r="H29" s="19"/>
      <c r="I29" s="105">
        <f t="shared" si="7"/>
        <v>-3770.7280000000028</v>
      </c>
      <c r="J29"/>
      <c r="K29" s="16">
        <f t="shared" si="6"/>
        <v>-150786.728</v>
      </c>
    </row>
    <row r="30" spans="1:37" s="16" customFormat="1">
      <c r="A30" s="21"/>
      <c r="C30" s="16" t="s">
        <v>4</v>
      </c>
      <c r="E30" s="19">
        <v>-358989</v>
      </c>
      <c r="F30" s="19">
        <v>-359566.21799999999</v>
      </c>
      <c r="G30" s="126">
        <f>'NR.1E-New Rev '!H35</f>
        <v>345.68607147929077</v>
      </c>
      <c r="H30" s="19">
        <f>-'AMI - Electric'!Q30/1000</f>
        <v>789.68742583333324</v>
      </c>
      <c r="I30" s="105">
        <f t="shared" si="7"/>
        <v>558.15549731263059</v>
      </c>
      <c r="J30"/>
      <c r="K30" s="16">
        <f t="shared" si="6"/>
        <v>-358430.8445026874</v>
      </c>
    </row>
    <row r="31" spans="1:37" s="16" customFormat="1">
      <c r="A31" s="21"/>
      <c r="C31" s="16" t="s">
        <v>11</v>
      </c>
      <c r="E31" s="19">
        <v>-92748</v>
      </c>
      <c r="F31" s="19">
        <v>-92213.226999999999</v>
      </c>
      <c r="G31" s="19"/>
      <c r="H31" s="19">
        <f>-'AMI - Electric'!Q31/1000</f>
        <v>583.32702579139959</v>
      </c>
      <c r="I31" s="105">
        <f t="shared" si="7"/>
        <v>1118.1000257914006</v>
      </c>
      <c r="J31"/>
      <c r="K31" s="16">
        <f t="shared" si="6"/>
        <v>-91629.899974208602</v>
      </c>
    </row>
    <row r="32" spans="1:37" s="16" customFormat="1">
      <c r="A32" s="21"/>
      <c r="B32" s="16" t="s">
        <v>14</v>
      </c>
      <c r="E32" s="23">
        <f>SUM(E27:E31)</f>
        <v>-1038385</v>
      </c>
      <c r="F32" s="23">
        <f t="shared" ref="F32:H32" si="8">SUM(F27:F31)</f>
        <v>-1057696.1629999999</v>
      </c>
      <c r="G32" s="23">
        <f t="shared" si="8"/>
        <v>345.68607147929077</v>
      </c>
      <c r="H32" s="129">
        <f t="shared" si="8"/>
        <v>3383.2177467815163</v>
      </c>
      <c r="I32" s="108">
        <f>SUM(I27:I31)</f>
        <v>-15582.259181739204</v>
      </c>
      <c r="J32"/>
      <c r="K32" s="119">
        <f>SUM(K27:K31)</f>
        <v>-1053967.2591817393</v>
      </c>
    </row>
    <row r="33" spans="1:11" s="16" customFormat="1">
      <c r="A33" s="21"/>
      <c r="B33" s="16" t="s">
        <v>15</v>
      </c>
      <c r="E33" s="23">
        <f>E25+E32</f>
        <v>2086739.926</v>
      </c>
      <c r="F33" s="23">
        <f>F25+F32</f>
        <v>2137786.1380000003</v>
      </c>
      <c r="G33" s="23">
        <f t="shared" ref="G33:H33" si="9">G25+G32</f>
        <v>-13765.562193254988</v>
      </c>
      <c r="H33" s="23">
        <f t="shared" si="9"/>
        <v>-15714.620821339173</v>
      </c>
      <c r="I33" s="108">
        <f>I25+I32</f>
        <v>21566.028985405777</v>
      </c>
      <c r="J33"/>
      <c r="K33" s="119">
        <f>K25+K32</f>
        <v>2108305.9549854058</v>
      </c>
    </row>
    <row r="34" spans="1:11" s="16" customFormat="1">
      <c r="A34" s="21"/>
      <c r="E34" s="30"/>
      <c r="F34" s="30"/>
      <c r="G34" s="30"/>
      <c r="H34" s="13"/>
      <c r="I34" s="105"/>
      <c r="J34"/>
      <c r="K34" s="117"/>
    </row>
    <row r="35" spans="1:11" s="16" customFormat="1">
      <c r="A35" s="21"/>
      <c r="E35" s="30" t="s">
        <v>39</v>
      </c>
      <c r="F35" s="30" t="s">
        <v>40</v>
      </c>
      <c r="G35" s="30" t="s">
        <v>138</v>
      </c>
      <c r="H35" s="13"/>
      <c r="I35" s="105"/>
      <c r="J35"/>
      <c r="K35" s="117"/>
    </row>
    <row r="36" spans="1:11" s="16" customFormat="1">
      <c r="A36" s="20"/>
      <c r="B36" s="16" t="s">
        <v>16</v>
      </c>
      <c r="E36" s="29">
        <v>-418923</v>
      </c>
      <c r="F36" s="29">
        <v>-420133</v>
      </c>
      <c r="G36" s="130">
        <f>-'NR.1E-New Rev '!U33</f>
        <v>693</v>
      </c>
      <c r="H36" s="29"/>
      <c r="I36" s="107">
        <f>SUM(-E36,F36,G36:H36)</f>
        <v>-517</v>
      </c>
      <c r="J36"/>
      <c r="K36" s="120">
        <f>E36+I36</f>
        <v>-419440</v>
      </c>
    </row>
    <row r="37" spans="1:11" s="16" customFormat="1">
      <c r="A37" s="20"/>
      <c r="C37" s="16" t="s">
        <v>17</v>
      </c>
      <c r="E37" s="13">
        <f>SUM(E33:E36)</f>
        <v>1667816.926</v>
      </c>
      <c r="F37" s="13">
        <f>SUM(F33:F36)</f>
        <v>1717653.1380000003</v>
      </c>
      <c r="G37" s="13">
        <f>SUM(G33:G36)</f>
        <v>-13072.562193254988</v>
      </c>
      <c r="H37" s="13">
        <f>SUM(H33:H36)</f>
        <v>-15714.620821339173</v>
      </c>
      <c r="I37" s="107">
        <f>SUM(I33:I36)</f>
        <v>21049.028985405777</v>
      </c>
      <c r="J37"/>
      <c r="K37" s="118">
        <f>SUM(K33:K36)</f>
        <v>1688865.9549854058</v>
      </c>
    </row>
    <row r="38" spans="1:11">
      <c r="E38" s="31"/>
      <c r="F38" s="31"/>
      <c r="G38" s="31"/>
      <c r="I38" s="109"/>
      <c r="K38" s="121"/>
    </row>
    <row r="39" spans="1:11">
      <c r="B39" s="28" t="s">
        <v>22</v>
      </c>
      <c r="C39" s="24"/>
      <c r="D39" s="25"/>
      <c r="I39" s="109"/>
      <c r="K39" s="118"/>
    </row>
    <row r="40" spans="1:11">
      <c r="B40" s="16" t="s">
        <v>23</v>
      </c>
      <c r="C40" s="16"/>
      <c r="D40" s="16"/>
      <c r="E40" s="30" t="s">
        <v>38</v>
      </c>
      <c r="F40" s="30" t="s">
        <v>41</v>
      </c>
      <c r="G40" s="30"/>
      <c r="I40" s="109"/>
      <c r="K40" s="117"/>
    </row>
    <row r="41" spans="1:11">
      <c r="B41" s="16" t="s">
        <v>24</v>
      </c>
      <c r="C41" s="16"/>
      <c r="D41" s="16"/>
      <c r="E41" s="19">
        <f>2926.438+3113.36</f>
        <v>6039.7980000000007</v>
      </c>
      <c r="F41" s="42">
        <f>E41+(E61/1000)</f>
        <v>13115.995594858992</v>
      </c>
      <c r="G41" s="19"/>
      <c r="H41" s="19"/>
      <c r="I41" s="108">
        <f>SUM(-E41,F41,G41:H41)</f>
        <v>7076.1975948589916</v>
      </c>
      <c r="K41" s="16">
        <f t="shared" ref="K41:K43" si="10">E41+I41</f>
        <v>13115.995594858992</v>
      </c>
    </row>
    <row r="42" spans="1:11">
      <c r="B42" s="16" t="s">
        <v>25</v>
      </c>
      <c r="C42" s="16"/>
      <c r="D42" s="16"/>
      <c r="E42" s="19">
        <v>8916</v>
      </c>
      <c r="F42" s="42">
        <f t="shared" ref="F42:F43" si="11">E42+(E62/1000)</f>
        <v>4969.0476635172272</v>
      </c>
      <c r="G42" s="19"/>
      <c r="H42" s="19"/>
      <c r="I42" s="105">
        <f t="shared" ref="I42:I43" si="12">SUM(-E42,F42,G42:H42)</f>
        <v>-3946.9523364827728</v>
      </c>
      <c r="K42" s="16">
        <f t="shared" si="10"/>
        <v>4969.0476635172272</v>
      </c>
    </row>
    <row r="43" spans="1:11">
      <c r="B43" s="16" t="s">
        <v>26</v>
      </c>
      <c r="C43" s="16"/>
      <c r="D43" s="16"/>
      <c r="E43" s="19">
        <v>6969</v>
      </c>
      <c r="F43" s="42">
        <f t="shared" si="11"/>
        <v>6601.8020740222091</v>
      </c>
      <c r="G43" s="19"/>
      <c r="H43" s="19"/>
      <c r="I43" s="105">
        <f t="shared" si="12"/>
        <v>-367.19792597779087</v>
      </c>
      <c r="K43" s="16">
        <f t="shared" si="10"/>
        <v>6601.8020740222091</v>
      </c>
    </row>
    <row r="44" spans="1:11">
      <c r="B44" s="16" t="s">
        <v>27</v>
      </c>
      <c r="C44" s="16"/>
      <c r="D44" s="16"/>
      <c r="E44" s="26">
        <f>SUM(E41:E43)</f>
        <v>21924.798000000003</v>
      </c>
      <c r="F44" s="26">
        <f>SUM(F41:F43)</f>
        <v>24686.845332398429</v>
      </c>
      <c r="G44" s="26"/>
      <c r="H44" s="26"/>
      <c r="I44" s="106">
        <f>SUM(I41:I43)</f>
        <v>2762.0473323984279</v>
      </c>
      <c r="K44" s="122">
        <f>SUM(K41:K43)</f>
        <v>24686.845332398429</v>
      </c>
    </row>
    <row r="45" spans="1:11">
      <c r="B45" s="16"/>
      <c r="C45" s="16"/>
      <c r="D45" s="16"/>
      <c r="E45" s="30"/>
      <c r="F45" s="30"/>
      <c r="G45" s="30"/>
      <c r="H45" s="19"/>
      <c r="I45" s="105"/>
      <c r="K45" s="117"/>
    </row>
    <row r="46" spans="1:11">
      <c r="B46" s="16" t="s">
        <v>28</v>
      </c>
      <c r="C46" s="16"/>
      <c r="E46" s="30" t="s">
        <v>38</v>
      </c>
      <c r="F46" s="30" t="s">
        <v>38</v>
      </c>
      <c r="G46" s="30"/>
      <c r="H46" s="19"/>
      <c r="I46" s="105"/>
      <c r="K46" s="117"/>
    </row>
    <row r="47" spans="1:11">
      <c r="B47" s="16" t="s">
        <v>24</v>
      </c>
      <c r="C47" s="16"/>
      <c r="E47" s="19">
        <v>286545</v>
      </c>
      <c r="F47" s="19">
        <v>287448.49400000001</v>
      </c>
      <c r="G47" s="19"/>
      <c r="H47" s="19"/>
      <c r="I47" s="105">
        <f t="shared" ref="I47:I49" si="13">SUM(-E47,F47,G47:H47)</f>
        <v>903.49400000000605</v>
      </c>
      <c r="K47" s="16">
        <f t="shared" ref="K47:K49" si="14">E47+I47</f>
        <v>287448.49400000001</v>
      </c>
    </row>
    <row r="48" spans="1:11">
      <c r="B48" s="16" t="s">
        <v>25</v>
      </c>
      <c r="C48" s="16"/>
      <c r="E48" s="19">
        <v>442056</v>
      </c>
      <c r="F48" s="19">
        <v>444091.359</v>
      </c>
      <c r="G48" s="19"/>
      <c r="H48" s="19"/>
      <c r="I48" s="105">
        <f t="shared" si="13"/>
        <v>2035.3589999999967</v>
      </c>
      <c r="K48" s="16">
        <f t="shared" si="14"/>
        <v>444091.359</v>
      </c>
    </row>
    <row r="49" spans="2:11">
      <c r="B49" s="16" t="s">
        <v>26</v>
      </c>
      <c r="C49" s="16"/>
      <c r="E49" s="19">
        <v>201559</v>
      </c>
      <c r="F49" s="19">
        <v>202599.448</v>
      </c>
      <c r="G49" s="19"/>
      <c r="H49" s="19"/>
      <c r="I49" s="105">
        <f t="shared" si="13"/>
        <v>1040.448000000004</v>
      </c>
      <c r="K49" s="16">
        <f t="shared" si="14"/>
        <v>202599.448</v>
      </c>
    </row>
    <row r="50" spans="2:11">
      <c r="B50" s="16" t="s">
        <v>29</v>
      </c>
      <c r="C50" s="16"/>
      <c r="E50" s="26">
        <f>SUM(E47:E49)</f>
        <v>930160</v>
      </c>
      <c r="F50" s="26">
        <f t="shared" ref="F50" si="15">SUM(F47:F49)</f>
        <v>934139.30099999998</v>
      </c>
      <c r="G50" s="26"/>
      <c r="H50" s="26"/>
      <c r="I50" s="106">
        <f>SUM(I47:I49)</f>
        <v>3979.3010000000068</v>
      </c>
      <c r="K50" s="122">
        <f>SUM(K47:K49)</f>
        <v>934139.30099999998</v>
      </c>
    </row>
    <row r="51" spans="2:11">
      <c r="B51" s="16"/>
      <c r="C51" s="16"/>
      <c r="E51" s="30"/>
      <c r="F51" s="30"/>
      <c r="G51" s="30"/>
      <c r="H51" s="19"/>
      <c r="I51" s="105"/>
      <c r="K51" s="117"/>
    </row>
    <row r="52" spans="2:11">
      <c r="B52" s="16" t="s">
        <v>30</v>
      </c>
      <c r="C52" s="16"/>
      <c r="E52" s="30" t="s">
        <v>38</v>
      </c>
      <c r="F52" s="30" t="s">
        <v>38</v>
      </c>
      <c r="G52" s="30"/>
      <c r="H52" s="19"/>
      <c r="I52" s="105"/>
      <c r="K52" s="117"/>
    </row>
    <row r="53" spans="2:11">
      <c r="B53" s="16" t="s">
        <v>24</v>
      </c>
      <c r="C53" s="16"/>
      <c r="E53" s="19">
        <v>-202373</v>
      </c>
      <c r="F53" s="19">
        <v>-204605.17800000001</v>
      </c>
      <c r="G53" s="19"/>
      <c r="H53" s="19"/>
      <c r="I53" s="105">
        <f>SUM(-E53,F53,G53:H53)</f>
        <v>-2232.1780000000144</v>
      </c>
      <c r="K53" s="16">
        <f t="shared" ref="K53:K55" si="16">E53+I53</f>
        <v>-204605.17800000001</v>
      </c>
    </row>
    <row r="54" spans="2:11">
      <c r="B54" s="16" t="s">
        <v>25</v>
      </c>
      <c r="C54" s="16"/>
      <c r="E54" s="19">
        <v>-92485</v>
      </c>
      <c r="F54" s="19">
        <v>-94993.369000000006</v>
      </c>
      <c r="G54" s="19"/>
      <c r="H54" s="19"/>
      <c r="I54" s="105">
        <f t="shared" ref="I54:I55" si="17">SUM(-E54,F54,G54:H54)</f>
        <v>-2508.3690000000061</v>
      </c>
      <c r="K54" s="16">
        <f t="shared" si="16"/>
        <v>-94993.369000000006</v>
      </c>
    </row>
    <row r="55" spans="2:11">
      <c r="B55" s="16" t="s">
        <v>26</v>
      </c>
      <c r="C55" s="16"/>
      <c r="E55" s="19">
        <v>-87579</v>
      </c>
      <c r="F55" s="19">
        <v>-91012.588000000003</v>
      </c>
      <c r="G55" s="19"/>
      <c r="H55" s="19"/>
      <c r="I55" s="105">
        <f t="shared" si="17"/>
        <v>-3433.5880000000034</v>
      </c>
      <c r="K55" s="16">
        <f t="shared" si="16"/>
        <v>-91012.588000000003</v>
      </c>
    </row>
    <row r="56" spans="2:11">
      <c r="B56" s="16" t="s">
        <v>31</v>
      </c>
      <c r="C56" s="16"/>
      <c r="E56" s="26">
        <f>SUM(E53:E55)</f>
        <v>-382437</v>
      </c>
      <c r="F56" s="26">
        <f>SUM(F53:F55)</f>
        <v>-390611.13500000001</v>
      </c>
      <c r="G56" s="26"/>
      <c r="H56" s="26"/>
      <c r="I56" s="106">
        <f>SUM(I53:I55)</f>
        <v>-8174.1350000000239</v>
      </c>
      <c r="K56" s="122">
        <f>SUM(K53:K55)</f>
        <v>-390611.13500000001</v>
      </c>
    </row>
    <row r="57" spans="2:11">
      <c r="B57" s="16"/>
      <c r="C57" s="16"/>
      <c r="E57" s="30"/>
      <c r="F57" s="30"/>
      <c r="G57" s="30"/>
    </row>
    <row r="59" spans="2:11" ht="57">
      <c r="D59" s="43" t="s">
        <v>41</v>
      </c>
      <c r="E59" s="44" t="s">
        <v>59</v>
      </c>
      <c r="F59" s="44" t="s">
        <v>68</v>
      </c>
    </row>
    <row r="60" spans="2:11">
      <c r="D60" s="2" t="s">
        <v>60</v>
      </c>
      <c r="E60" s="3">
        <v>920468.38000062644</v>
      </c>
      <c r="F60" s="3">
        <v>72288.396421350772</v>
      </c>
    </row>
    <row r="61" spans="2:11">
      <c r="D61" s="2" t="s">
        <v>61</v>
      </c>
      <c r="E61" s="3">
        <v>7076197.5948589919</v>
      </c>
      <c r="F61" s="3">
        <v>0</v>
      </c>
    </row>
    <row r="62" spans="2:11">
      <c r="D62" s="2" t="s">
        <v>62</v>
      </c>
      <c r="E62" s="3">
        <v>-3946952.3364827721</v>
      </c>
      <c r="F62" s="3">
        <v>0</v>
      </c>
    </row>
    <row r="63" spans="2:11">
      <c r="D63" s="2" t="s">
        <v>63</v>
      </c>
      <c r="E63" s="3">
        <v>-367197.92597779131</v>
      </c>
      <c r="F63" s="3">
        <v>0</v>
      </c>
    </row>
    <row r="64" spans="2:11">
      <c r="D64" s="2" t="s">
        <v>64</v>
      </c>
      <c r="E64" s="3">
        <v>804753.95845194266</v>
      </c>
      <c r="F64" s="3">
        <v>0</v>
      </c>
    </row>
    <row r="65" spans="4:6">
      <c r="D65" s="2" t="s">
        <v>65</v>
      </c>
      <c r="E65" s="3">
        <v>153137.90638528686</v>
      </c>
      <c r="F65" s="3">
        <v>1170472.5798063909</v>
      </c>
    </row>
    <row r="66" spans="4:6">
      <c r="D66" s="2" t="s">
        <v>66</v>
      </c>
      <c r="E66" s="3">
        <v>-438847.30648959009</v>
      </c>
      <c r="F66" s="3">
        <v>193844.57795641883</v>
      </c>
    </row>
    <row r="67" spans="4:6">
      <c r="D67" s="2" t="s">
        <v>67</v>
      </c>
      <c r="E67" s="29">
        <v>-563460.13896242238</v>
      </c>
      <c r="F67" s="29">
        <v>0</v>
      </c>
    </row>
    <row r="68" spans="4:6">
      <c r="E68" s="3">
        <f>SUM(E60:E67)</f>
        <v>3638100.1317842724</v>
      </c>
      <c r="F68" s="3">
        <f>SUM(F60:F67)</f>
        <v>1436605.5541841604</v>
      </c>
    </row>
  </sheetData>
  <pageMargins left="0.45" right="0.51" top="1" bottom="1" header="0.5" footer="0.5"/>
  <pageSetup scale="70" firstPageNumber="4" orientation="portrait" r:id="rId1"/>
  <headerFooter scaleWithDoc="0" alignWithMargins="0">
    <oddHeader>&amp;L&amp;8Avista
Ms. Schultz Workpapers&amp;R&amp;8&amp;F
Workpaper Ref. &amp;A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91F-03B9-477F-9D1F-FAD7D1E8FC78}">
  <dimension ref="A2:AJ42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4.5546875" style="3" bestFit="1" customWidth="1"/>
    <col min="9" max="9" width="14" style="32" bestFit="1" customWidth="1"/>
    <col min="10" max="10" width="2" customWidth="1"/>
    <col min="11" max="11" width="17.44140625" style="5" bestFit="1" customWidth="1"/>
    <col min="12" max="16384" width="10.6640625" style="2"/>
  </cols>
  <sheetData>
    <row r="2" spans="1:36">
      <c r="A2" s="6" t="s">
        <v>0</v>
      </c>
      <c r="D2" s="1"/>
      <c r="E2" s="4"/>
      <c r="F2" s="4"/>
      <c r="G2" s="4"/>
      <c r="H2" s="4"/>
    </row>
    <row r="3" spans="1:36" ht="12.75" customHeight="1">
      <c r="A3" s="6" t="s">
        <v>20</v>
      </c>
      <c r="D3" s="1"/>
      <c r="E3" s="7"/>
      <c r="F3" s="7"/>
      <c r="G3" s="7"/>
      <c r="H3" s="7"/>
    </row>
    <row r="4" spans="1:36">
      <c r="A4" s="6" t="s">
        <v>43</v>
      </c>
      <c r="D4" s="1"/>
    </row>
    <row r="5" spans="1:36" ht="12.75" customHeight="1">
      <c r="A5" s="6" t="s">
        <v>1</v>
      </c>
      <c r="D5" s="1"/>
      <c r="E5" s="7"/>
      <c r="F5" s="7"/>
      <c r="G5" s="7"/>
      <c r="H5" s="7"/>
    </row>
    <row r="6" spans="1:36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36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36" s="10" customFormat="1">
      <c r="B8" s="11"/>
      <c r="E8" s="12"/>
      <c r="F8" s="12"/>
      <c r="G8" s="12"/>
      <c r="H8" s="12"/>
      <c r="I8" s="104"/>
      <c r="J8"/>
    </row>
    <row r="9" spans="1:36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36" s="16" customFormat="1">
      <c r="A10" s="14"/>
      <c r="C10" s="16" t="s">
        <v>34</v>
      </c>
      <c r="E10" s="19">
        <v>5477</v>
      </c>
      <c r="F10" s="42">
        <f>E10+(E37/1000)</f>
        <v>5753.333988015981</v>
      </c>
      <c r="H10" s="42">
        <f>-(F37/1000)</f>
        <v>22.48676223963114</v>
      </c>
      <c r="I10" s="105">
        <f>SUM(-E10,F10,G10:H10)</f>
        <v>298.82075025561221</v>
      </c>
      <c r="J10"/>
      <c r="K10" s="16">
        <f>E10+I10</f>
        <v>5775.8207502556124</v>
      </c>
    </row>
    <row r="11" spans="1:36" s="16" customFormat="1">
      <c r="A11" s="14"/>
      <c r="C11" s="16" t="s">
        <v>148</v>
      </c>
      <c r="E11" s="19">
        <v>494.267</v>
      </c>
      <c r="F11" s="42">
        <f>E11+(E38/1000)</f>
        <v>330.26042605467478</v>
      </c>
      <c r="H11" s="42">
        <f>-(F38/1000)</f>
        <v>0</v>
      </c>
      <c r="I11" s="105">
        <f>SUM(-E11,F11,G11:H11)</f>
        <v>-164.00657394532521</v>
      </c>
      <c r="J11"/>
      <c r="K11" s="16">
        <f t="shared" ref="K11:K13" si="0">E11+I11</f>
        <v>330.26042605467478</v>
      </c>
    </row>
    <row r="12" spans="1:36" s="16" customFormat="1">
      <c r="A12" s="14"/>
      <c r="C12" s="16" t="s">
        <v>4</v>
      </c>
      <c r="E12" s="19">
        <v>12468.481</v>
      </c>
      <c r="F12" s="42">
        <f>E12+(E39/1000)</f>
        <v>13089.279890452981</v>
      </c>
      <c r="G12" s="132">
        <f>-'NR.1G-New Rev'!H35</f>
        <v>-238.18748793304985</v>
      </c>
      <c r="H12" s="42">
        <f>-(F39/1000)</f>
        <v>-494.86848358814746</v>
      </c>
      <c r="I12" s="105">
        <f t="shared" ref="I12" si="1">SUM(-E12,F12,G12:H12)</f>
        <v>-112.25708106821617</v>
      </c>
      <c r="J12"/>
      <c r="K12" s="16">
        <f t="shared" si="0"/>
        <v>12356.223918931784</v>
      </c>
    </row>
    <row r="13" spans="1:36" s="16" customFormat="1">
      <c r="A13" s="14"/>
      <c r="C13" s="16" t="s">
        <v>35</v>
      </c>
      <c r="E13" s="18">
        <v>5200.7920000000004</v>
      </c>
      <c r="F13" s="45">
        <f>E13+(SUM(E40:E41)/1000)</f>
        <v>4972.4318243303351</v>
      </c>
      <c r="G13" s="46"/>
      <c r="H13" s="123">
        <f>-(SUM(F40:F41)/1000)</f>
        <v>-56.639823581020998</v>
      </c>
      <c r="I13" s="105">
        <f>SUM(-E13,F13,G13:H13)</f>
        <v>-284.9999992506863</v>
      </c>
      <c r="J13"/>
      <c r="K13" s="46">
        <f t="shared" si="0"/>
        <v>4915.792000749314</v>
      </c>
    </row>
    <row r="14" spans="1:36" s="16" customFormat="1" ht="18" customHeight="1">
      <c r="A14" s="14"/>
      <c r="B14" s="16" t="s">
        <v>140</v>
      </c>
      <c r="E14" s="18">
        <f>SUM(E10:E13)</f>
        <v>23640.54</v>
      </c>
      <c r="F14" s="18">
        <f>SUM(F10:F13)</f>
        <v>24145.306128853972</v>
      </c>
      <c r="G14" s="27">
        <f>SUM(G10:G13)</f>
        <v>-238.18748793304985</v>
      </c>
      <c r="H14" s="18">
        <f>SUM(H10:H13)</f>
        <v>-529.0215449295373</v>
      </c>
      <c r="I14" s="106">
        <f>SUM(I10:I13)</f>
        <v>-262.44290400861547</v>
      </c>
      <c r="J14"/>
      <c r="K14" s="46">
        <f>SUM(K10:K13)</f>
        <v>23378.097095991383</v>
      </c>
    </row>
    <row r="15" spans="1:36" s="5" customFormat="1">
      <c r="A15" s="21"/>
      <c r="B15" s="2"/>
      <c r="C15" s="2"/>
      <c r="D15" s="2"/>
      <c r="E15" s="3"/>
      <c r="F15" s="3"/>
      <c r="G15" s="3"/>
      <c r="H15" s="3"/>
      <c r="I15" s="105"/>
      <c r="J15"/>
      <c r="K15" s="118"/>
      <c r="L15" s="2"/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5" customFormat="1">
      <c r="A16" s="21"/>
      <c r="B16" s="2" t="s">
        <v>6</v>
      </c>
      <c r="C16" s="2"/>
      <c r="D16" s="2"/>
      <c r="E16" s="3"/>
      <c r="F16" s="3"/>
      <c r="G16" s="3"/>
      <c r="H16" s="3"/>
      <c r="I16" s="105"/>
      <c r="J16"/>
      <c r="K16" s="118"/>
      <c r="L16" s="2"/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5" customFormat="1">
      <c r="A17" s="1"/>
      <c r="B17" s="2" t="s">
        <v>7</v>
      </c>
      <c r="C17" s="2"/>
      <c r="D17" s="2"/>
      <c r="E17" s="30" t="s">
        <v>38</v>
      </c>
      <c r="F17" s="30" t="s">
        <v>38</v>
      </c>
      <c r="G17" s="30" t="s">
        <v>146</v>
      </c>
      <c r="H17" s="30" t="s">
        <v>147</v>
      </c>
      <c r="I17" s="105"/>
      <c r="J17"/>
      <c r="K17" s="117"/>
      <c r="L17" s="2"/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5" customFormat="1">
      <c r="A18" s="22"/>
      <c r="C18" s="15" t="s">
        <v>8</v>
      </c>
      <c r="E18" s="19">
        <v>42432</v>
      </c>
      <c r="F18" s="19">
        <v>43483.326000000001</v>
      </c>
      <c r="G18" s="19"/>
      <c r="H18" s="19">
        <f>-'AMI - Natural Gas'!Q15/1000</f>
        <v>225.88669159506821</v>
      </c>
      <c r="I18" s="105">
        <f>SUM(-E18,F18,G18:H18)</f>
        <v>1277.2126915950691</v>
      </c>
      <c r="J18"/>
      <c r="K18" s="16">
        <f>E18+I18</f>
        <v>43709.212691595072</v>
      </c>
      <c r="M18" s="16"/>
    </row>
    <row r="19" spans="1:36" s="16" customFormat="1">
      <c r="A19" s="21"/>
      <c r="C19" s="16" t="s">
        <v>148</v>
      </c>
      <c r="E19" s="19">
        <v>29714</v>
      </c>
      <c r="F19" s="19">
        <v>30414.37</v>
      </c>
      <c r="G19" s="19"/>
      <c r="H19" s="19"/>
      <c r="I19" s="105">
        <f t="shared" ref="I19:I21" si="2">SUM(-E19,F19,G19:H19)</f>
        <v>700.36999999999898</v>
      </c>
      <c r="J19"/>
      <c r="K19" s="16">
        <f t="shared" ref="K19:K21" si="3">E19+I19</f>
        <v>30414.37</v>
      </c>
    </row>
    <row r="20" spans="1:36" s="16" customFormat="1">
      <c r="A20" s="21"/>
      <c r="C20" s="16" t="s">
        <v>4</v>
      </c>
      <c r="E20" s="19">
        <v>505864</v>
      </c>
      <c r="F20" s="19">
        <v>527450.27599999995</v>
      </c>
      <c r="G20" s="126">
        <f>-'NR.1G-New Rev'!C35</f>
        <v>-9733.4155956191426</v>
      </c>
      <c r="H20" s="19">
        <f>-'AMI - Natural Gas'!Q13/1000</f>
        <v>-7444.0854637500006</v>
      </c>
      <c r="I20" s="105">
        <f t="shared" si="2"/>
        <v>4408.7749406308112</v>
      </c>
      <c r="J20"/>
      <c r="K20" s="16">
        <f t="shared" si="3"/>
        <v>510272.77494063083</v>
      </c>
    </row>
    <row r="21" spans="1:36" s="16" customFormat="1">
      <c r="A21" s="21"/>
      <c r="C21" s="16" t="s">
        <v>11</v>
      </c>
      <c r="E21" s="18">
        <v>99229</v>
      </c>
      <c r="F21" s="18">
        <v>106856.891</v>
      </c>
      <c r="G21" s="18"/>
      <c r="H21" s="18">
        <f>-'AMI - Natural Gas'!Q14/1000</f>
        <v>-413.05758772797088</v>
      </c>
      <c r="I21" s="107">
        <f t="shared" si="2"/>
        <v>7214.8334122720325</v>
      </c>
      <c r="J21"/>
      <c r="K21" s="46">
        <f t="shared" si="3"/>
        <v>106443.83341227203</v>
      </c>
    </row>
    <row r="22" spans="1:36" s="16" customFormat="1">
      <c r="A22" s="21"/>
      <c r="B22" s="16" t="s">
        <v>12</v>
      </c>
      <c r="E22" s="3">
        <f>SUM(E18:E21)</f>
        <v>677239</v>
      </c>
      <c r="F22" s="3">
        <f>SUM(F18:F21)</f>
        <v>708204.8629999999</v>
      </c>
      <c r="G22" s="3">
        <f>SUM(G18:G21)</f>
        <v>-9733.4155956191426</v>
      </c>
      <c r="H22" s="128">
        <f>SUM(H18:H21)</f>
        <v>-7631.2563598829029</v>
      </c>
      <c r="I22" s="105">
        <f>SUM(I18:I21)</f>
        <v>13601.191044497911</v>
      </c>
      <c r="J22"/>
      <c r="K22" s="118">
        <f>SUM(K18:K21)</f>
        <v>690840.19104449789</v>
      </c>
    </row>
    <row r="23" spans="1:36" s="16" customFormat="1" ht="18" customHeight="1">
      <c r="A23" s="21"/>
      <c r="B23" s="16" t="s">
        <v>13</v>
      </c>
      <c r="E23" s="30" t="s">
        <v>38</v>
      </c>
      <c r="F23" s="30" t="s">
        <v>38</v>
      </c>
      <c r="G23" s="30" t="s">
        <v>146</v>
      </c>
      <c r="H23" s="30" t="s">
        <v>147</v>
      </c>
      <c r="I23" s="105"/>
      <c r="J23"/>
      <c r="K23" s="117"/>
    </row>
    <row r="24" spans="1:36" s="16" customFormat="1">
      <c r="A24" s="21"/>
      <c r="C24" s="15" t="s">
        <v>8</v>
      </c>
      <c r="E24" s="19">
        <v>-13395.27</v>
      </c>
      <c r="F24" s="19">
        <v>-15758.276</v>
      </c>
      <c r="G24" s="19"/>
      <c r="H24" s="19">
        <f>-'AMI - Natural Gas'!Q32/1000</f>
        <v>579.39673953057547</v>
      </c>
      <c r="I24" s="105">
        <f>SUM(-E24,F24,G24:H24)</f>
        <v>-1783.609260469424</v>
      </c>
      <c r="J24"/>
      <c r="K24" s="16">
        <f t="shared" ref="K24:K27" si="4">E24+I24</f>
        <v>-15178.879260469424</v>
      </c>
    </row>
    <row r="25" spans="1:36" s="16" customFormat="1">
      <c r="A25" s="21"/>
      <c r="C25" s="16" t="s">
        <v>148</v>
      </c>
      <c r="E25" s="19">
        <v>-11565.386</v>
      </c>
      <c r="F25" s="19">
        <v>-11788.674000000001</v>
      </c>
      <c r="G25" s="19"/>
      <c r="H25" s="19"/>
      <c r="I25" s="105">
        <f t="shared" ref="I25:I27" si="5">SUM(-E25,F25,G25:H25)</f>
        <v>-223.28800000000047</v>
      </c>
      <c r="J25"/>
      <c r="K25" s="16">
        <f t="shared" si="4"/>
        <v>-11788.674000000001</v>
      </c>
    </row>
    <row r="26" spans="1:36" s="16" customFormat="1">
      <c r="A26" s="21"/>
      <c r="C26" s="16" t="s">
        <v>4</v>
      </c>
      <c r="E26" s="19">
        <v>-151240</v>
      </c>
      <c r="F26" s="19">
        <v>-149848.99400000001</v>
      </c>
      <c r="G26" s="126">
        <f>'NR.1G-New Rev'!H35</f>
        <v>238.18748793304985</v>
      </c>
      <c r="H26" s="19">
        <f>-'AMI - Natural Gas'!Q30/1000</f>
        <v>399.47284124999987</v>
      </c>
      <c r="I26" s="105">
        <f t="shared" si="5"/>
        <v>2028.6663291830437</v>
      </c>
      <c r="J26"/>
      <c r="K26" s="16">
        <f t="shared" si="4"/>
        <v>-149211.33367081697</v>
      </c>
    </row>
    <row r="27" spans="1:36" s="16" customFormat="1">
      <c r="A27" s="21"/>
      <c r="C27" s="16" t="s">
        <v>11</v>
      </c>
      <c r="E27" s="19">
        <v>-25355</v>
      </c>
      <c r="F27" s="19">
        <v>-26536.932000000001</v>
      </c>
      <c r="G27" s="19"/>
      <c r="H27" s="19">
        <f>-'AMI - Natural Gas'!Q31/1000</f>
        <v>166.64777538899165</v>
      </c>
      <c r="I27" s="105">
        <f t="shared" si="5"/>
        <v>-1015.284224611009</v>
      </c>
      <c r="J27"/>
      <c r="K27" s="16">
        <f t="shared" si="4"/>
        <v>-26370.284224611009</v>
      </c>
    </row>
    <row r="28" spans="1:36" s="16" customFormat="1">
      <c r="A28" s="21"/>
      <c r="B28" s="16" t="s">
        <v>14</v>
      </c>
      <c r="E28" s="23">
        <f>SUM(E24:E27)</f>
        <v>-201555.65600000002</v>
      </c>
      <c r="F28" s="23">
        <f>SUM(F24:F27)</f>
        <v>-203932.87600000002</v>
      </c>
      <c r="G28" s="23">
        <f>SUM(G24:G27)</f>
        <v>238.18748793304985</v>
      </c>
      <c r="H28" s="129">
        <f>SUM(H24:H27)</f>
        <v>1145.5173561695669</v>
      </c>
      <c r="I28" s="108">
        <f>SUM(I24:I27)</f>
        <v>-993.51515589738983</v>
      </c>
      <c r="J28"/>
      <c r="K28" s="119">
        <f>SUM(K24:K27)</f>
        <v>-202549.17115589741</v>
      </c>
    </row>
    <row r="29" spans="1:36" s="16" customFormat="1">
      <c r="A29" s="21"/>
      <c r="B29" s="16" t="s">
        <v>15</v>
      </c>
      <c r="E29" s="23">
        <f>E22+E28</f>
        <v>475683.34399999998</v>
      </c>
      <c r="F29" s="23">
        <f>F22+F28</f>
        <v>504271.98699999985</v>
      </c>
      <c r="G29" s="23">
        <f>G22+G28</f>
        <v>-9495.2281076860927</v>
      </c>
      <c r="H29" s="23">
        <f>H22+H28</f>
        <v>-6485.7390037133355</v>
      </c>
      <c r="I29" s="108">
        <f>I22+I28</f>
        <v>12607.675888600521</v>
      </c>
      <c r="J29"/>
      <c r="K29" s="119">
        <f>K22+K28</f>
        <v>488291.01988860045</v>
      </c>
    </row>
    <row r="30" spans="1:36" s="16" customFormat="1">
      <c r="A30" s="21"/>
      <c r="E30" s="30"/>
      <c r="F30" s="30"/>
      <c r="G30" s="30"/>
      <c r="H30" s="13"/>
      <c r="I30" s="105"/>
      <c r="J30"/>
      <c r="K30" s="117"/>
    </row>
    <row r="31" spans="1:36" s="16" customFormat="1">
      <c r="A31" s="21"/>
      <c r="E31" s="30" t="s">
        <v>39</v>
      </c>
      <c r="F31" s="30" t="s">
        <v>40</v>
      </c>
      <c r="G31" s="30" t="s">
        <v>146</v>
      </c>
      <c r="H31" s="13"/>
      <c r="I31" s="105"/>
      <c r="J31"/>
      <c r="K31" s="117"/>
    </row>
    <row r="32" spans="1:36" s="16" customFormat="1">
      <c r="A32" s="20"/>
      <c r="B32" s="16" t="s">
        <v>16</v>
      </c>
      <c r="E32" s="29">
        <v>-92008</v>
      </c>
      <c r="F32" s="29">
        <v>-92332</v>
      </c>
      <c r="G32" s="130">
        <f>-'NR.1G-New Rev'!U33</f>
        <v>447</v>
      </c>
      <c r="H32" s="29"/>
      <c r="I32" s="107">
        <f>SUM(-E32,F32,G32:H32)</f>
        <v>123</v>
      </c>
      <c r="J32"/>
      <c r="K32" s="120">
        <f>E32+I32</f>
        <v>-91885</v>
      </c>
    </row>
    <row r="33" spans="1:36" s="16" customFormat="1">
      <c r="A33" s="20"/>
      <c r="C33" s="16" t="s">
        <v>17</v>
      </c>
      <c r="E33" s="13">
        <f>SUM(E29:E32)</f>
        <v>383675.34399999998</v>
      </c>
      <c r="F33" s="13">
        <f>SUM(F29:F32)</f>
        <v>411939.98699999985</v>
      </c>
      <c r="G33" s="13">
        <f>SUM(G29:G32)</f>
        <v>-9048.2281076860927</v>
      </c>
      <c r="H33" s="13">
        <f>SUM(H29:H32)</f>
        <v>-6485.7390037133355</v>
      </c>
      <c r="I33" s="107">
        <f>SUM(I29:I32)</f>
        <v>12730.675888600521</v>
      </c>
      <c r="J33"/>
      <c r="K33" s="118">
        <f>SUM(K29:K32)</f>
        <v>396406.01988860045</v>
      </c>
    </row>
    <row r="36" spans="1:36" customFormat="1" ht="57">
      <c r="A36" s="1"/>
      <c r="B36" s="2"/>
      <c r="C36" s="2"/>
      <c r="D36" s="43" t="s">
        <v>41</v>
      </c>
      <c r="E36" s="44" t="s">
        <v>142</v>
      </c>
      <c r="F36" s="44" t="s">
        <v>143</v>
      </c>
      <c r="G36" s="3"/>
      <c r="H36" s="3"/>
      <c r="I36" s="32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customFormat="1">
      <c r="A37" s="1"/>
      <c r="B37" s="2"/>
      <c r="C37" s="2"/>
      <c r="D37" s="2" t="s">
        <v>60</v>
      </c>
      <c r="E37" s="3">
        <v>276333.98801598139</v>
      </c>
      <c r="F37" s="3">
        <v>-22486.762239631142</v>
      </c>
      <c r="G37" s="3"/>
      <c r="H37" s="3"/>
      <c r="I37" s="32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customFormat="1">
      <c r="A38" s="1"/>
      <c r="B38" s="2"/>
      <c r="C38" s="2"/>
      <c r="D38" s="2" t="s">
        <v>141</v>
      </c>
      <c r="E38" s="3">
        <v>-164006.57394532522</v>
      </c>
      <c r="F38" s="3">
        <v>0</v>
      </c>
      <c r="G38" s="3"/>
      <c r="H38" s="3"/>
      <c r="I38" s="32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customFormat="1">
      <c r="A39" s="1"/>
      <c r="B39" s="2"/>
      <c r="C39" s="2"/>
      <c r="D39" s="2" t="s">
        <v>65</v>
      </c>
      <c r="E39" s="3">
        <v>620798.89045298169</v>
      </c>
      <c r="F39" s="3">
        <v>494868.48358814744</v>
      </c>
      <c r="G39" s="3"/>
      <c r="H39" s="3"/>
      <c r="I39" s="32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1"/>
      <c r="B40" s="2"/>
      <c r="C40" s="2"/>
      <c r="D40" s="2" t="s">
        <v>66</v>
      </c>
      <c r="E40" s="3">
        <v>91267.113663593947</v>
      </c>
      <c r="F40" s="3">
        <v>56639.823581020995</v>
      </c>
      <c r="I40" s="32"/>
      <c r="J40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1"/>
      <c r="B41" s="2"/>
      <c r="C41" s="2"/>
      <c r="D41" s="2" t="s">
        <v>67</v>
      </c>
      <c r="E41" s="29">
        <v>-319627.28933325945</v>
      </c>
      <c r="F41" s="29">
        <v>0</v>
      </c>
      <c r="I41" s="32"/>
      <c r="J41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1"/>
      <c r="B42" s="2"/>
      <c r="C42" s="2"/>
      <c r="D42" s="2"/>
      <c r="E42" s="3">
        <f>SUM(E37:E41)</f>
        <v>504766.1288539723</v>
      </c>
      <c r="F42" s="3">
        <f>SUM(F37:F41)</f>
        <v>529021.54492953734</v>
      </c>
      <c r="I42" s="32"/>
      <c r="J42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</sheetData>
  <pageMargins left="0.45" right="0.51" top="1" bottom="1" header="0.5" footer="0.5"/>
  <pageSetup scale="71" firstPageNumber="4" orientation="portrait" r:id="rId1"/>
  <headerFooter scaleWithDoc="0" alignWithMargins="0">
    <oddHeader>&amp;LAvista
Ms. Schultz Workpapers&amp;R&amp;8&amp;F
Workpaper Ref. &amp;A</oddHeader>
    <oddFooter>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5F4-9A88-430E-B303-3A2B8F19AC6D}">
  <dimension ref="A1:R33"/>
  <sheetViews>
    <sheetView zoomScaleNormal="100" workbookViewId="0"/>
  </sheetViews>
  <sheetFormatPr defaultRowHeight="13.2"/>
  <cols>
    <col min="3" max="3" width="12.33203125" bestFit="1" customWidth="1"/>
    <col min="4" max="4" width="12.21875" bestFit="1" customWidth="1"/>
    <col min="5" max="5" width="12.33203125" bestFit="1" customWidth="1"/>
    <col min="6" max="7" width="12.21875" bestFit="1" customWidth="1"/>
    <col min="8" max="8" width="12.6640625" bestFit="1" customWidth="1"/>
    <col min="9" max="9" width="12.88671875" bestFit="1" customWidth="1"/>
    <col min="10" max="11" width="12.6640625" bestFit="1" customWidth="1"/>
    <col min="12" max="12" width="11.88671875" bestFit="1" customWidth="1"/>
    <col min="13" max="13" width="12.88671875" bestFit="1" customWidth="1"/>
    <col min="14" max="14" width="12.6640625" bestFit="1" customWidth="1"/>
    <col min="15" max="15" width="13.77734375" bestFit="1" customWidth="1"/>
    <col min="16" max="16" width="12.6640625" bestFit="1" customWidth="1"/>
    <col min="17" max="17" width="12.3320312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6420363.7300000004</v>
      </c>
      <c r="D2" s="36">
        <v>8140705.9100000001</v>
      </c>
      <c r="E2" s="36">
        <v>10067700.16</v>
      </c>
      <c r="F2" s="36">
        <v>12859452.370000001</v>
      </c>
      <c r="G2" s="36">
        <v>13128675.74</v>
      </c>
      <c r="H2" s="36">
        <v>16562382.5</v>
      </c>
      <c r="I2" s="36">
        <v>17694647.27</v>
      </c>
      <c r="J2" s="36">
        <v>19179054.009999998</v>
      </c>
      <c r="K2" s="36">
        <v>22785605.579999998</v>
      </c>
      <c r="L2" s="36">
        <v>25532531.159999996</v>
      </c>
      <c r="M2" s="36">
        <v>29699852.979999997</v>
      </c>
      <c r="N2" s="36">
        <v>32518815.169999998</v>
      </c>
      <c r="O2" s="36">
        <v>36738215.990000002</v>
      </c>
      <c r="P2" s="36">
        <f t="shared" ref="P2:P10" si="0">(((C2+O2)/2)+D2+E2+F2+G2+H2+I2+J2+K2+L2+M2+N2)/12</f>
        <v>19145726.059166662</v>
      </c>
    </row>
    <row r="3" spans="1:18">
      <c r="A3" t="s">
        <v>48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f t="shared" si="0"/>
        <v>0</v>
      </c>
    </row>
    <row r="4" spans="1:18">
      <c r="A4" t="s">
        <v>49</v>
      </c>
      <c r="B4" t="s">
        <v>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f t="shared" si="0"/>
        <v>0</v>
      </c>
    </row>
    <row r="5" spans="1:18">
      <c r="A5" t="s">
        <v>51</v>
      </c>
      <c r="C5" s="36">
        <v>1287870.0830015999</v>
      </c>
      <c r="D5" s="36">
        <v>1287870.0830015999</v>
      </c>
      <c r="E5" s="36">
        <v>1287870.0830015999</v>
      </c>
      <c r="F5" s="36">
        <v>1287870.0830015999</v>
      </c>
      <c r="G5" s="36">
        <v>1287870.0830015999</v>
      </c>
      <c r="H5" s="36">
        <v>1287870.0830015999</v>
      </c>
      <c r="I5" s="36">
        <v>1287870.0830015999</v>
      </c>
      <c r="J5" s="36">
        <v>1287870.0830015999</v>
      </c>
      <c r="K5" s="36">
        <v>1287870.0830015999</v>
      </c>
      <c r="L5" s="36">
        <v>1287870.0830015999</v>
      </c>
      <c r="M5" s="36">
        <v>1287870.0830015999</v>
      </c>
      <c r="N5" s="36">
        <v>1287870.0830015999</v>
      </c>
      <c r="O5" s="36">
        <v>1287870.0830015999</v>
      </c>
      <c r="P5" s="36">
        <f t="shared" si="0"/>
        <v>1287870.0830016001</v>
      </c>
    </row>
    <row r="6" spans="1:18">
      <c r="A6" t="s">
        <v>52</v>
      </c>
      <c r="C6" s="36">
        <v>3397054.6385865998</v>
      </c>
      <c r="D6" s="36">
        <v>3397434.4300845996</v>
      </c>
      <c r="E6" s="36">
        <v>3397691.7893741997</v>
      </c>
      <c r="F6" s="36">
        <v>3400488.0443161996</v>
      </c>
      <c r="G6" s="36">
        <v>3400880.8977561998</v>
      </c>
      <c r="H6" s="36">
        <v>3405466.0955929998</v>
      </c>
      <c r="I6" s="36">
        <v>3406133.7120474</v>
      </c>
      <c r="J6" s="36">
        <v>3407006.8233241998</v>
      </c>
      <c r="K6" s="36">
        <v>3408254.2562969998</v>
      </c>
      <c r="L6" s="36">
        <v>3410741.8951065997</v>
      </c>
      <c r="M6" s="36">
        <v>3410287.8991193995</v>
      </c>
      <c r="N6" s="36">
        <v>3422465.2384057995</v>
      </c>
      <c r="O6" s="36">
        <v>3771534.6010331991</v>
      </c>
      <c r="P6" s="36">
        <f t="shared" si="0"/>
        <v>3420928.8084362079</v>
      </c>
    </row>
    <row r="7" spans="1:18">
      <c r="A7" t="s">
        <v>53</v>
      </c>
      <c r="C7" s="36">
        <v>134411.5</v>
      </c>
      <c r="D7" s="36">
        <v>134411.5</v>
      </c>
      <c r="E7" s="36">
        <v>134411.5</v>
      </c>
      <c r="F7" s="36">
        <v>135369.04999999999</v>
      </c>
      <c r="G7" s="36">
        <v>135369.04999999999</v>
      </c>
      <c r="H7" s="36">
        <v>147466.71</v>
      </c>
      <c r="I7" s="36">
        <v>157836.82999999999</v>
      </c>
      <c r="J7" s="36">
        <v>164482.5</v>
      </c>
      <c r="K7" s="36">
        <v>170213.12</v>
      </c>
      <c r="L7" s="36">
        <v>173118.97999999998</v>
      </c>
      <c r="M7" s="36">
        <v>186811.24999999997</v>
      </c>
      <c r="N7" s="36">
        <v>207803.81999999998</v>
      </c>
      <c r="O7" s="36">
        <v>216367.01999999996</v>
      </c>
      <c r="P7" s="36">
        <f t="shared" si="0"/>
        <v>160223.63083333333</v>
      </c>
    </row>
    <row r="8" spans="1:18">
      <c r="A8" t="s">
        <v>54</v>
      </c>
      <c r="C8" s="36">
        <v>2339390.9280437999</v>
      </c>
      <c r="D8" s="36">
        <v>2415416.7288270001</v>
      </c>
      <c r="E8" s="36">
        <v>2423737.9862466003</v>
      </c>
      <c r="F8" s="36">
        <v>2663863.2284118002</v>
      </c>
      <c r="G8" s="36">
        <v>2862850.8292110004</v>
      </c>
      <c r="H8" s="36">
        <v>3200179.9712310005</v>
      </c>
      <c r="I8" s="36">
        <v>3512061.5954916007</v>
      </c>
      <c r="J8" s="36">
        <v>3756701.9410272008</v>
      </c>
      <c r="K8" s="36">
        <v>4031620.5154398009</v>
      </c>
      <c r="L8" s="36">
        <v>4145593.4052972011</v>
      </c>
      <c r="M8" s="36">
        <v>4234819.775781001</v>
      </c>
      <c r="N8" s="36">
        <v>4444970.0148504013</v>
      </c>
      <c r="O8" s="36">
        <v>4538567.2426944021</v>
      </c>
      <c r="P8" s="36">
        <f t="shared" si="0"/>
        <v>3427566.2564319749</v>
      </c>
    </row>
    <row r="9" spans="1:18">
      <c r="A9" t="s">
        <v>55</v>
      </c>
      <c r="B9" t="s">
        <v>56</v>
      </c>
      <c r="C9" s="36">
        <v>14810505.981376</v>
      </c>
      <c r="D9" s="36">
        <v>14810505.981376</v>
      </c>
      <c r="E9" s="36">
        <v>14810505.981376</v>
      </c>
      <c r="F9" s="36">
        <v>14810505.981376</v>
      </c>
      <c r="G9" s="36">
        <v>14810505.981376</v>
      </c>
      <c r="H9" s="36">
        <v>14810505.981376</v>
      </c>
      <c r="I9" s="36">
        <v>14810505.981376</v>
      </c>
      <c r="J9" s="36">
        <v>14810505.981376</v>
      </c>
      <c r="K9" s="36">
        <v>14810505.981376</v>
      </c>
      <c r="L9" s="36">
        <v>14810505.981376</v>
      </c>
      <c r="M9" s="36">
        <v>14810505.981376</v>
      </c>
      <c r="N9" s="36">
        <v>14810505.981376</v>
      </c>
      <c r="O9" s="36">
        <v>14191918.0660096</v>
      </c>
      <c r="P9" s="36">
        <f t="shared" si="0"/>
        <v>14784731.484902397</v>
      </c>
    </row>
    <row r="10" spans="1:18">
      <c r="A10" t="s">
        <v>57</v>
      </c>
      <c r="C10" s="36">
        <v>12976063.3819844</v>
      </c>
      <c r="D10" s="36">
        <v>13928148.121355599</v>
      </c>
      <c r="E10" s="36">
        <v>15169990.431434598</v>
      </c>
      <c r="F10" s="36">
        <v>15820576.537266597</v>
      </c>
      <c r="G10" s="36">
        <v>15881171.323039597</v>
      </c>
      <c r="H10" s="36">
        <v>15990760.262597198</v>
      </c>
      <c r="I10" s="36">
        <v>15999177.017331397</v>
      </c>
      <c r="J10" s="36">
        <v>15999970.664879197</v>
      </c>
      <c r="K10" s="36">
        <v>15409278.514039196</v>
      </c>
      <c r="L10" s="36">
        <v>15411351.549635995</v>
      </c>
      <c r="M10" s="36">
        <v>15410973.228599194</v>
      </c>
      <c r="N10" s="36">
        <v>15776362.501099994</v>
      </c>
      <c r="O10" s="36">
        <v>16021803.000010394</v>
      </c>
      <c r="P10" s="36">
        <f t="shared" si="0"/>
        <v>15441391.111856332</v>
      </c>
    </row>
    <row r="11" spans="1:18" ht="13.8" thickBot="1">
      <c r="C11" s="37">
        <f>SUM(C2:C10)</f>
        <v>41365660.242992401</v>
      </c>
      <c r="D11" s="37">
        <f t="shared" ref="D11:P11" si="1">SUM(D2:D10)</f>
        <v>44114492.754644796</v>
      </c>
      <c r="E11" s="37">
        <f t="shared" si="1"/>
        <v>47291907.931433</v>
      </c>
      <c r="F11" s="37">
        <f t="shared" si="1"/>
        <v>50978125.294372201</v>
      </c>
      <c r="G11" s="37">
        <f t="shared" si="1"/>
        <v>51507323.904384397</v>
      </c>
      <c r="H11" s="37">
        <f t="shared" si="1"/>
        <v>55404631.603798792</v>
      </c>
      <c r="I11" s="37">
        <f t="shared" si="1"/>
        <v>56868232.489248</v>
      </c>
      <c r="J11" s="37">
        <f t="shared" si="1"/>
        <v>58605592.00360819</v>
      </c>
      <c r="K11" s="37">
        <f t="shared" si="1"/>
        <v>61903348.050153591</v>
      </c>
      <c r="L11" s="37">
        <f t="shared" si="1"/>
        <v>64771713.054417387</v>
      </c>
      <c r="M11" s="37">
        <f t="shared" si="1"/>
        <v>69041121.197877184</v>
      </c>
      <c r="N11" s="37">
        <f t="shared" si="1"/>
        <v>72468792.808733791</v>
      </c>
      <c r="O11" s="37">
        <f t="shared" si="1"/>
        <v>76766276.002749205</v>
      </c>
      <c r="P11" s="37">
        <f t="shared" si="1"/>
        <v>57668437.434628509</v>
      </c>
    </row>
    <row r="12" spans="1:18" ht="13.8" thickBo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8">
      <c r="B13" t="s">
        <v>47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>
        <f>SUM(O2:O3)</f>
        <v>36738215.990000002</v>
      </c>
      <c r="P13" s="38">
        <f>SUM(P2:P3)</f>
        <v>19145726.059166662</v>
      </c>
      <c r="Q13" s="40">
        <f>O13-P13</f>
        <v>17592489.93083334</v>
      </c>
      <c r="R13" s="110" t="s">
        <v>144</v>
      </c>
    </row>
    <row r="14" spans="1:18">
      <c r="B14" t="s">
        <v>50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>
        <f>SUM(O4:O8)</f>
        <v>9814338.9467292018</v>
      </c>
      <c r="P14" s="38">
        <f>SUM(P4:P8)</f>
        <v>8296588.7787031159</v>
      </c>
      <c r="Q14" s="41">
        <f t="shared" ref="Q14:Q15" si="2">O14-P14</f>
        <v>1517750.1680260859</v>
      </c>
    </row>
    <row r="15" spans="1:18">
      <c r="B15" t="s">
        <v>56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8">
        <f>SUM(O9:O10)</f>
        <v>30213721.066019993</v>
      </c>
      <c r="P15" s="38">
        <f>SUM(P9:P10)</f>
        <v>30226122.596758731</v>
      </c>
      <c r="Q15" s="124">
        <f t="shared" si="2"/>
        <v>-12401.530738737434</v>
      </c>
    </row>
    <row r="16" spans="1:18" ht="13.8" thickBot="1">
      <c r="B16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>
        <f>SUM(O13:O15)</f>
        <v>76766276.002749205</v>
      </c>
      <c r="P16" s="39">
        <f>SUM(P13:P15)</f>
        <v>57668437.434628509</v>
      </c>
      <c r="Q16" s="127">
        <f>SUM(Q13:Q15)</f>
        <v>19097838.568120688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-68170.67</v>
      </c>
      <c r="D19" s="38">
        <v>-108577.64</v>
      </c>
      <c r="E19" s="38">
        <v>-159105.97</v>
      </c>
      <c r="F19" s="38">
        <v>-222728.82</v>
      </c>
      <c r="G19" s="38">
        <v>-294845.88</v>
      </c>
      <c r="H19" s="38">
        <v>-377238.57</v>
      </c>
      <c r="I19" s="38">
        <v>-472301.83</v>
      </c>
      <c r="J19" s="38">
        <v>-574626.35</v>
      </c>
      <c r="K19" s="38">
        <v>-691078.28</v>
      </c>
      <c r="L19" s="38">
        <v>-825161.11</v>
      </c>
      <c r="M19" s="38">
        <v>-978430.98</v>
      </c>
      <c r="N19" s="38">
        <v>-1151087.78</v>
      </c>
      <c r="O19" s="38">
        <v>-1336131.97</v>
      </c>
      <c r="P19" s="36">
        <f t="shared" ref="P19:P27" si="3">(((C19+O19)/2)+D19+E19+F19+G19+H19+I19+J19+K19+L19+M19+N19)/12</f>
        <v>-546444.54416666669</v>
      </c>
    </row>
    <row r="20" spans="1:18">
      <c r="A20" t="s">
        <v>48</v>
      </c>
      <c r="C20" s="36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6">
        <f t="shared" si="3"/>
        <v>0</v>
      </c>
    </row>
    <row r="21" spans="1:18">
      <c r="A21" t="s">
        <v>49</v>
      </c>
      <c r="B21" t="s">
        <v>50</v>
      </c>
      <c r="C21" s="3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6">
        <f t="shared" si="3"/>
        <v>0</v>
      </c>
    </row>
    <row r="22" spans="1:18">
      <c r="A22" t="s">
        <v>51</v>
      </c>
      <c r="C22" s="36">
        <v>-426655.00411519996</v>
      </c>
      <c r="D22" s="38">
        <v>-448119.50525439996</v>
      </c>
      <c r="E22" s="38">
        <v>-469584.00639359996</v>
      </c>
      <c r="F22" s="38">
        <v>-491048.50753279997</v>
      </c>
      <c r="G22" s="38">
        <v>-512513.00867199997</v>
      </c>
      <c r="H22" s="38">
        <v>-533977.50981119997</v>
      </c>
      <c r="I22" s="38">
        <v>-555442.01095039991</v>
      </c>
      <c r="J22" s="38">
        <v>-576906.51208959986</v>
      </c>
      <c r="K22" s="38">
        <v>-598371.0132287998</v>
      </c>
      <c r="L22" s="38">
        <v>-619835.51436799974</v>
      </c>
      <c r="M22" s="38">
        <v>-641300.01550719969</v>
      </c>
      <c r="N22" s="38">
        <v>-662764.51664639963</v>
      </c>
      <c r="O22" s="38">
        <v>-684229.01778559957</v>
      </c>
      <c r="P22" s="36">
        <f t="shared" si="3"/>
        <v>-555442.01095039991</v>
      </c>
    </row>
    <row r="23" spans="1:18">
      <c r="A23" t="s">
        <v>52</v>
      </c>
      <c r="C23" s="36">
        <v>-192567.20279619997</v>
      </c>
      <c r="D23" s="38">
        <v>-249187.94472499998</v>
      </c>
      <c r="E23" s="38">
        <v>-305813.99206299998</v>
      </c>
      <c r="F23" s="38">
        <v>-362465.48575619998</v>
      </c>
      <c r="G23" s="38">
        <v>-419143.55870699999</v>
      </c>
      <c r="H23" s="38">
        <v>-475863.11444179999</v>
      </c>
      <c r="I23" s="38">
        <v>-532626.44318139995</v>
      </c>
      <c r="J23" s="38">
        <v>-589402.60985379992</v>
      </c>
      <c r="K23" s="38">
        <v>-646196.44882699987</v>
      </c>
      <c r="L23" s="38">
        <v>-703021.41331699991</v>
      </c>
      <c r="M23" s="38">
        <v>-759863.32251099986</v>
      </c>
      <c r="N23" s="38">
        <v>-816802.92964099988</v>
      </c>
      <c r="O23" s="38">
        <v>-868843.22775159986</v>
      </c>
      <c r="P23" s="36">
        <f t="shared" si="3"/>
        <v>-532591.03985817486</v>
      </c>
    </row>
    <row r="24" spans="1:18">
      <c r="A24" t="s">
        <v>53</v>
      </c>
      <c r="C24" s="36">
        <v>-5311.41</v>
      </c>
      <c r="D24" s="38">
        <v>-6912.03</v>
      </c>
      <c r="E24" s="38">
        <v>-8512.65</v>
      </c>
      <c r="F24" s="38">
        <v>-10118.969999999999</v>
      </c>
      <c r="G24" s="38">
        <v>-11730.99</v>
      </c>
      <c r="H24" s="38">
        <v>-13415.039999999999</v>
      </c>
      <c r="I24" s="38">
        <v>-15232.869999999999</v>
      </c>
      <c r="J24" s="38">
        <v>-17152.009999999998</v>
      </c>
      <c r="K24" s="38">
        <v>-19144.839999999997</v>
      </c>
      <c r="L24" s="38">
        <v>-21189.099999999995</v>
      </c>
      <c r="M24" s="38">
        <v>-23332.179999999993</v>
      </c>
      <c r="N24" s="38">
        <v>-25681.779999999992</v>
      </c>
      <c r="O24" s="38">
        <v>-28172.649999999991</v>
      </c>
      <c r="P24" s="36">
        <f t="shared" si="3"/>
        <v>-15763.707499999997</v>
      </c>
    </row>
    <row r="25" spans="1:18">
      <c r="A25" t="s">
        <v>54</v>
      </c>
      <c r="C25" s="36">
        <v>-33698.844326999999</v>
      </c>
      <c r="D25" s="38">
        <v>-40434.820728599996</v>
      </c>
      <c r="E25" s="38">
        <v>-47290.286995799994</v>
      </c>
      <c r="F25" s="38">
        <v>-54497.72038079999</v>
      </c>
      <c r="G25" s="38">
        <v>-62327.234639999988</v>
      </c>
      <c r="H25" s="38">
        <v>-70916.526580199992</v>
      </c>
      <c r="I25" s="38">
        <v>-80425.533822599988</v>
      </c>
      <c r="J25" s="38">
        <v>-90722.945228399985</v>
      </c>
      <c r="K25" s="38">
        <v>-112367.99237879999</v>
      </c>
      <c r="L25" s="38">
        <v>-135093.829413</v>
      </c>
      <c r="M25" s="38">
        <v>-158384.3931204</v>
      </c>
      <c r="N25" s="38">
        <v>-182506.97821860001</v>
      </c>
      <c r="O25" s="38">
        <v>-201944.72577600001</v>
      </c>
      <c r="P25" s="36">
        <f t="shared" si="3"/>
        <v>-96065.837213224979</v>
      </c>
    </row>
    <row r="26" spans="1:18">
      <c r="A26" t="s">
        <v>55</v>
      </c>
      <c r="B26" t="s">
        <v>56</v>
      </c>
      <c r="C26" s="36">
        <v>-1417333.78416</v>
      </c>
      <c r="D26" s="38">
        <v>-1516176.3347136001</v>
      </c>
      <c r="E26" s="38">
        <v>-1615018.880384</v>
      </c>
      <c r="F26" s="38">
        <v>-1713861.5237183999</v>
      </c>
      <c r="G26" s="38">
        <v>-1812704.1279871999</v>
      </c>
      <c r="H26" s="38">
        <v>-1911546.6931904</v>
      </c>
      <c r="I26" s="38">
        <v>-2010389.3560576001</v>
      </c>
      <c r="J26" s="38">
        <v>-2109231.9847424002</v>
      </c>
      <c r="K26" s="38">
        <v>-2208074.5694784001</v>
      </c>
      <c r="L26" s="38">
        <v>-2306917.2030464001</v>
      </c>
      <c r="M26" s="38">
        <v>-2405759.8219647999</v>
      </c>
      <c r="N26" s="38">
        <v>-2504602.4506496</v>
      </c>
      <c r="O26" s="38">
        <v>-2526143.5252479999</v>
      </c>
      <c r="P26" s="36">
        <f t="shared" si="3"/>
        <v>-2007168.4667197333</v>
      </c>
    </row>
    <row r="27" spans="1:18">
      <c r="A27" t="s">
        <v>57</v>
      </c>
      <c r="C27" s="36">
        <v>-923380.06465680001</v>
      </c>
      <c r="D27" s="38">
        <v>-1150136.7417178</v>
      </c>
      <c r="E27" s="38">
        <v>-1395195.432245</v>
      </c>
      <c r="F27" s="38">
        <v>-1656080.4819509999</v>
      </c>
      <c r="G27" s="38">
        <v>-1922988.3193939999</v>
      </c>
      <c r="H27" s="38">
        <v>-2191386.27886</v>
      </c>
      <c r="I27" s="38">
        <v>-2460834.3797386</v>
      </c>
      <c r="J27" s="38">
        <v>-2726647.2026893999</v>
      </c>
      <c r="K27" s="38">
        <v>-2907292.4137133998</v>
      </c>
      <c r="L27" s="38">
        <v>-3164356.1663993997</v>
      </c>
      <c r="M27" s="38">
        <v>-3422578.9724073997</v>
      </c>
      <c r="N27" s="38">
        <v>-3683845.4632815998</v>
      </c>
      <c r="O27" s="38">
        <v>-3916327.8890668</v>
      </c>
      <c r="P27" s="36">
        <f t="shared" si="3"/>
        <v>-2425099.6524382834</v>
      </c>
    </row>
    <row r="28" spans="1:18" ht="13.8" thickBot="1">
      <c r="C28" s="37">
        <f>SUM(C19:C27)</f>
        <v>-3067116.9800551999</v>
      </c>
      <c r="D28" s="37">
        <f t="shared" ref="D28:P28" si="4">SUM(D19:D27)</f>
        <v>-3519545.0171393999</v>
      </c>
      <c r="E28" s="37">
        <f t="shared" si="4"/>
        <v>-4000521.2180813998</v>
      </c>
      <c r="F28" s="37">
        <f t="shared" si="4"/>
        <v>-4510801.5093392003</v>
      </c>
      <c r="G28" s="37">
        <f t="shared" si="4"/>
        <v>-5036253.1194001995</v>
      </c>
      <c r="H28" s="37">
        <f t="shared" si="4"/>
        <v>-5574343.7328836005</v>
      </c>
      <c r="I28" s="37">
        <f t="shared" si="4"/>
        <v>-6127252.4237505998</v>
      </c>
      <c r="J28" s="37">
        <f t="shared" si="4"/>
        <v>-6684689.6146035995</v>
      </c>
      <c r="K28" s="37">
        <f t="shared" si="4"/>
        <v>-7182525.5576264001</v>
      </c>
      <c r="L28" s="37">
        <f t="shared" si="4"/>
        <v>-7775574.3365437994</v>
      </c>
      <c r="M28" s="37">
        <f t="shared" si="4"/>
        <v>-8389649.6855107993</v>
      </c>
      <c r="N28" s="37">
        <f t="shared" si="4"/>
        <v>-9027291.8984371983</v>
      </c>
      <c r="O28" s="37">
        <f t="shared" si="4"/>
        <v>-9561793.0056279991</v>
      </c>
      <c r="P28" s="37">
        <f t="shared" si="4"/>
        <v>-6178575.2588464832</v>
      </c>
    </row>
    <row r="29" spans="1:18" ht="13.8" thickBot="1"/>
    <row r="30" spans="1:18">
      <c r="B30" t="s">
        <v>47</v>
      </c>
      <c r="O30" s="38">
        <f>SUM(O19:O20)</f>
        <v>-1336131.97</v>
      </c>
      <c r="P30" s="38">
        <f>SUM(P19:P20)</f>
        <v>-546444.54416666669</v>
      </c>
      <c r="Q30" s="40">
        <f>O30-P30</f>
        <v>-789687.42583333328</v>
      </c>
      <c r="R30" s="110" t="s">
        <v>144</v>
      </c>
    </row>
    <row r="31" spans="1:18">
      <c r="B31" t="s">
        <v>50</v>
      </c>
      <c r="O31" s="38">
        <f>SUM(O21:O25)</f>
        <v>-1783189.6213131994</v>
      </c>
      <c r="P31" s="38">
        <f>SUM(P21:P25)</f>
        <v>-1199862.5955217998</v>
      </c>
      <c r="Q31" s="41">
        <f t="shared" ref="Q31:Q32" si="5">O31-P31</f>
        <v>-583327.02579139965</v>
      </c>
    </row>
    <row r="32" spans="1:18">
      <c r="B32" t="s">
        <v>56</v>
      </c>
      <c r="O32" s="38">
        <f>SUM(O26:O27)</f>
        <v>-6442471.4143147999</v>
      </c>
      <c r="P32" s="38">
        <f>SUM(P26:P27)</f>
        <v>-4432268.1191580165</v>
      </c>
      <c r="Q32" s="124">
        <f t="shared" si="5"/>
        <v>-2010203.2951567834</v>
      </c>
    </row>
    <row r="33" spans="2:17" ht="13.8" thickBot="1">
      <c r="B33" t="s">
        <v>58</v>
      </c>
      <c r="O33" s="39">
        <f>SUM(O30:O32)</f>
        <v>-9561793.0056279991</v>
      </c>
      <c r="P33" s="39">
        <f>SUM(P30:P32)</f>
        <v>-6178575.2588464832</v>
      </c>
      <c r="Q33" s="127">
        <f>SUM(Q30:Q32)</f>
        <v>-3383217.7467815164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 xml:space="preserve">&amp;RPage &amp;P of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AF6-1CF5-4997-A4DC-223205523C73}">
  <dimension ref="A1:R33"/>
  <sheetViews>
    <sheetView zoomScaleNormal="100" workbookViewId="0"/>
  </sheetViews>
  <sheetFormatPr defaultRowHeight="13.2"/>
  <cols>
    <col min="3" max="3" width="11.88671875" bestFit="1" customWidth="1"/>
    <col min="4" max="4" width="12.6640625" bestFit="1" customWidth="1"/>
    <col min="5" max="5" width="12.21875" bestFit="1" customWidth="1"/>
    <col min="6" max="6" width="11.88671875" bestFit="1" customWidth="1"/>
    <col min="7" max="7" width="12.6640625" bestFit="1" customWidth="1"/>
    <col min="8" max="9" width="12.33203125" bestFit="1" customWidth="1"/>
    <col min="10" max="10" width="12.88671875" bestFit="1" customWidth="1"/>
    <col min="11" max="14" width="12.33203125" bestFit="1" customWidth="1"/>
    <col min="15" max="15" width="12.6640625" bestFit="1" customWidth="1"/>
    <col min="16" max="16" width="12.33203125" bestFit="1" customWidth="1"/>
    <col min="17" max="17" width="11.554687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6">
        <f>(((C2+O2)/2)+D2+E2+F2+G2+H2+I2+J2+K2+L2+M2+N2)/12</f>
        <v>0</v>
      </c>
    </row>
    <row r="3" spans="1:18">
      <c r="A3" t="s">
        <v>48</v>
      </c>
      <c r="C3" s="36">
        <v>4076143.95</v>
      </c>
      <c r="D3" s="38">
        <v>4304262.0200000005</v>
      </c>
      <c r="E3" s="38">
        <v>5225870.8500000006</v>
      </c>
      <c r="F3" s="38">
        <v>6984605.7200000007</v>
      </c>
      <c r="G3" s="38">
        <v>7655748.8800000008</v>
      </c>
      <c r="H3" s="38">
        <v>8561740.4300000016</v>
      </c>
      <c r="I3" s="38">
        <v>10876421.98</v>
      </c>
      <c r="J3" s="38">
        <v>11379896.310000001</v>
      </c>
      <c r="K3" s="38">
        <v>12593089.970000001</v>
      </c>
      <c r="L3" s="38">
        <v>13743348.73</v>
      </c>
      <c r="M3" s="38">
        <v>13713394.42</v>
      </c>
      <c r="N3" s="38">
        <v>14614430</v>
      </c>
      <c r="O3" s="38">
        <v>17479991.900000002</v>
      </c>
      <c r="P3" s="36">
        <f t="shared" ref="P3:P10" si="0">(((C3+O3)/2)+D3+E3+F3+G3+H3+I3+J3+K3+L3+M3+N3)/12</f>
        <v>10035906.436250001</v>
      </c>
    </row>
    <row r="4" spans="1:18">
      <c r="A4" t="s">
        <v>49</v>
      </c>
      <c r="B4" t="s">
        <v>50</v>
      </c>
      <c r="C4" s="36">
        <v>2368.16</v>
      </c>
      <c r="D4" s="38">
        <v>2368.16</v>
      </c>
      <c r="E4" s="38">
        <v>2368.16</v>
      </c>
      <c r="F4" s="38">
        <v>2368.16</v>
      </c>
      <c r="G4" s="38">
        <v>2368.16</v>
      </c>
      <c r="H4" s="38">
        <v>2368.16</v>
      </c>
      <c r="I4" s="38">
        <v>2368.16</v>
      </c>
      <c r="J4" s="38">
        <v>2368.16</v>
      </c>
      <c r="K4" s="38">
        <v>2368.16</v>
      </c>
      <c r="L4" s="38">
        <v>2368.16</v>
      </c>
      <c r="M4" s="38">
        <v>2368.16</v>
      </c>
      <c r="N4" s="38">
        <v>2368.16</v>
      </c>
      <c r="O4" s="38">
        <v>2368.16</v>
      </c>
      <c r="P4" s="36">
        <f t="shared" si="0"/>
        <v>2368.16</v>
      </c>
    </row>
    <row r="5" spans="1:18">
      <c r="A5" t="s">
        <v>51</v>
      </c>
      <c r="C5" s="36">
        <v>392727.58449329995</v>
      </c>
      <c r="D5" s="38">
        <v>392727.58449329995</v>
      </c>
      <c r="E5" s="38">
        <v>392727.58449329995</v>
      </c>
      <c r="F5" s="38">
        <v>392727.58449329995</v>
      </c>
      <c r="G5" s="38">
        <v>392727.58449329995</v>
      </c>
      <c r="H5" s="38">
        <v>392727.58449329995</v>
      </c>
      <c r="I5" s="38">
        <v>392727.58449329995</v>
      </c>
      <c r="J5" s="38">
        <v>392727.58449329995</v>
      </c>
      <c r="K5" s="38">
        <v>392727.58449329995</v>
      </c>
      <c r="L5" s="38">
        <v>392727.58449329995</v>
      </c>
      <c r="M5" s="38">
        <v>392727.58449329995</v>
      </c>
      <c r="N5" s="38">
        <v>392727.58449329995</v>
      </c>
      <c r="O5" s="38">
        <v>392727.58449329995</v>
      </c>
      <c r="P5" s="36">
        <f t="shared" si="0"/>
        <v>392727.58449329995</v>
      </c>
    </row>
    <row r="6" spans="1:18">
      <c r="A6" t="s">
        <v>52</v>
      </c>
      <c r="C6" s="36">
        <v>965796.84440150007</v>
      </c>
      <c r="D6" s="38">
        <v>965904.75290350011</v>
      </c>
      <c r="E6" s="38">
        <v>965983.23294080014</v>
      </c>
      <c r="F6" s="38">
        <v>966835.93168020016</v>
      </c>
      <c r="G6" s="38">
        <v>966955.72977520013</v>
      </c>
      <c r="H6" s="38">
        <v>968353.95595860016</v>
      </c>
      <c r="I6" s="38">
        <v>968557.54124330019</v>
      </c>
      <c r="J6" s="38">
        <v>968823.79083420022</v>
      </c>
      <c r="K6" s="38">
        <v>969204.18738560018</v>
      </c>
      <c r="L6" s="38">
        <v>969962.77662040014</v>
      </c>
      <c r="M6" s="38">
        <v>969824.3335043001</v>
      </c>
      <c r="N6" s="38">
        <v>970271.77380500012</v>
      </c>
      <c r="O6" s="38">
        <v>1066025.7753684002</v>
      </c>
      <c r="P6" s="36">
        <f t="shared" si="0"/>
        <v>972215.77637800423</v>
      </c>
    </row>
    <row r="7" spans="1:18">
      <c r="A7" t="s">
        <v>53</v>
      </c>
      <c r="C7" s="36">
        <v>28759.98</v>
      </c>
      <c r="D7" s="38">
        <v>28759.98</v>
      </c>
      <c r="E7" s="38">
        <v>28759.98</v>
      </c>
      <c r="F7" s="38">
        <v>29069.29</v>
      </c>
      <c r="G7" s="38">
        <v>29069.29</v>
      </c>
      <c r="H7" s="38">
        <v>29069.29</v>
      </c>
      <c r="I7" s="38">
        <v>30390.43</v>
      </c>
      <c r="J7" s="38">
        <v>30377.16</v>
      </c>
      <c r="K7" s="38">
        <v>30377.16</v>
      </c>
      <c r="L7" s="38">
        <v>35070.089999999997</v>
      </c>
      <c r="M7" s="38">
        <v>35070.089999999997</v>
      </c>
      <c r="N7" s="38">
        <v>35070.089999999997</v>
      </c>
      <c r="O7" s="38">
        <v>34649.35</v>
      </c>
      <c r="P7" s="36">
        <f t="shared" si="0"/>
        <v>31065.62624999999</v>
      </c>
    </row>
    <row r="8" spans="1:18">
      <c r="A8" t="s">
        <v>54</v>
      </c>
      <c r="C8" s="36">
        <v>684623.41195620003</v>
      </c>
      <c r="D8" s="38">
        <v>706224.29117300001</v>
      </c>
      <c r="E8" s="38">
        <v>708588.57375340001</v>
      </c>
      <c r="F8" s="38">
        <v>776814.31158820004</v>
      </c>
      <c r="G8" s="38">
        <v>833351.79078899999</v>
      </c>
      <c r="H8" s="38">
        <v>929195.64876899996</v>
      </c>
      <c r="I8" s="38">
        <v>1017809.2145083999</v>
      </c>
      <c r="J8" s="38">
        <v>1087317.8089727999</v>
      </c>
      <c r="K8" s="38">
        <v>1165429.2245602</v>
      </c>
      <c r="L8" s="38">
        <v>1197811.8447028</v>
      </c>
      <c r="M8" s="38">
        <v>1223163.3442190001</v>
      </c>
      <c r="N8" s="38">
        <v>1282872.4151496</v>
      </c>
      <c r="O8" s="38">
        <v>1309465.7873056</v>
      </c>
      <c r="P8" s="36">
        <f t="shared" si="0"/>
        <v>993801.92231802491</v>
      </c>
    </row>
    <row r="9" spans="1:18">
      <c r="A9" t="s">
        <v>55</v>
      </c>
      <c r="B9" t="s">
        <v>56</v>
      </c>
      <c r="C9" s="36">
        <v>4516367.2298630001</v>
      </c>
      <c r="D9" s="38">
        <v>4516367.2298630001</v>
      </c>
      <c r="E9" s="38">
        <v>4516367.2298630001</v>
      </c>
      <c r="F9" s="38">
        <v>4516367.2298630001</v>
      </c>
      <c r="G9" s="38">
        <v>4516367.2298630001</v>
      </c>
      <c r="H9" s="38">
        <v>4516367.2298630001</v>
      </c>
      <c r="I9" s="38">
        <v>4516367.2298630001</v>
      </c>
      <c r="J9" s="38">
        <v>4516367.2298630001</v>
      </c>
      <c r="K9" s="38">
        <v>4516367.2298630001</v>
      </c>
      <c r="L9" s="38">
        <v>4516367.2298630001</v>
      </c>
      <c r="M9" s="38">
        <v>4516367.2298630001</v>
      </c>
      <c r="N9" s="38">
        <v>4516367.2298630001</v>
      </c>
      <c r="O9" s="38">
        <v>4327732.8784598</v>
      </c>
      <c r="P9" s="36">
        <f t="shared" si="0"/>
        <v>4508507.4652212011</v>
      </c>
    </row>
    <row r="10" spans="1:18">
      <c r="A10" t="s">
        <v>57</v>
      </c>
      <c r="C10" s="36">
        <v>3711177.5933057005</v>
      </c>
      <c r="D10" s="38">
        <v>3981988.9742138004</v>
      </c>
      <c r="E10" s="38">
        <v>4335500.9975615004</v>
      </c>
      <c r="F10" s="38">
        <v>4520962.9464166006</v>
      </c>
      <c r="G10" s="38">
        <v>4538354.5549158007</v>
      </c>
      <c r="H10" s="38">
        <v>4569770.5778162004</v>
      </c>
      <c r="I10" s="38">
        <v>4572173.5755933002</v>
      </c>
      <c r="J10" s="38">
        <v>4572414.2180009</v>
      </c>
      <c r="K10" s="38">
        <v>4392215.3365837</v>
      </c>
      <c r="L10" s="38">
        <v>4392847.4952721</v>
      </c>
      <c r="M10" s="38">
        <v>4392732.1287387004</v>
      </c>
      <c r="N10" s="38">
        <v>4393111.9174133008</v>
      </c>
      <c r="O10" s="38">
        <v>4345766.6314065009</v>
      </c>
      <c r="P10" s="36">
        <f t="shared" si="0"/>
        <v>4390878.7362401681</v>
      </c>
    </row>
    <row r="11" spans="1:18" ht="13.8" thickBot="1">
      <c r="C11" s="37">
        <f>SUM(C2:C10)</f>
        <v>14377964.7540197</v>
      </c>
      <c r="D11" s="37">
        <f t="shared" ref="D11:P11" si="1">SUM(D2:D10)</f>
        <v>14898602.992646601</v>
      </c>
      <c r="E11" s="37">
        <f t="shared" si="1"/>
        <v>16176166.608612001</v>
      </c>
      <c r="F11" s="37">
        <f t="shared" si="1"/>
        <v>18189751.174041305</v>
      </c>
      <c r="G11" s="37">
        <f t="shared" si="1"/>
        <v>18934943.219836302</v>
      </c>
      <c r="H11" s="37">
        <f t="shared" si="1"/>
        <v>19969592.876900103</v>
      </c>
      <c r="I11" s="37">
        <f t="shared" si="1"/>
        <v>22376815.715701301</v>
      </c>
      <c r="J11" s="37">
        <f t="shared" si="1"/>
        <v>22950292.262164202</v>
      </c>
      <c r="K11" s="37">
        <f t="shared" si="1"/>
        <v>24061778.852885801</v>
      </c>
      <c r="L11" s="37">
        <f t="shared" si="1"/>
        <v>25250503.910951603</v>
      </c>
      <c r="M11" s="37">
        <f t="shared" si="1"/>
        <v>25245647.2908183</v>
      </c>
      <c r="N11" s="37">
        <f t="shared" si="1"/>
        <v>26207219.170724202</v>
      </c>
      <c r="O11" s="37">
        <f t="shared" si="1"/>
        <v>28958728.067033608</v>
      </c>
      <c r="P11" s="37">
        <f t="shared" si="1"/>
        <v>21327471.707150698</v>
      </c>
    </row>
    <row r="12" spans="1:18" ht="13.8" thickBot="1">
      <c r="P12" s="36"/>
    </row>
    <row r="13" spans="1:18">
      <c r="B13" t="s">
        <v>47</v>
      </c>
      <c r="O13" s="38">
        <f>SUM(O2:O3)</f>
        <v>17479991.900000002</v>
      </c>
      <c r="P13" s="38">
        <f>SUM(P2:P3)</f>
        <v>10035906.436250001</v>
      </c>
      <c r="Q13" s="40">
        <f>O13-P13</f>
        <v>7444085.463750001</v>
      </c>
      <c r="R13" s="110" t="s">
        <v>145</v>
      </c>
    </row>
    <row r="14" spans="1:18">
      <c r="B14" t="s">
        <v>50</v>
      </c>
      <c r="O14" s="38">
        <f>SUM(O4:O8)</f>
        <v>2805236.6571673001</v>
      </c>
      <c r="P14" s="38">
        <f>SUM(P4:P8)</f>
        <v>2392179.0694393292</v>
      </c>
      <c r="Q14" s="41">
        <f t="shared" ref="Q14:Q15" si="2">O14-P14</f>
        <v>413057.58772797091</v>
      </c>
    </row>
    <row r="15" spans="1:18">
      <c r="B15" t="s">
        <v>56</v>
      </c>
      <c r="O15" s="38">
        <f>SUM(O9:O10)</f>
        <v>8673499.509866301</v>
      </c>
      <c r="P15" s="38">
        <f>SUM(P9:P10)</f>
        <v>8899386.2014613692</v>
      </c>
      <c r="Q15" s="124">
        <f t="shared" si="2"/>
        <v>-225886.6915950682</v>
      </c>
    </row>
    <row r="16" spans="1:18" ht="13.8" thickBot="1">
      <c r="B16" t="s">
        <v>58</v>
      </c>
      <c r="O16" s="39">
        <f>SUM(O13:O15)</f>
        <v>28958728.067033604</v>
      </c>
      <c r="P16" s="39">
        <f>SUM(P13:P15)</f>
        <v>21327471.707150698</v>
      </c>
      <c r="Q16" s="127">
        <f>SUM(Q13:Q15)</f>
        <v>7631256.3598829042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6">
        <f t="shared" ref="P19:P27" si="3">(((C19+O19)/2)+D19+E19+F19+G19+H19+I19+J19+K19+L19+M19+N19)/12</f>
        <v>0</v>
      </c>
    </row>
    <row r="20" spans="1:18">
      <c r="A20" t="s">
        <v>48</v>
      </c>
      <c r="C20" s="36">
        <v>-38026.620000000003</v>
      </c>
      <c r="D20" s="38">
        <v>-61282.25</v>
      </c>
      <c r="E20" s="38">
        <v>-87728.37</v>
      </c>
      <c r="F20" s="38">
        <v>-121612.44</v>
      </c>
      <c r="G20" s="38">
        <v>-162239.42000000001</v>
      </c>
      <c r="H20" s="38">
        <v>-207242.95</v>
      </c>
      <c r="I20" s="38">
        <v>-261183.85</v>
      </c>
      <c r="J20" s="38">
        <v>-322945.13</v>
      </c>
      <c r="K20" s="38">
        <v>-389470.17</v>
      </c>
      <c r="L20" s="38">
        <v>-462553.79</v>
      </c>
      <c r="M20" s="38">
        <v>-538746.25</v>
      </c>
      <c r="N20" s="38">
        <v>-617355.96</v>
      </c>
      <c r="O20" s="38">
        <v>-699569.3899999999</v>
      </c>
      <c r="P20" s="36">
        <f t="shared" si="3"/>
        <v>-300096.54875000002</v>
      </c>
    </row>
    <row r="21" spans="1:18">
      <c r="A21" t="s">
        <v>49</v>
      </c>
      <c r="B21" t="s">
        <v>50</v>
      </c>
      <c r="C21" s="36">
        <v>-9.92</v>
      </c>
      <c r="D21" s="38">
        <v>-13.89</v>
      </c>
      <c r="E21" s="38">
        <v>-17.86</v>
      </c>
      <c r="F21" s="38">
        <v>-21.83</v>
      </c>
      <c r="G21" s="38">
        <v>-25.799999999999997</v>
      </c>
      <c r="H21" s="38">
        <v>-29.769999999999996</v>
      </c>
      <c r="I21" s="38">
        <v>-33.739999999999995</v>
      </c>
      <c r="J21" s="38">
        <v>-37.709999999999994</v>
      </c>
      <c r="K21" s="38">
        <v>-41.679999999999993</v>
      </c>
      <c r="L21" s="38">
        <v>-45.649999999999991</v>
      </c>
      <c r="M21" s="38">
        <v>-49.61999999999999</v>
      </c>
      <c r="N21" s="38">
        <v>-53.589999999999989</v>
      </c>
      <c r="O21" s="38">
        <v>-57.559999999999988</v>
      </c>
      <c r="P21" s="36">
        <f t="shared" si="3"/>
        <v>-33.739999999999995</v>
      </c>
    </row>
    <row r="22" spans="1:18">
      <c r="A22" t="s">
        <v>51</v>
      </c>
      <c r="C22" s="36">
        <v>-130105.66158009999</v>
      </c>
      <c r="D22" s="38">
        <v>-136651.12124719998</v>
      </c>
      <c r="E22" s="38">
        <v>-143196.58091429996</v>
      </c>
      <c r="F22" s="38">
        <v>-149742.04058139995</v>
      </c>
      <c r="G22" s="38">
        <v>-156287.50024849994</v>
      </c>
      <c r="H22" s="38">
        <v>-162832.95991559993</v>
      </c>
      <c r="I22" s="38">
        <v>-169378.41958269992</v>
      </c>
      <c r="J22" s="38">
        <v>-175923.87924979991</v>
      </c>
      <c r="K22" s="38">
        <v>-182469.3389168999</v>
      </c>
      <c r="L22" s="38">
        <v>-189014.79858399989</v>
      </c>
      <c r="M22" s="38">
        <v>-195560.25825109988</v>
      </c>
      <c r="N22" s="38">
        <v>-202105.71791819987</v>
      </c>
      <c r="O22" s="38">
        <v>-208651.17758529985</v>
      </c>
      <c r="P22" s="36">
        <f t="shared" si="3"/>
        <v>-169378.41958269992</v>
      </c>
    </row>
    <row r="23" spans="1:18">
      <c r="A23" t="s">
        <v>52</v>
      </c>
      <c r="C23" s="36">
        <v>-54737.705214000001</v>
      </c>
      <c r="D23" s="38">
        <v>-70835.218424899998</v>
      </c>
      <c r="E23" s="38">
        <v>-86934.283666300005</v>
      </c>
      <c r="F23" s="38">
        <v>-103041.10860780001</v>
      </c>
      <c r="G23" s="38">
        <v>-119156.03872060002</v>
      </c>
      <c r="H23" s="38">
        <v>-135283.61873790002</v>
      </c>
      <c r="I23" s="38">
        <v>-151424.54704760003</v>
      </c>
      <c r="J23" s="38">
        <v>-167569.39020120003</v>
      </c>
      <c r="K23" s="38">
        <v>-183719.62240770002</v>
      </c>
      <c r="L23" s="38">
        <v>-199879.34613760002</v>
      </c>
      <c r="M23" s="38">
        <v>-216044.23704450001</v>
      </c>
      <c r="N23" s="38">
        <v>-232211.70409440002</v>
      </c>
      <c r="O23" s="38">
        <v>-246933.34122500004</v>
      </c>
      <c r="P23" s="36">
        <f t="shared" si="3"/>
        <v>-151411.21985916668</v>
      </c>
    </row>
    <row r="24" spans="1:18">
      <c r="A24" t="s">
        <v>53</v>
      </c>
      <c r="C24" s="36">
        <v>-1003</v>
      </c>
      <c r="D24" s="38">
        <v>-1404.2</v>
      </c>
      <c r="E24" s="38">
        <v>-1805.4</v>
      </c>
      <c r="F24" s="38">
        <v>-2208.7600000000002</v>
      </c>
      <c r="G24" s="38">
        <v>-2370.34</v>
      </c>
      <c r="H24" s="38">
        <v>-2531.92</v>
      </c>
      <c r="I24" s="38">
        <v>-2697.17</v>
      </c>
      <c r="J24" s="38">
        <v>-2866.05</v>
      </c>
      <c r="K24" s="38">
        <v>-3034.9</v>
      </c>
      <c r="L24" s="38">
        <v>-3216.79</v>
      </c>
      <c r="M24" s="38">
        <v>-3411.72</v>
      </c>
      <c r="N24" s="38">
        <v>-3606.6499999999996</v>
      </c>
      <c r="O24" s="38">
        <v>-3731.5799999999995</v>
      </c>
      <c r="P24" s="36">
        <f t="shared" si="3"/>
        <v>-2626.7658333333334</v>
      </c>
    </row>
    <row r="25" spans="1:18">
      <c r="A25" t="s">
        <v>54</v>
      </c>
      <c r="C25" s="36">
        <v>-9693.5256730000001</v>
      </c>
      <c r="D25" s="38">
        <v>-11654.9192714</v>
      </c>
      <c r="E25" s="38">
        <v>-13650.2630042</v>
      </c>
      <c r="F25" s="38">
        <v>-15745.6096192</v>
      </c>
      <c r="G25" s="38">
        <v>-18081.02536</v>
      </c>
      <c r="H25" s="38">
        <v>-20632.313419800001</v>
      </c>
      <c r="I25" s="38">
        <v>-23444.916177400002</v>
      </c>
      <c r="J25" s="38">
        <v>-26481.524771600001</v>
      </c>
      <c r="K25" s="38">
        <v>-32742.287621200001</v>
      </c>
      <c r="L25" s="38">
        <v>-39310.130587</v>
      </c>
      <c r="M25" s="38">
        <v>-46038.426879599996</v>
      </c>
      <c r="N25" s="38">
        <v>-53003.121781399997</v>
      </c>
      <c r="O25" s="38">
        <v>-58636.734224</v>
      </c>
      <c r="P25" s="36">
        <f t="shared" si="3"/>
        <v>-27912.472370108331</v>
      </c>
    </row>
    <row r="26" spans="1:18">
      <c r="A26" t="s">
        <v>55</v>
      </c>
      <c r="B26" t="s">
        <v>56</v>
      </c>
      <c r="C26" s="36">
        <v>-432206.69601749995</v>
      </c>
      <c r="D26" s="38">
        <v>-462348.08732429997</v>
      </c>
      <c r="E26" s="38">
        <v>-492489.47714199999</v>
      </c>
      <c r="F26" s="38">
        <v>-522630.89674170001</v>
      </c>
      <c r="G26" s="38">
        <v>-552772.30442860001</v>
      </c>
      <c r="H26" s="38">
        <v>-582913.70020269998</v>
      </c>
      <c r="I26" s="38">
        <v>-613055.12575879996</v>
      </c>
      <c r="J26" s="38">
        <v>-643196.54089119995</v>
      </c>
      <c r="K26" s="38">
        <v>-673337.9426217</v>
      </c>
      <c r="L26" s="38">
        <v>-703479.35924320004</v>
      </c>
      <c r="M26" s="38">
        <v>-733620.77139740007</v>
      </c>
      <c r="N26" s="38">
        <v>-763762.18652980006</v>
      </c>
      <c r="O26" s="38">
        <v>-770330.996774</v>
      </c>
      <c r="P26" s="36">
        <f t="shared" si="3"/>
        <v>-612072.93655642914</v>
      </c>
    </row>
    <row r="27" spans="1:18">
      <c r="A27" t="s">
        <v>57</v>
      </c>
      <c r="C27" s="36">
        <v>-267537.1972387</v>
      </c>
      <c r="D27" s="38">
        <v>-332369.57507399999</v>
      </c>
      <c r="E27" s="38">
        <v>-402410.4810801</v>
      </c>
      <c r="F27" s="38">
        <v>-476959.45529139997</v>
      </c>
      <c r="G27" s="38">
        <v>-553226.77364879998</v>
      </c>
      <c r="H27" s="38">
        <v>-629921.65444840002</v>
      </c>
      <c r="I27" s="38">
        <v>-706917.63939789997</v>
      </c>
      <c r="J27" s="38">
        <v>-782881.00801250001</v>
      </c>
      <c r="K27" s="38">
        <v>-832823.8581187001</v>
      </c>
      <c r="L27" s="38">
        <v>-906093.1598255001</v>
      </c>
      <c r="M27" s="38">
        <v>-979692.14192740014</v>
      </c>
      <c r="N27" s="38">
        <v>-1053293.9131214002</v>
      </c>
      <c r="O27" s="38">
        <v>-1116871.5139410002</v>
      </c>
      <c r="P27" s="36">
        <f t="shared" si="3"/>
        <v>-695732.83462799585</v>
      </c>
    </row>
    <row r="28" spans="1:18" ht="13.8" thickBot="1">
      <c r="C28" s="37">
        <f>SUM(C19:C27)</f>
        <v>-933320.32572329999</v>
      </c>
      <c r="D28" s="37">
        <f t="shared" ref="D28:P28" si="4">SUM(D19:D27)</f>
        <v>-1076559.2613418</v>
      </c>
      <c r="E28" s="37">
        <f t="shared" si="4"/>
        <v>-1228232.7158069001</v>
      </c>
      <c r="F28" s="37">
        <f t="shared" si="4"/>
        <v>-1391962.1408414999</v>
      </c>
      <c r="G28" s="37">
        <f t="shared" si="4"/>
        <v>-1564159.2024065</v>
      </c>
      <c r="H28" s="37">
        <f t="shared" si="4"/>
        <v>-1741388.8867243999</v>
      </c>
      <c r="I28" s="37">
        <f t="shared" si="4"/>
        <v>-1928135.4079644</v>
      </c>
      <c r="J28" s="37">
        <f t="shared" si="4"/>
        <v>-2121901.2331262999</v>
      </c>
      <c r="K28" s="37">
        <f t="shared" si="4"/>
        <v>-2297639.7996862</v>
      </c>
      <c r="L28" s="37">
        <f t="shared" si="4"/>
        <v>-2503593.0243773004</v>
      </c>
      <c r="M28" s="37">
        <f t="shared" si="4"/>
        <v>-2713163.4254999999</v>
      </c>
      <c r="N28" s="37">
        <f t="shared" si="4"/>
        <v>-2925392.8434451995</v>
      </c>
      <c r="O28" s="37">
        <f t="shared" si="4"/>
        <v>-3104782.2937493003</v>
      </c>
      <c r="P28" s="37">
        <f t="shared" si="4"/>
        <v>-1959264.9375797333</v>
      </c>
    </row>
    <row r="29" spans="1:18" ht="13.8" thickBot="1"/>
    <row r="30" spans="1:18">
      <c r="B30" t="s">
        <v>47</v>
      </c>
      <c r="O30" s="38">
        <f>SUM(O19:O20)</f>
        <v>-699569.3899999999</v>
      </c>
      <c r="P30" s="38">
        <f>SUM(P19:P20)</f>
        <v>-300096.54875000002</v>
      </c>
      <c r="Q30" s="40">
        <f>O30-P30</f>
        <v>-399472.84124999988</v>
      </c>
      <c r="R30" s="110" t="s">
        <v>145</v>
      </c>
    </row>
    <row r="31" spans="1:18">
      <c r="B31" t="s">
        <v>50</v>
      </c>
      <c r="O31" s="38">
        <f>SUM(O21:O25)</f>
        <v>-518010.39303429989</v>
      </c>
      <c r="P31" s="38">
        <f>SUM(P21:P25)</f>
        <v>-351362.61764530826</v>
      </c>
      <c r="Q31" s="41">
        <f t="shared" ref="Q31:Q32" si="5">O31-P31</f>
        <v>-166647.77538899163</v>
      </c>
    </row>
    <row r="32" spans="1:18">
      <c r="B32" t="s">
        <v>56</v>
      </c>
      <c r="O32" s="38">
        <f>SUM(O26:O27)</f>
        <v>-1887202.5107150003</v>
      </c>
      <c r="P32" s="38">
        <f>SUM(P26:P27)</f>
        <v>-1307805.7711844249</v>
      </c>
      <c r="Q32" s="124">
        <f t="shared" si="5"/>
        <v>-579396.73953057546</v>
      </c>
    </row>
    <row r="33" spans="2:17" ht="13.8" thickBot="1">
      <c r="B33" t="s">
        <v>58</v>
      </c>
      <c r="O33" s="39">
        <f>SUM(O30:O32)</f>
        <v>-3104782.2937492998</v>
      </c>
      <c r="P33" s="39">
        <f>SUM(P30:P32)</f>
        <v>-1959264.9375797331</v>
      </c>
      <c r="Q33" s="127">
        <f>SUM(Q30:Q32)</f>
        <v>-1145517.356169567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>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01A-00A9-420F-90F1-01E9819D7DAA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Adds'!O11</f>
        <v>27022.020857416286</v>
      </c>
      <c r="D20" s="59">
        <f>'NR.2-New Rev Adds'!P11</f>
        <v>12910.772592682008</v>
      </c>
      <c r="E20" s="50">
        <v>2.4500000000000001E-2</v>
      </c>
      <c r="F20" s="52">
        <f>ROUND(C20*E20,0)</f>
        <v>662</v>
      </c>
      <c r="G20" s="52"/>
      <c r="H20" s="58">
        <f>D20*E20</f>
        <v>316.31392852070923</v>
      </c>
      <c r="I20" s="58">
        <f>H20+F20</f>
        <v>978.31392852070917</v>
      </c>
      <c r="J20" s="58">
        <f>I20+F20</f>
        <v>1640.3139285207092</v>
      </c>
      <c r="K20" s="58">
        <f>J20+F20</f>
        <v>2302.3139285207089</v>
      </c>
      <c r="L20" s="58"/>
      <c r="M20" s="58">
        <f>ROUND(C20*$N$4,0)</f>
        <v>2702</v>
      </c>
      <c r="N20" s="58">
        <f>(C20-M20)*$O$4</f>
        <v>912.00078215311066</v>
      </c>
      <c r="O20" s="55">
        <f>SUM(M20:N20)</f>
        <v>3614.0007821531108</v>
      </c>
      <c r="P20" s="58">
        <f>ROUND((C20-M20)*$P$4,0)</f>
        <v>1756</v>
      </c>
      <c r="Q20" s="58">
        <f>ROUND((C20-M20)*$Q$4,0)</f>
        <v>1624</v>
      </c>
      <c r="R20" s="58">
        <f>ROUND((C20-M20)*$R$4,0)</f>
        <v>1502</v>
      </c>
      <c r="S20" s="58">
        <f>ROUND((C20-M20)*$S$4,0)</f>
        <v>1389</v>
      </c>
      <c r="T20" s="58"/>
      <c r="U20" s="58">
        <f>ROUND((O20-$H20)*-$V$8,0)</f>
        <v>-693</v>
      </c>
      <c r="V20" s="58">
        <f>ROUND(((P20-$F20)*-$V$8)+U20,0)</f>
        <v>-923</v>
      </c>
      <c r="W20" s="58">
        <f>ROUND((((Q20-F20))*-$V$8)+V20,0)</f>
        <v>-1125</v>
      </c>
      <c r="X20" s="58">
        <f>ROUND(((R20-F20)*-$V$8)+W20,0)</f>
        <v>-1301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27022.020857416286</v>
      </c>
      <c r="D22" s="65">
        <f>SUM(D20:D21)</f>
        <v>12910.772592682008</v>
      </c>
      <c r="E22" s="48"/>
      <c r="F22" s="65">
        <f>SUM(F20:F21)</f>
        <v>662</v>
      </c>
      <c r="G22" s="52"/>
      <c r="H22" s="65">
        <f>SUM(H20:H21)</f>
        <v>316.31392852070923</v>
      </c>
      <c r="I22" s="65">
        <f>SUM(I20:I21)</f>
        <v>978.31392852070917</v>
      </c>
      <c r="J22" s="65">
        <f>SUM(J20:J21)</f>
        <v>1640.3139285207092</v>
      </c>
      <c r="K22" s="65">
        <f>SUM(K20:K21)</f>
        <v>2302.3139285207089</v>
      </c>
      <c r="L22" s="52"/>
      <c r="M22" s="65">
        <f t="shared" ref="M22:S22" si="1">SUM(M20:M21)</f>
        <v>2702</v>
      </c>
      <c r="N22" s="65">
        <f t="shared" si="1"/>
        <v>912.00078215311066</v>
      </c>
      <c r="O22" s="66">
        <f t="shared" si="1"/>
        <v>3614.0007821531108</v>
      </c>
      <c r="P22" s="65">
        <f t="shared" si="1"/>
        <v>1756</v>
      </c>
      <c r="Q22" s="65">
        <f t="shared" si="1"/>
        <v>1624</v>
      </c>
      <c r="R22" s="65">
        <f t="shared" si="1"/>
        <v>1502</v>
      </c>
      <c r="S22" s="65">
        <f t="shared" si="1"/>
        <v>1389</v>
      </c>
      <c r="T22" s="52"/>
      <c r="U22" s="65">
        <f>SUM(U20:U21)</f>
        <v>-693</v>
      </c>
      <c r="V22" s="65">
        <f>SUM(V20:V21)</f>
        <v>-923</v>
      </c>
      <c r="W22" s="65">
        <f>SUM(W20:W21)</f>
        <v>-1125</v>
      </c>
      <c r="X22" s="65">
        <f>SUM(X20:X21)</f>
        <v>-1301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27022.020857416286</v>
      </c>
      <c r="D33" s="131">
        <f>SUM(D15,D17,D22,D26,D30)</f>
        <v>12910.772592682008</v>
      </c>
      <c r="F33" s="57">
        <f>SUM(F15,F17,F22,F26,F30)</f>
        <v>662</v>
      </c>
      <c r="G33" s="55"/>
      <c r="H33" s="57">
        <f>SUM(H15,H17,H22,H26,H30)</f>
        <v>316.31392852070923</v>
      </c>
      <c r="I33" s="57">
        <f>SUM(I15,I17,I22,I26,I30)</f>
        <v>978.31392852070917</v>
      </c>
      <c r="J33" s="57">
        <f>SUM(J15,J17,J22,J26,J30)</f>
        <v>1640.3139285207092</v>
      </c>
      <c r="K33" s="57">
        <f>SUM(K15,K17,K22,K26,K30)</f>
        <v>2302.3139285207089</v>
      </c>
      <c r="L33" s="55"/>
      <c r="M33" s="57">
        <f t="shared" ref="M33:S33" si="3">SUM(M15,M17,M22,M26,M30)</f>
        <v>2702</v>
      </c>
      <c r="N33" s="57">
        <f t="shared" si="3"/>
        <v>912.00078215311066</v>
      </c>
      <c r="O33" s="57">
        <f t="shared" si="3"/>
        <v>3614.0007821531108</v>
      </c>
      <c r="P33" s="57">
        <f t="shared" si="3"/>
        <v>1756</v>
      </c>
      <c r="Q33" s="57">
        <f t="shared" si="3"/>
        <v>1624</v>
      </c>
      <c r="R33" s="57">
        <f t="shared" si="3"/>
        <v>1502</v>
      </c>
      <c r="S33" s="57">
        <f t="shared" si="3"/>
        <v>1389</v>
      </c>
      <c r="T33" s="55"/>
      <c r="U33" s="131">
        <f>SUM(U15,U17,U22,U26,U30)</f>
        <v>-693</v>
      </c>
      <c r="V33" s="57">
        <f>SUM(V15,V17,V22,V26,V30)</f>
        <v>-923</v>
      </c>
      <c r="W33" s="57">
        <f>SUM(W15,W17,W22,W26,W30)</f>
        <v>-1125</v>
      </c>
      <c r="X33" s="57">
        <f>SUM(X15,X17,X22,X26,X30)</f>
        <v>-1301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144</v>
      </c>
      <c r="V34" s="55"/>
      <c r="W34" s="55"/>
      <c r="X34" s="55"/>
    </row>
    <row r="35" spans="1:24">
      <c r="B35" s="54" t="s">
        <v>144</v>
      </c>
      <c r="C35" s="125">
        <f>C20-D20</f>
        <v>14111.248264734279</v>
      </c>
      <c r="D35" s="52"/>
      <c r="F35" s="52"/>
      <c r="G35" s="54" t="s">
        <v>144</v>
      </c>
      <c r="H35" s="125">
        <f>F33-H33</f>
        <v>345.68607147929077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M9:S9"/>
    <mergeCell ref="U9:X9"/>
    <mergeCell ref="H9:K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0C7D-D176-49F9-BD45-CAFC1A18D676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Adds'!O29</f>
        <v>17317.599761617108</v>
      </c>
      <c r="D20" s="59">
        <f>'NR.2-New Rev Adds'!P29</f>
        <v>7584.1841659979646</v>
      </c>
      <c r="E20" s="50">
        <v>2.4500000000000001E-2</v>
      </c>
      <c r="F20" s="52">
        <f>ROUND(C20*E20,0)</f>
        <v>424</v>
      </c>
      <c r="G20" s="52"/>
      <c r="H20" s="58">
        <f>D20*E20</f>
        <v>185.81251206695015</v>
      </c>
      <c r="I20" s="58">
        <f>H20+F20</f>
        <v>609.81251206695015</v>
      </c>
      <c r="J20" s="58">
        <f>I20+F20</f>
        <v>1033.8125120669501</v>
      </c>
      <c r="K20" s="58">
        <f>J20+F20</f>
        <v>1457.8125120669501</v>
      </c>
      <c r="L20" s="58"/>
      <c r="M20" s="58">
        <f>ROUND(C20*$N$4,0)</f>
        <v>1732</v>
      </c>
      <c r="N20" s="58">
        <f>(C20-M20)*$O$4</f>
        <v>584.45999106064153</v>
      </c>
      <c r="O20" s="55">
        <f>SUM(M20:N20)</f>
        <v>2316.4599910606416</v>
      </c>
      <c r="P20" s="58">
        <f>ROUND((C20-M20)*$P$4,0)</f>
        <v>1125</v>
      </c>
      <c r="Q20" s="58">
        <f>ROUND((C20-M20)*$Q$4,0)</f>
        <v>1041</v>
      </c>
      <c r="R20" s="58">
        <f>ROUND((C20-M20)*$R$4,0)</f>
        <v>963</v>
      </c>
      <c r="S20" s="58">
        <f>ROUND((C20-M20)*$S$4,0)</f>
        <v>890</v>
      </c>
      <c r="T20" s="58"/>
      <c r="U20" s="58">
        <f>ROUND((O20-$H20)*-$V$8,0)</f>
        <v>-447</v>
      </c>
      <c r="V20" s="58">
        <f>ROUND(((P20-$F20)*-$V$8)+U20,0)</f>
        <v>-594</v>
      </c>
      <c r="W20" s="58">
        <f>ROUND((((Q20-F20))*-$V$8)+V20,0)</f>
        <v>-724</v>
      </c>
      <c r="X20" s="58">
        <f>ROUND(((R20-F20)*-$V$8)+W20,0)</f>
        <v>-837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17317.599761617108</v>
      </c>
      <c r="D22" s="65">
        <f>SUM(D20:D21)</f>
        <v>7584.1841659979646</v>
      </c>
      <c r="E22" s="48"/>
      <c r="F22" s="65">
        <f>SUM(F20:F21)</f>
        <v>424</v>
      </c>
      <c r="G22" s="52"/>
      <c r="H22" s="65">
        <f>SUM(H20:H21)</f>
        <v>185.81251206695015</v>
      </c>
      <c r="I22" s="65">
        <f>SUM(I20:I21)</f>
        <v>609.81251206695015</v>
      </c>
      <c r="J22" s="65">
        <f>SUM(J20:J21)</f>
        <v>1033.8125120669501</v>
      </c>
      <c r="K22" s="65">
        <f>SUM(K20:K21)</f>
        <v>1457.8125120669501</v>
      </c>
      <c r="L22" s="52"/>
      <c r="M22" s="65">
        <f t="shared" ref="M22:S22" si="1">SUM(M20:M21)</f>
        <v>1732</v>
      </c>
      <c r="N22" s="65">
        <f t="shared" si="1"/>
        <v>584.45999106064153</v>
      </c>
      <c r="O22" s="66">
        <f t="shared" si="1"/>
        <v>2316.4599910606416</v>
      </c>
      <c r="P22" s="65">
        <f t="shared" si="1"/>
        <v>1125</v>
      </c>
      <c r="Q22" s="65">
        <f t="shared" si="1"/>
        <v>1041</v>
      </c>
      <c r="R22" s="65">
        <f t="shared" si="1"/>
        <v>963</v>
      </c>
      <c r="S22" s="65">
        <f t="shared" si="1"/>
        <v>890</v>
      </c>
      <c r="T22" s="52"/>
      <c r="U22" s="65">
        <f>SUM(U20:U21)</f>
        <v>-447</v>
      </c>
      <c r="V22" s="65">
        <f>SUM(V20:V21)</f>
        <v>-594</v>
      </c>
      <c r="W22" s="65">
        <f>SUM(W20:W21)</f>
        <v>-724</v>
      </c>
      <c r="X22" s="65">
        <f>SUM(X20:X21)</f>
        <v>-837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17317.599761617108</v>
      </c>
      <c r="D33" s="131">
        <f>SUM(D15,D17,D22,D26,D30)</f>
        <v>7584.1841659979646</v>
      </c>
      <c r="F33" s="57">
        <f>SUM(F15,F17,F22,F26,F30)</f>
        <v>424</v>
      </c>
      <c r="G33" s="55"/>
      <c r="H33" s="57">
        <f>SUM(H15,H17,H22,H26,H30)</f>
        <v>185.81251206695015</v>
      </c>
      <c r="I33" s="57">
        <f>SUM(I15,I17,I22,I26,I30)</f>
        <v>609.81251206695015</v>
      </c>
      <c r="J33" s="57">
        <f>SUM(J15,J17,J22,J26,J30)</f>
        <v>1033.8125120669501</v>
      </c>
      <c r="K33" s="57">
        <f>SUM(K15,K17,K22,K26,K30)</f>
        <v>1457.8125120669501</v>
      </c>
      <c r="L33" s="55"/>
      <c r="M33" s="57">
        <f t="shared" ref="M33:S33" si="3">SUM(M15,M17,M22,M26,M30)</f>
        <v>1732</v>
      </c>
      <c r="N33" s="57">
        <f t="shared" si="3"/>
        <v>584.45999106064153</v>
      </c>
      <c r="O33" s="57">
        <f t="shared" si="3"/>
        <v>2316.4599910606416</v>
      </c>
      <c r="P33" s="57">
        <f t="shared" si="3"/>
        <v>1125</v>
      </c>
      <c r="Q33" s="57">
        <f t="shared" si="3"/>
        <v>1041</v>
      </c>
      <c r="R33" s="57">
        <f t="shared" si="3"/>
        <v>963</v>
      </c>
      <c r="S33" s="57">
        <f t="shared" si="3"/>
        <v>890</v>
      </c>
      <c r="T33" s="55"/>
      <c r="U33" s="131">
        <f>SUM(U15,U17,U22,U26,U30)</f>
        <v>-447</v>
      </c>
      <c r="V33" s="57">
        <f>SUM(V15,V17,V22,V26,V30)</f>
        <v>-594</v>
      </c>
      <c r="W33" s="57">
        <f>SUM(W15,W17,W22,W26,W30)</f>
        <v>-724</v>
      </c>
      <c r="X33" s="57">
        <f>SUM(X15,X17,X22,X26,X30)</f>
        <v>-837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145</v>
      </c>
      <c r="V34" s="55"/>
      <c r="W34" s="55"/>
      <c r="X34" s="55"/>
    </row>
    <row r="35" spans="1:24">
      <c r="B35" s="54" t="s">
        <v>145</v>
      </c>
      <c r="C35" s="125">
        <f>C20-D20</f>
        <v>9733.4155956191426</v>
      </c>
      <c r="D35" s="52"/>
      <c r="F35" s="52"/>
      <c r="G35" s="54" t="s">
        <v>145</v>
      </c>
      <c r="H35" s="125">
        <f>F33-H33</f>
        <v>238.18748793304985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H9:K9"/>
    <mergeCell ref="M9:S9"/>
    <mergeCell ref="U9:X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CD7-0295-48E3-A158-1D206942A897}">
  <sheetPr>
    <pageSetUpPr fitToPage="1"/>
  </sheetPr>
  <dimension ref="A1:AC58"/>
  <sheetViews>
    <sheetView zoomScaleNormal="100" workbookViewId="0"/>
  </sheetViews>
  <sheetFormatPr defaultRowHeight="13.2"/>
  <cols>
    <col min="1" max="1" width="38.44140625" style="89" customWidth="1"/>
    <col min="2" max="2" width="9.109375" style="89" customWidth="1"/>
    <col min="3" max="14" width="8.88671875" style="89"/>
    <col min="15" max="15" width="13.33203125" style="89" customWidth="1"/>
    <col min="16" max="16" width="11.88671875" style="89" bestFit="1" customWidth="1"/>
    <col min="17" max="242" width="8.88671875" style="89"/>
    <col min="243" max="243" width="38.44140625" style="89" customWidth="1"/>
    <col min="244" max="257" width="8.88671875" style="89"/>
    <col min="258" max="258" width="13.33203125" style="89" customWidth="1"/>
    <col min="259" max="259" width="11.88671875" style="89" bestFit="1" customWidth="1"/>
    <col min="260" max="263" width="11.33203125" style="89" bestFit="1" customWidth="1"/>
    <col min="264" max="264" width="13.109375" style="89" bestFit="1" customWidth="1"/>
    <col min="265" max="265" width="12.33203125" style="89" bestFit="1" customWidth="1"/>
    <col min="266" max="267" width="11.33203125" style="89" bestFit="1" customWidth="1"/>
    <col min="268" max="268" width="8.88671875" style="89"/>
    <col min="269" max="271" width="11.33203125" style="89" bestFit="1" customWidth="1"/>
    <col min="272" max="272" width="7.88671875" style="89" bestFit="1" customWidth="1"/>
    <col min="273" max="498" width="8.88671875" style="89"/>
    <col min="499" max="499" width="38.44140625" style="89" customWidth="1"/>
    <col min="500" max="513" width="8.88671875" style="89"/>
    <col min="514" max="514" width="13.33203125" style="89" customWidth="1"/>
    <col min="515" max="515" width="11.88671875" style="89" bestFit="1" customWidth="1"/>
    <col min="516" max="519" width="11.33203125" style="89" bestFit="1" customWidth="1"/>
    <col min="520" max="520" width="13.109375" style="89" bestFit="1" customWidth="1"/>
    <col min="521" max="521" width="12.33203125" style="89" bestFit="1" customWidth="1"/>
    <col min="522" max="523" width="11.33203125" style="89" bestFit="1" customWidth="1"/>
    <col min="524" max="524" width="8.88671875" style="89"/>
    <col min="525" max="527" width="11.33203125" style="89" bestFit="1" customWidth="1"/>
    <col min="528" max="528" width="7.88671875" style="89" bestFit="1" customWidth="1"/>
    <col min="529" max="754" width="8.88671875" style="89"/>
    <col min="755" max="755" width="38.44140625" style="89" customWidth="1"/>
    <col min="756" max="769" width="8.88671875" style="89"/>
    <col min="770" max="770" width="13.33203125" style="89" customWidth="1"/>
    <col min="771" max="771" width="11.88671875" style="89" bestFit="1" customWidth="1"/>
    <col min="772" max="775" width="11.33203125" style="89" bestFit="1" customWidth="1"/>
    <col min="776" max="776" width="13.109375" style="89" bestFit="1" customWidth="1"/>
    <col min="777" max="777" width="12.33203125" style="89" bestFit="1" customWidth="1"/>
    <col min="778" max="779" width="11.33203125" style="89" bestFit="1" customWidth="1"/>
    <col min="780" max="780" width="8.88671875" style="89"/>
    <col min="781" max="783" width="11.33203125" style="89" bestFit="1" customWidth="1"/>
    <col min="784" max="784" width="7.88671875" style="89" bestFit="1" customWidth="1"/>
    <col min="785" max="1010" width="8.88671875" style="89"/>
    <col min="1011" max="1011" width="38.44140625" style="89" customWidth="1"/>
    <col min="1012" max="1025" width="8.88671875" style="89"/>
    <col min="1026" max="1026" width="13.33203125" style="89" customWidth="1"/>
    <col min="1027" max="1027" width="11.88671875" style="89" bestFit="1" customWidth="1"/>
    <col min="1028" max="1031" width="11.33203125" style="89" bestFit="1" customWidth="1"/>
    <col min="1032" max="1032" width="13.109375" style="89" bestFit="1" customWidth="1"/>
    <col min="1033" max="1033" width="12.33203125" style="89" bestFit="1" customWidth="1"/>
    <col min="1034" max="1035" width="11.33203125" style="89" bestFit="1" customWidth="1"/>
    <col min="1036" max="1036" width="8.88671875" style="89"/>
    <col min="1037" max="1039" width="11.33203125" style="89" bestFit="1" customWidth="1"/>
    <col min="1040" max="1040" width="7.88671875" style="89" bestFit="1" customWidth="1"/>
    <col min="1041" max="1266" width="8.88671875" style="89"/>
    <col min="1267" max="1267" width="38.44140625" style="89" customWidth="1"/>
    <col min="1268" max="1281" width="8.88671875" style="89"/>
    <col min="1282" max="1282" width="13.33203125" style="89" customWidth="1"/>
    <col min="1283" max="1283" width="11.88671875" style="89" bestFit="1" customWidth="1"/>
    <col min="1284" max="1287" width="11.33203125" style="89" bestFit="1" customWidth="1"/>
    <col min="1288" max="1288" width="13.109375" style="89" bestFit="1" customWidth="1"/>
    <col min="1289" max="1289" width="12.33203125" style="89" bestFit="1" customWidth="1"/>
    <col min="1290" max="1291" width="11.33203125" style="89" bestFit="1" customWidth="1"/>
    <col min="1292" max="1292" width="8.88671875" style="89"/>
    <col min="1293" max="1295" width="11.33203125" style="89" bestFit="1" customWidth="1"/>
    <col min="1296" max="1296" width="7.88671875" style="89" bestFit="1" customWidth="1"/>
    <col min="1297" max="1522" width="8.88671875" style="89"/>
    <col min="1523" max="1523" width="38.44140625" style="89" customWidth="1"/>
    <col min="1524" max="1537" width="8.88671875" style="89"/>
    <col min="1538" max="1538" width="13.33203125" style="89" customWidth="1"/>
    <col min="1539" max="1539" width="11.88671875" style="89" bestFit="1" customWidth="1"/>
    <col min="1540" max="1543" width="11.33203125" style="89" bestFit="1" customWidth="1"/>
    <col min="1544" max="1544" width="13.109375" style="89" bestFit="1" customWidth="1"/>
    <col min="1545" max="1545" width="12.33203125" style="89" bestFit="1" customWidth="1"/>
    <col min="1546" max="1547" width="11.33203125" style="89" bestFit="1" customWidth="1"/>
    <col min="1548" max="1548" width="8.88671875" style="89"/>
    <col min="1549" max="1551" width="11.33203125" style="89" bestFit="1" customWidth="1"/>
    <col min="1552" max="1552" width="7.88671875" style="89" bestFit="1" customWidth="1"/>
    <col min="1553" max="1778" width="8.88671875" style="89"/>
    <col min="1779" max="1779" width="38.44140625" style="89" customWidth="1"/>
    <col min="1780" max="1793" width="8.88671875" style="89"/>
    <col min="1794" max="1794" width="13.33203125" style="89" customWidth="1"/>
    <col min="1795" max="1795" width="11.88671875" style="89" bestFit="1" customWidth="1"/>
    <col min="1796" max="1799" width="11.33203125" style="89" bestFit="1" customWidth="1"/>
    <col min="1800" max="1800" width="13.109375" style="89" bestFit="1" customWidth="1"/>
    <col min="1801" max="1801" width="12.33203125" style="89" bestFit="1" customWidth="1"/>
    <col min="1802" max="1803" width="11.33203125" style="89" bestFit="1" customWidth="1"/>
    <col min="1804" max="1804" width="8.88671875" style="89"/>
    <col min="1805" max="1807" width="11.33203125" style="89" bestFit="1" customWidth="1"/>
    <col min="1808" max="1808" width="7.88671875" style="89" bestFit="1" customWidth="1"/>
    <col min="1809" max="2034" width="8.88671875" style="89"/>
    <col min="2035" max="2035" width="38.44140625" style="89" customWidth="1"/>
    <col min="2036" max="2049" width="8.88671875" style="89"/>
    <col min="2050" max="2050" width="13.33203125" style="89" customWidth="1"/>
    <col min="2051" max="2051" width="11.88671875" style="89" bestFit="1" customWidth="1"/>
    <col min="2052" max="2055" width="11.33203125" style="89" bestFit="1" customWidth="1"/>
    <col min="2056" max="2056" width="13.109375" style="89" bestFit="1" customWidth="1"/>
    <col min="2057" max="2057" width="12.33203125" style="89" bestFit="1" customWidth="1"/>
    <col min="2058" max="2059" width="11.33203125" style="89" bestFit="1" customWidth="1"/>
    <col min="2060" max="2060" width="8.88671875" style="89"/>
    <col min="2061" max="2063" width="11.33203125" style="89" bestFit="1" customWidth="1"/>
    <col min="2064" max="2064" width="7.88671875" style="89" bestFit="1" customWidth="1"/>
    <col min="2065" max="2290" width="8.88671875" style="89"/>
    <col min="2291" max="2291" width="38.44140625" style="89" customWidth="1"/>
    <col min="2292" max="2305" width="8.88671875" style="89"/>
    <col min="2306" max="2306" width="13.33203125" style="89" customWidth="1"/>
    <col min="2307" max="2307" width="11.88671875" style="89" bestFit="1" customWidth="1"/>
    <col min="2308" max="2311" width="11.33203125" style="89" bestFit="1" customWidth="1"/>
    <col min="2312" max="2312" width="13.109375" style="89" bestFit="1" customWidth="1"/>
    <col min="2313" max="2313" width="12.33203125" style="89" bestFit="1" customWidth="1"/>
    <col min="2314" max="2315" width="11.33203125" style="89" bestFit="1" customWidth="1"/>
    <col min="2316" max="2316" width="8.88671875" style="89"/>
    <col min="2317" max="2319" width="11.33203125" style="89" bestFit="1" customWidth="1"/>
    <col min="2320" max="2320" width="7.88671875" style="89" bestFit="1" customWidth="1"/>
    <col min="2321" max="2546" width="8.88671875" style="89"/>
    <col min="2547" max="2547" width="38.44140625" style="89" customWidth="1"/>
    <col min="2548" max="2561" width="8.88671875" style="89"/>
    <col min="2562" max="2562" width="13.33203125" style="89" customWidth="1"/>
    <col min="2563" max="2563" width="11.88671875" style="89" bestFit="1" customWidth="1"/>
    <col min="2564" max="2567" width="11.33203125" style="89" bestFit="1" customWidth="1"/>
    <col min="2568" max="2568" width="13.109375" style="89" bestFit="1" customWidth="1"/>
    <col min="2569" max="2569" width="12.33203125" style="89" bestFit="1" customWidth="1"/>
    <col min="2570" max="2571" width="11.33203125" style="89" bestFit="1" customWidth="1"/>
    <col min="2572" max="2572" width="8.88671875" style="89"/>
    <col min="2573" max="2575" width="11.33203125" style="89" bestFit="1" customWidth="1"/>
    <col min="2576" max="2576" width="7.88671875" style="89" bestFit="1" customWidth="1"/>
    <col min="2577" max="2802" width="8.88671875" style="89"/>
    <col min="2803" max="2803" width="38.44140625" style="89" customWidth="1"/>
    <col min="2804" max="2817" width="8.88671875" style="89"/>
    <col min="2818" max="2818" width="13.33203125" style="89" customWidth="1"/>
    <col min="2819" max="2819" width="11.88671875" style="89" bestFit="1" customWidth="1"/>
    <col min="2820" max="2823" width="11.33203125" style="89" bestFit="1" customWidth="1"/>
    <col min="2824" max="2824" width="13.109375" style="89" bestFit="1" customWidth="1"/>
    <col min="2825" max="2825" width="12.33203125" style="89" bestFit="1" customWidth="1"/>
    <col min="2826" max="2827" width="11.33203125" style="89" bestFit="1" customWidth="1"/>
    <col min="2828" max="2828" width="8.88671875" style="89"/>
    <col min="2829" max="2831" width="11.33203125" style="89" bestFit="1" customWidth="1"/>
    <col min="2832" max="2832" width="7.88671875" style="89" bestFit="1" customWidth="1"/>
    <col min="2833" max="3058" width="8.88671875" style="89"/>
    <col min="3059" max="3059" width="38.44140625" style="89" customWidth="1"/>
    <col min="3060" max="3073" width="8.88671875" style="89"/>
    <col min="3074" max="3074" width="13.33203125" style="89" customWidth="1"/>
    <col min="3075" max="3075" width="11.88671875" style="89" bestFit="1" customWidth="1"/>
    <col min="3076" max="3079" width="11.33203125" style="89" bestFit="1" customWidth="1"/>
    <col min="3080" max="3080" width="13.109375" style="89" bestFit="1" customWidth="1"/>
    <col min="3081" max="3081" width="12.33203125" style="89" bestFit="1" customWidth="1"/>
    <col min="3082" max="3083" width="11.33203125" style="89" bestFit="1" customWidth="1"/>
    <col min="3084" max="3084" width="8.88671875" style="89"/>
    <col min="3085" max="3087" width="11.33203125" style="89" bestFit="1" customWidth="1"/>
    <col min="3088" max="3088" width="7.88671875" style="89" bestFit="1" customWidth="1"/>
    <col min="3089" max="3314" width="8.88671875" style="89"/>
    <col min="3315" max="3315" width="38.44140625" style="89" customWidth="1"/>
    <col min="3316" max="3329" width="8.88671875" style="89"/>
    <col min="3330" max="3330" width="13.33203125" style="89" customWidth="1"/>
    <col min="3331" max="3331" width="11.88671875" style="89" bestFit="1" customWidth="1"/>
    <col min="3332" max="3335" width="11.33203125" style="89" bestFit="1" customWidth="1"/>
    <col min="3336" max="3336" width="13.109375" style="89" bestFit="1" customWidth="1"/>
    <col min="3337" max="3337" width="12.33203125" style="89" bestFit="1" customWidth="1"/>
    <col min="3338" max="3339" width="11.33203125" style="89" bestFit="1" customWidth="1"/>
    <col min="3340" max="3340" width="8.88671875" style="89"/>
    <col min="3341" max="3343" width="11.33203125" style="89" bestFit="1" customWidth="1"/>
    <col min="3344" max="3344" width="7.88671875" style="89" bestFit="1" customWidth="1"/>
    <col min="3345" max="3570" width="8.88671875" style="89"/>
    <col min="3571" max="3571" width="38.44140625" style="89" customWidth="1"/>
    <col min="3572" max="3585" width="8.88671875" style="89"/>
    <col min="3586" max="3586" width="13.33203125" style="89" customWidth="1"/>
    <col min="3587" max="3587" width="11.88671875" style="89" bestFit="1" customWidth="1"/>
    <col min="3588" max="3591" width="11.33203125" style="89" bestFit="1" customWidth="1"/>
    <col min="3592" max="3592" width="13.109375" style="89" bestFit="1" customWidth="1"/>
    <col min="3593" max="3593" width="12.33203125" style="89" bestFit="1" customWidth="1"/>
    <col min="3594" max="3595" width="11.33203125" style="89" bestFit="1" customWidth="1"/>
    <col min="3596" max="3596" width="8.88671875" style="89"/>
    <col min="3597" max="3599" width="11.33203125" style="89" bestFit="1" customWidth="1"/>
    <col min="3600" max="3600" width="7.88671875" style="89" bestFit="1" customWidth="1"/>
    <col min="3601" max="3826" width="8.88671875" style="89"/>
    <col min="3827" max="3827" width="38.44140625" style="89" customWidth="1"/>
    <col min="3828" max="3841" width="8.88671875" style="89"/>
    <col min="3842" max="3842" width="13.33203125" style="89" customWidth="1"/>
    <col min="3843" max="3843" width="11.88671875" style="89" bestFit="1" customWidth="1"/>
    <col min="3844" max="3847" width="11.33203125" style="89" bestFit="1" customWidth="1"/>
    <col min="3848" max="3848" width="13.109375" style="89" bestFit="1" customWidth="1"/>
    <col min="3849" max="3849" width="12.33203125" style="89" bestFit="1" customWidth="1"/>
    <col min="3850" max="3851" width="11.33203125" style="89" bestFit="1" customWidth="1"/>
    <col min="3852" max="3852" width="8.88671875" style="89"/>
    <col min="3853" max="3855" width="11.33203125" style="89" bestFit="1" customWidth="1"/>
    <col min="3856" max="3856" width="7.88671875" style="89" bestFit="1" customWidth="1"/>
    <col min="3857" max="4082" width="8.88671875" style="89"/>
    <col min="4083" max="4083" width="38.44140625" style="89" customWidth="1"/>
    <col min="4084" max="4097" width="8.88671875" style="89"/>
    <col min="4098" max="4098" width="13.33203125" style="89" customWidth="1"/>
    <col min="4099" max="4099" width="11.88671875" style="89" bestFit="1" customWidth="1"/>
    <col min="4100" max="4103" width="11.33203125" style="89" bestFit="1" customWidth="1"/>
    <col min="4104" max="4104" width="13.109375" style="89" bestFit="1" customWidth="1"/>
    <col min="4105" max="4105" width="12.33203125" style="89" bestFit="1" customWidth="1"/>
    <col min="4106" max="4107" width="11.33203125" style="89" bestFit="1" customWidth="1"/>
    <col min="4108" max="4108" width="8.88671875" style="89"/>
    <col min="4109" max="4111" width="11.33203125" style="89" bestFit="1" customWidth="1"/>
    <col min="4112" max="4112" width="7.88671875" style="89" bestFit="1" customWidth="1"/>
    <col min="4113" max="4338" width="8.88671875" style="89"/>
    <col min="4339" max="4339" width="38.44140625" style="89" customWidth="1"/>
    <col min="4340" max="4353" width="8.88671875" style="89"/>
    <col min="4354" max="4354" width="13.33203125" style="89" customWidth="1"/>
    <col min="4355" max="4355" width="11.88671875" style="89" bestFit="1" customWidth="1"/>
    <col min="4356" max="4359" width="11.33203125" style="89" bestFit="1" customWidth="1"/>
    <col min="4360" max="4360" width="13.109375" style="89" bestFit="1" customWidth="1"/>
    <col min="4361" max="4361" width="12.33203125" style="89" bestFit="1" customWidth="1"/>
    <col min="4362" max="4363" width="11.33203125" style="89" bestFit="1" customWidth="1"/>
    <col min="4364" max="4364" width="8.88671875" style="89"/>
    <col min="4365" max="4367" width="11.33203125" style="89" bestFit="1" customWidth="1"/>
    <col min="4368" max="4368" width="7.88671875" style="89" bestFit="1" customWidth="1"/>
    <col min="4369" max="4594" width="8.88671875" style="89"/>
    <col min="4595" max="4595" width="38.44140625" style="89" customWidth="1"/>
    <col min="4596" max="4609" width="8.88671875" style="89"/>
    <col min="4610" max="4610" width="13.33203125" style="89" customWidth="1"/>
    <col min="4611" max="4611" width="11.88671875" style="89" bestFit="1" customWidth="1"/>
    <col min="4612" max="4615" width="11.33203125" style="89" bestFit="1" customWidth="1"/>
    <col min="4616" max="4616" width="13.109375" style="89" bestFit="1" customWidth="1"/>
    <col min="4617" max="4617" width="12.33203125" style="89" bestFit="1" customWidth="1"/>
    <col min="4618" max="4619" width="11.33203125" style="89" bestFit="1" customWidth="1"/>
    <col min="4620" max="4620" width="8.88671875" style="89"/>
    <col min="4621" max="4623" width="11.33203125" style="89" bestFit="1" customWidth="1"/>
    <col min="4624" max="4624" width="7.88671875" style="89" bestFit="1" customWidth="1"/>
    <col min="4625" max="4850" width="8.88671875" style="89"/>
    <col min="4851" max="4851" width="38.44140625" style="89" customWidth="1"/>
    <col min="4852" max="4865" width="8.88671875" style="89"/>
    <col min="4866" max="4866" width="13.33203125" style="89" customWidth="1"/>
    <col min="4867" max="4867" width="11.88671875" style="89" bestFit="1" customWidth="1"/>
    <col min="4868" max="4871" width="11.33203125" style="89" bestFit="1" customWidth="1"/>
    <col min="4872" max="4872" width="13.109375" style="89" bestFit="1" customWidth="1"/>
    <col min="4873" max="4873" width="12.33203125" style="89" bestFit="1" customWidth="1"/>
    <col min="4874" max="4875" width="11.33203125" style="89" bestFit="1" customWidth="1"/>
    <col min="4876" max="4876" width="8.88671875" style="89"/>
    <col min="4877" max="4879" width="11.33203125" style="89" bestFit="1" customWidth="1"/>
    <col min="4880" max="4880" width="7.88671875" style="89" bestFit="1" customWidth="1"/>
    <col min="4881" max="5106" width="8.88671875" style="89"/>
    <col min="5107" max="5107" width="38.44140625" style="89" customWidth="1"/>
    <col min="5108" max="5121" width="8.88671875" style="89"/>
    <col min="5122" max="5122" width="13.33203125" style="89" customWidth="1"/>
    <col min="5123" max="5123" width="11.88671875" style="89" bestFit="1" customWidth="1"/>
    <col min="5124" max="5127" width="11.33203125" style="89" bestFit="1" customWidth="1"/>
    <col min="5128" max="5128" width="13.109375" style="89" bestFit="1" customWidth="1"/>
    <col min="5129" max="5129" width="12.33203125" style="89" bestFit="1" customWidth="1"/>
    <col min="5130" max="5131" width="11.33203125" style="89" bestFit="1" customWidth="1"/>
    <col min="5132" max="5132" width="8.88671875" style="89"/>
    <col min="5133" max="5135" width="11.33203125" style="89" bestFit="1" customWidth="1"/>
    <col min="5136" max="5136" width="7.88671875" style="89" bestFit="1" customWidth="1"/>
    <col min="5137" max="5362" width="8.88671875" style="89"/>
    <col min="5363" max="5363" width="38.44140625" style="89" customWidth="1"/>
    <col min="5364" max="5377" width="8.88671875" style="89"/>
    <col min="5378" max="5378" width="13.33203125" style="89" customWidth="1"/>
    <col min="5379" max="5379" width="11.88671875" style="89" bestFit="1" customWidth="1"/>
    <col min="5380" max="5383" width="11.33203125" style="89" bestFit="1" customWidth="1"/>
    <col min="5384" max="5384" width="13.109375" style="89" bestFit="1" customWidth="1"/>
    <col min="5385" max="5385" width="12.33203125" style="89" bestFit="1" customWidth="1"/>
    <col min="5386" max="5387" width="11.33203125" style="89" bestFit="1" customWidth="1"/>
    <col min="5388" max="5388" width="8.88671875" style="89"/>
    <col min="5389" max="5391" width="11.33203125" style="89" bestFit="1" customWidth="1"/>
    <col min="5392" max="5392" width="7.88671875" style="89" bestFit="1" customWidth="1"/>
    <col min="5393" max="5618" width="8.88671875" style="89"/>
    <col min="5619" max="5619" width="38.44140625" style="89" customWidth="1"/>
    <col min="5620" max="5633" width="8.88671875" style="89"/>
    <col min="5634" max="5634" width="13.33203125" style="89" customWidth="1"/>
    <col min="5635" max="5635" width="11.88671875" style="89" bestFit="1" customWidth="1"/>
    <col min="5636" max="5639" width="11.33203125" style="89" bestFit="1" customWidth="1"/>
    <col min="5640" max="5640" width="13.109375" style="89" bestFit="1" customWidth="1"/>
    <col min="5641" max="5641" width="12.33203125" style="89" bestFit="1" customWidth="1"/>
    <col min="5642" max="5643" width="11.33203125" style="89" bestFit="1" customWidth="1"/>
    <col min="5644" max="5644" width="8.88671875" style="89"/>
    <col min="5645" max="5647" width="11.33203125" style="89" bestFit="1" customWidth="1"/>
    <col min="5648" max="5648" width="7.88671875" style="89" bestFit="1" customWidth="1"/>
    <col min="5649" max="5874" width="8.88671875" style="89"/>
    <col min="5875" max="5875" width="38.44140625" style="89" customWidth="1"/>
    <col min="5876" max="5889" width="8.88671875" style="89"/>
    <col min="5890" max="5890" width="13.33203125" style="89" customWidth="1"/>
    <col min="5891" max="5891" width="11.88671875" style="89" bestFit="1" customWidth="1"/>
    <col min="5892" max="5895" width="11.33203125" style="89" bestFit="1" customWidth="1"/>
    <col min="5896" max="5896" width="13.109375" style="89" bestFit="1" customWidth="1"/>
    <col min="5897" max="5897" width="12.33203125" style="89" bestFit="1" customWidth="1"/>
    <col min="5898" max="5899" width="11.33203125" style="89" bestFit="1" customWidth="1"/>
    <col min="5900" max="5900" width="8.88671875" style="89"/>
    <col min="5901" max="5903" width="11.33203125" style="89" bestFit="1" customWidth="1"/>
    <col min="5904" max="5904" width="7.88671875" style="89" bestFit="1" customWidth="1"/>
    <col min="5905" max="6130" width="8.88671875" style="89"/>
    <col min="6131" max="6131" width="38.44140625" style="89" customWidth="1"/>
    <col min="6132" max="6145" width="8.88671875" style="89"/>
    <col min="6146" max="6146" width="13.33203125" style="89" customWidth="1"/>
    <col min="6147" max="6147" width="11.88671875" style="89" bestFit="1" customWidth="1"/>
    <col min="6148" max="6151" width="11.33203125" style="89" bestFit="1" customWidth="1"/>
    <col min="6152" max="6152" width="13.109375" style="89" bestFit="1" customWidth="1"/>
    <col min="6153" max="6153" width="12.33203125" style="89" bestFit="1" customWidth="1"/>
    <col min="6154" max="6155" width="11.33203125" style="89" bestFit="1" customWidth="1"/>
    <col min="6156" max="6156" width="8.88671875" style="89"/>
    <col min="6157" max="6159" width="11.33203125" style="89" bestFit="1" customWidth="1"/>
    <col min="6160" max="6160" width="7.88671875" style="89" bestFit="1" customWidth="1"/>
    <col min="6161" max="6386" width="8.88671875" style="89"/>
    <col min="6387" max="6387" width="38.44140625" style="89" customWidth="1"/>
    <col min="6388" max="6401" width="8.88671875" style="89"/>
    <col min="6402" max="6402" width="13.33203125" style="89" customWidth="1"/>
    <col min="6403" max="6403" width="11.88671875" style="89" bestFit="1" customWidth="1"/>
    <col min="6404" max="6407" width="11.33203125" style="89" bestFit="1" customWidth="1"/>
    <col min="6408" max="6408" width="13.109375" style="89" bestFit="1" customWidth="1"/>
    <col min="6409" max="6409" width="12.33203125" style="89" bestFit="1" customWidth="1"/>
    <col min="6410" max="6411" width="11.33203125" style="89" bestFit="1" customWidth="1"/>
    <col min="6412" max="6412" width="8.88671875" style="89"/>
    <col min="6413" max="6415" width="11.33203125" style="89" bestFit="1" customWidth="1"/>
    <col min="6416" max="6416" width="7.88671875" style="89" bestFit="1" customWidth="1"/>
    <col min="6417" max="6642" width="8.88671875" style="89"/>
    <col min="6643" max="6643" width="38.44140625" style="89" customWidth="1"/>
    <col min="6644" max="6657" width="8.88671875" style="89"/>
    <col min="6658" max="6658" width="13.33203125" style="89" customWidth="1"/>
    <col min="6659" max="6659" width="11.88671875" style="89" bestFit="1" customWidth="1"/>
    <col min="6660" max="6663" width="11.33203125" style="89" bestFit="1" customWidth="1"/>
    <col min="6664" max="6664" width="13.109375" style="89" bestFit="1" customWidth="1"/>
    <col min="6665" max="6665" width="12.33203125" style="89" bestFit="1" customWidth="1"/>
    <col min="6666" max="6667" width="11.33203125" style="89" bestFit="1" customWidth="1"/>
    <col min="6668" max="6668" width="8.88671875" style="89"/>
    <col min="6669" max="6671" width="11.33203125" style="89" bestFit="1" customWidth="1"/>
    <col min="6672" max="6672" width="7.88671875" style="89" bestFit="1" customWidth="1"/>
    <col min="6673" max="6898" width="8.88671875" style="89"/>
    <col min="6899" max="6899" width="38.44140625" style="89" customWidth="1"/>
    <col min="6900" max="6913" width="8.88671875" style="89"/>
    <col min="6914" max="6914" width="13.33203125" style="89" customWidth="1"/>
    <col min="6915" max="6915" width="11.88671875" style="89" bestFit="1" customWidth="1"/>
    <col min="6916" max="6919" width="11.33203125" style="89" bestFit="1" customWidth="1"/>
    <col min="6920" max="6920" width="13.109375" style="89" bestFit="1" customWidth="1"/>
    <col min="6921" max="6921" width="12.33203125" style="89" bestFit="1" customWidth="1"/>
    <col min="6922" max="6923" width="11.33203125" style="89" bestFit="1" customWidth="1"/>
    <col min="6924" max="6924" width="8.88671875" style="89"/>
    <col min="6925" max="6927" width="11.33203125" style="89" bestFit="1" customWidth="1"/>
    <col min="6928" max="6928" width="7.88671875" style="89" bestFit="1" customWidth="1"/>
    <col min="6929" max="7154" width="8.88671875" style="89"/>
    <col min="7155" max="7155" width="38.44140625" style="89" customWidth="1"/>
    <col min="7156" max="7169" width="8.88671875" style="89"/>
    <col min="7170" max="7170" width="13.33203125" style="89" customWidth="1"/>
    <col min="7171" max="7171" width="11.88671875" style="89" bestFit="1" customWidth="1"/>
    <col min="7172" max="7175" width="11.33203125" style="89" bestFit="1" customWidth="1"/>
    <col min="7176" max="7176" width="13.109375" style="89" bestFit="1" customWidth="1"/>
    <col min="7177" max="7177" width="12.33203125" style="89" bestFit="1" customWidth="1"/>
    <col min="7178" max="7179" width="11.33203125" style="89" bestFit="1" customWidth="1"/>
    <col min="7180" max="7180" width="8.88671875" style="89"/>
    <col min="7181" max="7183" width="11.33203125" style="89" bestFit="1" customWidth="1"/>
    <col min="7184" max="7184" width="7.88671875" style="89" bestFit="1" customWidth="1"/>
    <col min="7185" max="7410" width="8.88671875" style="89"/>
    <col min="7411" max="7411" width="38.44140625" style="89" customWidth="1"/>
    <col min="7412" max="7425" width="8.88671875" style="89"/>
    <col min="7426" max="7426" width="13.33203125" style="89" customWidth="1"/>
    <col min="7427" max="7427" width="11.88671875" style="89" bestFit="1" customWidth="1"/>
    <col min="7428" max="7431" width="11.33203125" style="89" bestFit="1" customWidth="1"/>
    <col min="7432" max="7432" width="13.109375" style="89" bestFit="1" customWidth="1"/>
    <col min="7433" max="7433" width="12.33203125" style="89" bestFit="1" customWidth="1"/>
    <col min="7434" max="7435" width="11.33203125" style="89" bestFit="1" customWidth="1"/>
    <col min="7436" max="7436" width="8.88671875" style="89"/>
    <col min="7437" max="7439" width="11.33203125" style="89" bestFit="1" customWidth="1"/>
    <col min="7440" max="7440" width="7.88671875" style="89" bestFit="1" customWidth="1"/>
    <col min="7441" max="7666" width="8.88671875" style="89"/>
    <col min="7667" max="7667" width="38.44140625" style="89" customWidth="1"/>
    <col min="7668" max="7681" width="8.88671875" style="89"/>
    <col min="7682" max="7682" width="13.33203125" style="89" customWidth="1"/>
    <col min="7683" max="7683" width="11.88671875" style="89" bestFit="1" customWidth="1"/>
    <col min="7684" max="7687" width="11.33203125" style="89" bestFit="1" customWidth="1"/>
    <col min="7688" max="7688" width="13.109375" style="89" bestFit="1" customWidth="1"/>
    <col min="7689" max="7689" width="12.33203125" style="89" bestFit="1" customWidth="1"/>
    <col min="7690" max="7691" width="11.33203125" style="89" bestFit="1" customWidth="1"/>
    <col min="7692" max="7692" width="8.88671875" style="89"/>
    <col min="7693" max="7695" width="11.33203125" style="89" bestFit="1" customWidth="1"/>
    <col min="7696" max="7696" width="7.88671875" style="89" bestFit="1" customWidth="1"/>
    <col min="7697" max="7922" width="8.88671875" style="89"/>
    <col min="7923" max="7923" width="38.44140625" style="89" customWidth="1"/>
    <col min="7924" max="7937" width="8.88671875" style="89"/>
    <col min="7938" max="7938" width="13.33203125" style="89" customWidth="1"/>
    <col min="7939" max="7939" width="11.88671875" style="89" bestFit="1" customWidth="1"/>
    <col min="7940" max="7943" width="11.33203125" style="89" bestFit="1" customWidth="1"/>
    <col min="7944" max="7944" width="13.109375" style="89" bestFit="1" customWidth="1"/>
    <col min="7945" max="7945" width="12.33203125" style="89" bestFit="1" customWidth="1"/>
    <col min="7946" max="7947" width="11.33203125" style="89" bestFit="1" customWidth="1"/>
    <col min="7948" max="7948" width="8.88671875" style="89"/>
    <col min="7949" max="7951" width="11.33203125" style="89" bestFit="1" customWidth="1"/>
    <col min="7952" max="7952" width="7.88671875" style="89" bestFit="1" customWidth="1"/>
    <col min="7953" max="8178" width="8.88671875" style="89"/>
    <col min="8179" max="8179" width="38.44140625" style="89" customWidth="1"/>
    <col min="8180" max="8193" width="8.88671875" style="89"/>
    <col min="8194" max="8194" width="13.33203125" style="89" customWidth="1"/>
    <col min="8195" max="8195" width="11.88671875" style="89" bestFit="1" customWidth="1"/>
    <col min="8196" max="8199" width="11.33203125" style="89" bestFit="1" customWidth="1"/>
    <col min="8200" max="8200" width="13.109375" style="89" bestFit="1" customWidth="1"/>
    <col min="8201" max="8201" width="12.33203125" style="89" bestFit="1" customWidth="1"/>
    <col min="8202" max="8203" width="11.33203125" style="89" bestFit="1" customWidth="1"/>
    <col min="8204" max="8204" width="8.88671875" style="89"/>
    <col min="8205" max="8207" width="11.33203125" style="89" bestFit="1" customWidth="1"/>
    <col min="8208" max="8208" width="7.88671875" style="89" bestFit="1" customWidth="1"/>
    <col min="8209" max="8434" width="8.88671875" style="89"/>
    <col min="8435" max="8435" width="38.44140625" style="89" customWidth="1"/>
    <col min="8436" max="8449" width="8.88671875" style="89"/>
    <col min="8450" max="8450" width="13.33203125" style="89" customWidth="1"/>
    <col min="8451" max="8451" width="11.88671875" style="89" bestFit="1" customWidth="1"/>
    <col min="8452" max="8455" width="11.33203125" style="89" bestFit="1" customWidth="1"/>
    <col min="8456" max="8456" width="13.109375" style="89" bestFit="1" customWidth="1"/>
    <col min="8457" max="8457" width="12.33203125" style="89" bestFit="1" customWidth="1"/>
    <col min="8458" max="8459" width="11.33203125" style="89" bestFit="1" customWidth="1"/>
    <col min="8460" max="8460" width="8.88671875" style="89"/>
    <col min="8461" max="8463" width="11.33203125" style="89" bestFit="1" customWidth="1"/>
    <col min="8464" max="8464" width="7.88671875" style="89" bestFit="1" customWidth="1"/>
    <col min="8465" max="8690" width="8.88671875" style="89"/>
    <col min="8691" max="8691" width="38.44140625" style="89" customWidth="1"/>
    <col min="8692" max="8705" width="8.88671875" style="89"/>
    <col min="8706" max="8706" width="13.33203125" style="89" customWidth="1"/>
    <col min="8707" max="8707" width="11.88671875" style="89" bestFit="1" customWidth="1"/>
    <col min="8708" max="8711" width="11.33203125" style="89" bestFit="1" customWidth="1"/>
    <col min="8712" max="8712" width="13.109375" style="89" bestFit="1" customWidth="1"/>
    <col min="8713" max="8713" width="12.33203125" style="89" bestFit="1" customWidth="1"/>
    <col min="8714" max="8715" width="11.33203125" style="89" bestFit="1" customWidth="1"/>
    <col min="8716" max="8716" width="8.88671875" style="89"/>
    <col min="8717" max="8719" width="11.33203125" style="89" bestFit="1" customWidth="1"/>
    <col min="8720" max="8720" width="7.88671875" style="89" bestFit="1" customWidth="1"/>
    <col min="8721" max="8946" width="8.88671875" style="89"/>
    <col min="8947" max="8947" width="38.44140625" style="89" customWidth="1"/>
    <col min="8948" max="8961" width="8.88671875" style="89"/>
    <col min="8962" max="8962" width="13.33203125" style="89" customWidth="1"/>
    <col min="8963" max="8963" width="11.88671875" style="89" bestFit="1" customWidth="1"/>
    <col min="8964" max="8967" width="11.33203125" style="89" bestFit="1" customWidth="1"/>
    <col min="8968" max="8968" width="13.109375" style="89" bestFit="1" customWidth="1"/>
    <col min="8969" max="8969" width="12.33203125" style="89" bestFit="1" customWidth="1"/>
    <col min="8970" max="8971" width="11.33203125" style="89" bestFit="1" customWidth="1"/>
    <col min="8972" max="8972" width="8.88671875" style="89"/>
    <col min="8973" max="8975" width="11.33203125" style="89" bestFit="1" customWidth="1"/>
    <col min="8976" max="8976" width="7.88671875" style="89" bestFit="1" customWidth="1"/>
    <col min="8977" max="9202" width="8.88671875" style="89"/>
    <col min="9203" max="9203" width="38.44140625" style="89" customWidth="1"/>
    <col min="9204" max="9217" width="8.88671875" style="89"/>
    <col min="9218" max="9218" width="13.33203125" style="89" customWidth="1"/>
    <col min="9219" max="9219" width="11.88671875" style="89" bestFit="1" customWidth="1"/>
    <col min="9220" max="9223" width="11.33203125" style="89" bestFit="1" customWidth="1"/>
    <col min="9224" max="9224" width="13.109375" style="89" bestFit="1" customWidth="1"/>
    <col min="9225" max="9225" width="12.33203125" style="89" bestFit="1" customWidth="1"/>
    <col min="9226" max="9227" width="11.33203125" style="89" bestFit="1" customWidth="1"/>
    <col min="9228" max="9228" width="8.88671875" style="89"/>
    <col min="9229" max="9231" width="11.33203125" style="89" bestFit="1" customWidth="1"/>
    <col min="9232" max="9232" width="7.88671875" style="89" bestFit="1" customWidth="1"/>
    <col min="9233" max="9458" width="8.88671875" style="89"/>
    <col min="9459" max="9459" width="38.44140625" style="89" customWidth="1"/>
    <col min="9460" max="9473" width="8.88671875" style="89"/>
    <col min="9474" max="9474" width="13.33203125" style="89" customWidth="1"/>
    <col min="9475" max="9475" width="11.88671875" style="89" bestFit="1" customWidth="1"/>
    <col min="9476" max="9479" width="11.33203125" style="89" bestFit="1" customWidth="1"/>
    <col min="9480" max="9480" width="13.109375" style="89" bestFit="1" customWidth="1"/>
    <col min="9481" max="9481" width="12.33203125" style="89" bestFit="1" customWidth="1"/>
    <col min="9482" max="9483" width="11.33203125" style="89" bestFit="1" customWidth="1"/>
    <col min="9484" max="9484" width="8.88671875" style="89"/>
    <col min="9485" max="9487" width="11.33203125" style="89" bestFit="1" customWidth="1"/>
    <col min="9488" max="9488" width="7.88671875" style="89" bestFit="1" customWidth="1"/>
    <col min="9489" max="9714" width="8.88671875" style="89"/>
    <col min="9715" max="9715" width="38.44140625" style="89" customWidth="1"/>
    <col min="9716" max="9729" width="8.88671875" style="89"/>
    <col min="9730" max="9730" width="13.33203125" style="89" customWidth="1"/>
    <col min="9731" max="9731" width="11.88671875" style="89" bestFit="1" customWidth="1"/>
    <col min="9732" max="9735" width="11.33203125" style="89" bestFit="1" customWidth="1"/>
    <col min="9736" max="9736" width="13.109375" style="89" bestFit="1" customWidth="1"/>
    <col min="9737" max="9737" width="12.33203125" style="89" bestFit="1" customWidth="1"/>
    <col min="9738" max="9739" width="11.33203125" style="89" bestFit="1" customWidth="1"/>
    <col min="9740" max="9740" width="8.88671875" style="89"/>
    <col min="9741" max="9743" width="11.33203125" style="89" bestFit="1" customWidth="1"/>
    <col min="9744" max="9744" width="7.88671875" style="89" bestFit="1" customWidth="1"/>
    <col min="9745" max="9970" width="8.88671875" style="89"/>
    <col min="9971" max="9971" width="38.44140625" style="89" customWidth="1"/>
    <col min="9972" max="9985" width="8.88671875" style="89"/>
    <col min="9986" max="9986" width="13.33203125" style="89" customWidth="1"/>
    <col min="9987" max="9987" width="11.88671875" style="89" bestFit="1" customWidth="1"/>
    <col min="9988" max="9991" width="11.33203125" style="89" bestFit="1" customWidth="1"/>
    <col min="9992" max="9992" width="13.109375" style="89" bestFit="1" customWidth="1"/>
    <col min="9993" max="9993" width="12.33203125" style="89" bestFit="1" customWidth="1"/>
    <col min="9994" max="9995" width="11.33203125" style="89" bestFit="1" customWidth="1"/>
    <col min="9996" max="9996" width="8.88671875" style="89"/>
    <col min="9997" max="9999" width="11.33203125" style="89" bestFit="1" customWidth="1"/>
    <col min="10000" max="10000" width="7.88671875" style="89" bestFit="1" customWidth="1"/>
    <col min="10001" max="10226" width="8.88671875" style="89"/>
    <col min="10227" max="10227" width="38.44140625" style="89" customWidth="1"/>
    <col min="10228" max="10241" width="8.88671875" style="89"/>
    <col min="10242" max="10242" width="13.33203125" style="89" customWidth="1"/>
    <col min="10243" max="10243" width="11.88671875" style="89" bestFit="1" customWidth="1"/>
    <col min="10244" max="10247" width="11.33203125" style="89" bestFit="1" customWidth="1"/>
    <col min="10248" max="10248" width="13.109375" style="89" bestFit="1" customWidth="1"/>
    <col min="10249" max="10249" width="12.33203125" style="89" bestFit="1" customWidth="1"/>
    <col min="10250" max="10251" width="11.33203125" style="89" bestFit="1" customWidth="1"/>
    <col min="10252" max="10252" width="8.88671875" style="89"/>
    <col min="10253" max="10255" width="11.33203125" style="89" bestFit="1" customWidth="1"/>
    <col min="10256" max="10256" width="7.88671875" style="89" bestFit="1" customWidth="1"/>
    <col min="10257" max="10482" width="8.88671875" style="89"/>
    <col min="10483" max="10483" width="38.44140625" style="89" customWidth="1"/>
    <col min="10484" max="10497" width="8.88671875" style="89"/>
    <col min="10498" max="10498" width="13.33203125" style="89" customWidth="1"/>
    <col min="10499" max="10499" width="11.88671875" style="89" bestFit="1" customWidth="1"/>
    <col min="10500" max="10503" width="11.33203125" style="89" bestFit="1" customWidth="1"/>
    <col min="10504" max="10504" width="13.109375" style="89" bestFit="1" customWidth="1"/>
    <col min="10505" max="10505" width="12.33203125" style="89" bestFit="1" customWidth="1"/>
    <col min="10506" max="10507" width="11.33203125" style="89" bestFit="1" customWidth="1"/>
    <col min="10508" max="10508" width="8.88671875" style="89"/>
    <col min="10509" max="10511" width="11.33203125" style="89" bestFit="1" customWidth="1"/>
    <col min="10512" max="10512" width="7.88671875" style="89" bestFit="1" customWidth="1"/>
    <col min="10513" max="10738" width="8.88671875" style="89"/>
    <col min="10739" max="10739" width="38.44140625" style="89" customWidth="1"/>
    <col min="10740" max="10753" width="8.88671875" style="89"/>
    <col min="10754" max="10754" width="13.33203125" style="89" customWidth="1"/>
    <col min="10755" max="10755" width="11.88671875" style="89" bestFit="1" customWidth="1"/>
    <col min="10756" max="10759" width="11.33203125" style="89" bestFit="1" customWidth="1"/>
    <col min="10760" max="10760" width="13.109375" style="89" bestFit="1" customWidth="1"/>
    <col min="10761" max="10761" width="12.33203125" style="89" bestFit="1" customWidth="1"/>
    <col min="10762" max="10763" width="11.33203125" style="89" bestFit="1" customWidth="1"/>
    <col min="10764" max="10764" width="8.88671875" style="89"/>
    <col min="10765" max="10767" width="11.33203125" style="89" bestFit="1" customWidth="1"/>
    <col min="10768" max="10768" width="7.88671875" style="89" bestFit="1" customWidth="1"/>
    <col min="10769" max="10994" width="8.88671875" style="89"/>
    <col min="10995" max="10995" width="38.44140625" style="89" customWidth="1"/>
    <col min="10996" max="11009" width="8.88671875" style="89"/>
    <col min="11010" max="11010" width="13.33203125" style="89" customWidth="1"/>
    <col min="11011" max="11011" width="11.88671875" style="89" bestFit="1" customWidth="1"/>
    <col min="11012" max="11015" width="11.33203125" style="89" bestFit="1" customWidth="1"/>
    <col min="11016" max="11016" width="13.109375" style="89" bestFit="1" customWidth="1"/>
    <col min="11017" max="11017" width="12.33203125" style="89" bestFit="1" customWidth="1"/>
    <col min="11018" max="11019" width="11.33203125" style="89" bestFit="1" customWidth="1"/>
    <col min="11020" max="11020" width="8.88671875" style="89"/>
    <col min="11021" max="11023" width="11.33203125" style="89" bestFit="1" customWidth="1"/>
    <col min="11024" max="11024" width="7.88671875" style="89" bestFit="1" customWidth="1"/>
    <col min="11025" max="11250" width="8.88671875" style="89"/>
    <col min="11251" max="11251" width="38.44140625" style="89" customWidth="1"/>
    <col min="11252" max="11265" width="8.88671875" style="89"/>
    <col min="11266" max="11266" width="13.33203125" style="89" customWidth="1"/>
    <col min="11267" max="11267" width="11.88671875" style="89" bestFit="1" customWidth="1"/>
    <col min="11268" max="11271" width="11.33203125" style="89" bestFit="1" customWidth="1"/>
    <col min="11272" max="11272" width="13.109375" style="89" bestFit="1" customWidth="1"/>
    <col min="11273" max="11273" width="12.33203125" style="89" bestFit="1" customWidth="1"/>
    <col min="11274" max="11275" width="11.33203125" style="89" bestFit="1" customWidth="1"/>
    <col min="11276" max="11276" width="8.88671875" style="89"/>
    <col min="11277" max="11279" width="11.33203125" style="89" bestFit="1" customWidth="1"/>
    <col min="11280" max="11280" width="7.88671875" style="89" bestFit="1" customWidth="1"/>
    <col min="11281" max="11506" width="8.88671875" style="89"/>
    <col min="11507" max="11507" width="38.44140625" style="89" customWidth="1"/>
    <col min="11508" max="11521" width="8.88671875" style="89"/>
    <col min="11522" max="11522" width="13.33203125" style="89" customWidth="1"/>
    <col min="11523" max="11523" width="11.88671875" style="89" bestFit="1" customWidth="1"/>
    <col min="11524" max="11527" width="11.33203125" style="89" bestFit="1" customWidth="1"/>
    <col min="11528" max="11528" width="13.109375" style="89" bestFit="1" customWidth="1"/>
    <col min="11529" max="11529" width="12.33203125" style="89" bestFit="1" customWidth="1"/>
    <col min="11530" max="11531" width="11.33203125" style="89" bestFit="1" customWidth="1"/>
    <col min="11532" max="11532" width="8.88671875" style="89"/>
    <col min="11533" max="11535" width="11.33203125" style="89" bestFit="1" customWidth="1"/>
    <col min="11536" max="11536" width="7.88671875" style="89" bestFit="1" customWidth="1"/>
    <col min="11537" max="11762" width="8.88671875" style="89"/>
    <col min="11763" max="11763" width="38.44140625" style="89" customWidth="1"/>
    <col min="11764" max="11777" width="8.88671875" style="89"/>
    <col min="11778" max="11778" width="13.33203125" style="89" customWidth="1"/>
    <col min="11779" max="11779" width="11.88671875" style="89" bestFit="1" customWidth="1"/>
    <col min="11780" max="11783" width="11.33203125" style="89" bestFit="1" customWidth="1"/>
    <col min="11784" max="11784" width="13.109375" style="89" bestFit="1" customWidth="1"/>
    <col min="11785" max="11785" width="12.33203125" style="89" bestFit="1" customWidth="1"/>
    <col min="11786" max="11787" width="11.33203125" style="89" bestFit="1" customWidth="1"/>
    <col min="11788" max="11788" width="8.88671875" style="89"/>
    <col min="11789" max="11791" width="11.33203125" style="89" bestFit="1" customWidth="1"/>
    <col min="11792" max="11792" width="7.88671875" style="89" bestFit="1" customWidth="1"/>
    <col min="11793" max="12018" width="8.88671875" style="89"/>
    <col min="12019" max="12019" width="38.44140625" style="89" customWidth="1"/>
    <col min="12020" max="12033" width="8.88671875" style="89"/>
    <col min="12034" max="12034" width="13.33203125" style="89" customWidth="1"/>
    <col min="12035" max="12035" width="11.88671875" style="89" bestFit="1" customWidth="1"/>
    <col min="12036" max="12039" width="11.33203125" style="89" bestFit="1" customWidth="1"/>
    <col min="12040" max="12040" width="13.109375" style="89" bestFit="1" customWidth="1"/>
    <col min="12041" max="12041" width="12.33203125" style="89" bestFit="1" customWidth="1"/>
    <col min="12042" max="12043" width="11.33203125" style="89" bestFit="1" customWidth="1"/>
    <col min="12044" max="12044" width="8.88671875" style="89"/>
    <col min="12045" max="12047" width="11.33203125" style="89" bestFit="1" customWidth="1"/>
    <col min="12048" max="12048" width="7.88671875" style="89" bestFit="1" customWidth="1"/>
    <col min="12049" max="12274" width="8.88671875" style="89"/>
    <col min="12275" max="12275" width="38.44140625" style="89" customWidth="1"/>
    <col min="12276" max="12289" width="8.88671875" style="89"/>
    <col min="12290" max="12290" width="13.33203125" style="89" customWidth="1"/>
    <col min="12291" max="12291" width="11.88671875" style="89" bestFit="1" customWidth="1"/>
    <col min="12292" max="12295" width="11.33203125" style="89" bestFit="1" customWidth="1"/>
    <col min="12296" max="12296" width="13.109375" style="89" bestFit="1" customWidth="1"/>
    <col min="12297" max="12297" width="12.33203125" style="89" bestFit="1" customWidth="1"/>
    <col min="12298" max="12299" width="11.33203125" style="89" bestFit="1" customWidth="1"/>
    <col min="12300" max="12300" width="8.88671875" style="89"/>
    <col min="12301" max="12303" width="11.33203125" style="89" bestFit="1" customWidth="1"/>
    <col min="12304" max="12304" width="7.88671875" style="89" bestFit="1" customWidth="1"/>
    <col min="12305" max="12530" width="8.88671875" style="89"/>
    <col min="12531" max="12531" width="38.44140625" style="89" customWidth="1"/>
    <col min="12532" max="12545" width="8.88671875" style="89"/>
    <col min="12546" max="12546" width="13.33203125" style="89" customWidth="1"/>
    <col min="12547" max="12547" width="11.88671875" style="89" bestFit="1" customWidth="1"/>
    <col min="12548" max="12551" width="11.33203125" style="89" bestFit="1" customWidth="1"/>
    <col min="12552" max="12552" width="13.109375" style="89" bestFit="1" customWidth="1"/>
    <col min="12553" max="12553" width="12.33203125" style="89" bestFit="1" customWidth="1"/>
    <col min="12554" max="12555" width="11.33203125" style="89" bestFit="1" customWidth="1"/>
    <col min="12556" max="12556" width="8.88671875" style="89"/>
    <col min="12557" max="12559" width="11.33203125" style="89" bestFit="1" customWidth="1"/>
    <col min="12560" max="12560" width="7.88671875" style="89" bestFit="1" customWidth="1"/>
    <col min="12561" max="12786" width="8.88671875" style="89"/>
    <col min="12787" max="12787" width="38.44140625" style="89" customWidth="1"/>
    <col min="12788" max="12801" width="8.88671875" style="89"/>
    <col min="12802" max="12802" width="13.33203125" style="89" customWidth="1"/>
    <col min="12803" max="12803" width="11.88671875" style="89" bestFit="1" customWidth="1"/>
    <col min="12804" max="12807" width="11.33203125" style="89" bestFit="1" customWidth="1"/>
    <col min="12808" max="12808" width="13.109375" style="89" bestFit="1" customWidth="1"/>
    <col min="12809" max="12809" width="12.33203125" style="89" bestFit="1" customWidth="1"/>
    <col min="12810" max="12811" width="11.33203125" style="89" bestFit="1" customWidth="1"/>
    <col min="12812" max="12812" width="8.88671875" style="89"/>
    <col min="12813" max="12815" width="11.33203125" style="89" bestFit="1" customWidth="1"/>
    <col min="12816" max="12816" width="7.88671875" style="89" bestFit="1" customWidth="1"/>
    <col min="12817" max="13042" width="8.88671875" style="89"/>
    <col min="13043" max="13043" width="38.44140625" style="89" customWidth="1"/>
    <col min="13044" max="13057" width="8.88671875" style="89"/>
    <col min="13058" max="13058" width="13.33203125" style="89" customWidth="1"/>
    <col min="13059" max="13059" width="11.88671875" style="89" bestFit="1" customWidth="1"/>
    <col min="13060" max="13063" width="11.33203125" style="89" bestFit="1" customWidth="1"/>
    <col min="13064" max="13064" width="13.109375" style="89" bestFit="1" customWidth="1"/>
    <col min="13065" max="13065" width="12.33203125" style="89" bestFit="1" customWidth="1"/>
    <col min="13066" max="13067" width="11.33203125" style="89" bestFit="1" customWidth="1"/>
    <col min="13068" max="13068" width="8.88671875" style="89"/>
    <col min="13069" max="13071" width="11.33203125" style="89" bestFit="1" customWidth="1"/>
    <col min="13072" max="13072" width="7.88671875" style="89" bestFit="1" customWidth="1"/>
    <col min="13073" max="13298" width="8.88671875" style="89"/>
    <col min="13299" max="13299" width="38.44140625" style="89" customWidth="1"/>
    <col min="13300" max="13313" width="8.88671875" style="89"/>
    <col min="13314" max="13314" width="13.33203125" style="89" customWidth="1"/>
    <col min="13315" max="13315" width="11.88671875" style="89" bestFit="1" customWidth="1"/>
    <col min="13316" max="13319" width="11.33203125" style="89" bestFit="1" customWidth="1"/>
    <col min="13320" max="13320" width="13.109375" style="89" bestFit="1" customWidth="1"/>
    <col min="13321" max="13321" width="12.33203125" style="89" bestFit="1" customWidth="1"/>
    <col min="13322" max="13323" width="11.33203125" style="89" bestFit="1" customWidth="1"/>
    <col min="13324" max="13324" width="8.88671875" style="89"/>
    <col min="13325" max="13327" width="11.33203125" style="89" bestFit="1" customWidth="1"/>
    <col min="13328" max="13328" width="7.88671875" style="89" bestFit="1" customWidth="1"/>
    <col min="13329" max="13554" width="8.88671875" style="89"/>
    <col min="13555" max="13555" width="38.44140625" style="89" customWidth="1"/>
    <col min="13556" max="13569" width="8.88671875" style="89"/>
    <col min="13570" max="13570" width="13.33203125" style="89" customWidth="1"/>
    <col min="13571" max="13571" width="11.88671875" style="89" bestFit="1" customWidth="1"/>
    <col min="13572" max="13575" width="11.33203125" style="89" bestFit="1" customWidth="1"/>
    <col min="13576" max="13576" width="13.109375" style="89" bestFit="1" customWidth="1"/>
    <col min="13577" max="13577" width="12.33203125" style="89" bestFit="1" customWidth="1"/>
    <col min="13578" max="13579" width="11.33203125" style="89" bestFit="1" customWidth="1"/>
    <col min="13580" max="13580" width="8.88671875" style="89"/>
    <col min="13581" max="13583" width="11.33203125" style="89" bestFit="1" customWidth="1"/>
    <col min="13584" max="13584" width="7.88671875" style="89" bestFit="1" customWidth="1"/>
    <col min="13585" max="13810" width="8.88671875" style="89"/>
    <col min="13811" max="13811" width="38.44140625" style="89" customWidth="1"/>
    <col min="13812" max="13825" width="8.88671875" style="89"/>
    <col min="13826" max="13826" width="13.33203125" style="89" customWidth="1"/>
    <col min="13827" max="13827" width="11.88671875" style="89" bestFit="1" customWidth="1"/>
    <col min="13828" max="13831" width="11.33203125" style="89" bestFit="1" customWidth="1"/>
    <col min="13832" max="13832" width="13.109375" style="89" bestFit="1" customWidth="1"/>
    <col min="13833" max="13833" width="12.33203125" style="89" bestFit="1" customWidth="1"/>
    <col min="13834" max="13835" width="11.33203125" style="89" bestFit="1" customWidth="1"/>
    <col min="13836" max="13836" width="8.88671875" style="89"/>
    <col min="13837" max="13839" width="11.33203125" style="89" bestFit="1" customWidth="1"/>
    <col min="13840" max="13840" width="7.88671875" style="89" bestFit="1" customWidth="1"/>
    <col min="13841" max="14066" width="8.88671875" style="89"/>
    <col min="14067" max="14067" width="38.44140625" style="89" customWidth="1"/>
    <col min="14068" max="14081" width="8.88671875" style="89"/>
    <col min="14082" max="14082" width="13.33203125" style="89" customWidth="1"/>
    <col min="14083" max="14083" width="11.88671875" style="89" bestFit="1" customWidth="1"/>
    <col min="14084" max="14087" width="11.33203125" style="89" bestFit="1" customWidth="1"/>
    <col min="14088" max="14088" width="13.109375" style="89" bestFit="1" customWidth="1"/>
    <col min="14089" max="14089" width="12.33203125" style="89" bestFit="1" customWidth="1"/>
    <col min="14090" max="14091" width="11.33203125" style="89" bestFit="1" customWidth="1"/>
    <col min="14092" max="14092" width="8.88671875" style="89"/>
    <col min="14093" max="14095" width="11.33203125" style="89" bestFit="1" customWidth="1"/>
    <col min="14096" max="14096" width="7.88671875" style="89" bestFit="1" customWidth="1"/>
    <col min="14097" max="14322" width="8.88671875" style="89"/>
    <col min="14323" max="14323" width="38.44140625" style="89" customWidth="1"/>
    <col min="14324" max="14337" width="8.88671875" style="89"/>
    <col min="14338" max="14338" width="13.33203125" style="89" customWidth="1"/>
    <col min="14339" max="14339" width="11.88671875" style="89" bestFit="1" customWidth="1"/>
    <col min="14340" max="14343" width="11.33203125" style="89" bestFit="1" customWidth="1"/>
    <col min="14344" max="14344" width="13.109375" style="89" bestFit="1" customWidth="1"/>
    <col min="14345" max="14345" width="12.33203125" style="89" bestFit="1" customWidth="1"/>
    <col min="14346" max="14347" width="11.33203125" style="89" bestFit="1" customWidth="1"/>
    <col min="14348" max="14348" width="8.88671875" style="89"/>
    <col min="14349" max="14351" width="11.33203125" style="89" bestFit="1" customWidth="1"/>
    <col min="14352" max="14352" width="7.88671875" style="89" bestFit="1" customWidth="1"/>
    <col min="14353" max="14578" width="8.88671875" style="89"/>
    <col min="14579" max="14579" width="38.44140625" style="89" customWidth="1"/>
    <col min="14580" max="14593" width="8.88671875" style="89"/>
    <col min="14594" max="14594" width="13.33203125" style="89" customWidth="1"/>
    <col min="14595" max="14595" width="11.88671875" style="89" bestFit="1" customWidth="1"/>
    <col min="14596" max="14599" width="11.33203125" style="89" bestFit="1" customWidth="1"/>
    <col min="14600" max="14600" width="13.109375" style="89" bestFit="1" customWidth="1"/>
    <col min="14601" max="14601" width="12.33203125" style="89" bestFit="1" customWidth="1"/>
    <col min="14602" max="14603" width="11.33203125" style="89" bestFit="1" customWidth="1"/>
    <col min="14604" max="14604" width="8.88671875" style="89"/>
    <col min="14605" max="14607" width="11.33203125" style="89" bestFit="1" customWidth="1"/>
    <col min="14608" max="14608" width="7.88671875" style="89" bestFit="1" customWidth="1"/>
    <col min="14609" max="14834" width="8.88671875" style="89"/>
    <col min="14835" max="14835" width="38.44140625" style="89" customWidth="1"/>
    <col min="14836" max="14849" width="8.88671875" style="89"/>
    <col min="14850" max="14850" width="13.33203125" style="89" customWidth="1"/>
    <col min="14851" max="14851" width="11.88671875" style="89" bestFit="1" customWidth="1"/>
    <col min="14852" max="14855" width="11.33203125" style="89" bestFit="1" customWidth="1"/>
    <col min="14856" max="14856" width="13.109375" style="89" bestFit="1" customWidth="1"/>
    <col min="14857" max="14857" width="12.33203125" style="89" bestFit="1" customWidth="1"/>
    <col min="14858" max="14859" width="11.33203125" style="89" bestFit="1" customWidth="1"/>
    <col min="14860" max="14860" width="8.88671875" style="89"/>
    <col min="14861" max="14863" width="11.33203125" style="89" bestFit="1" customWidth="1"/>
    <col min="14864" max="14864" width="7.88671875" style="89" bestFit="1" customWidth="1"/>
    <col min="14865" max="15090" width="8.88671875" style="89"/>
    <col min="15091" max="15091" width="38.44140625" style="89" customWidth="1"/>
    <col min="15092" max="15105" width="8.88671875" style="89"/>
    <col min="15106" max="15106" width="13.33203125" style="89" customWidth="1"/>
    <col min="15107" max="15107" width="11.88671875" style="89" bestFit="1" customWidth="1"/>
    <col min="15108" max="15111" width="11.33203125" style="89" bestFit="1" customWidth="1"/>
    <col min="15112" max="15112" width="13.109375" style="89" bestFit="1" customWidth="1"/>
    <col min="15113" max="15113" width="12.33203125" style="89" bestFit="1" customWidth="1"/>
    <col min="15114" max="15115" width="11.33203125" style="89" bestFit="1" customWidth="1"/>
    <col min="15116" max="15116" width="8.88671875" style="89"/>
    <col min="15117" max="15119" width="11.33203125" style="89" bestFit="1" customWidth="1"/>
    <col min="15120" max="15120" width="7.88671875" style="89" bestFit="1" customWidth="1"/>
    <col min="15121" max="15346" width="8.88671875" style="89"/>
    <col min="15347" max="15347" width="38.44140625" style="89" customWidth="1"/>
    <col min="15348" max="15361" width="8.88671875" style="89"/>
    <col min="15362" max="15362" width="13.33203125" style="89" customWidth="1"/>
    <col min="15363" max="15363" width="11.88671875" style="89" bestFit="1" customWidth="1"/>
    <col min="15364" max="15367" width="11.33203125" style="89" bestFit="1" customWidth="1"/>
    <col min="15368" max="15368" width="13.109375" style="89" bestFit="1" customWidth="1"/>
    <col min="15369" max="15369" width="12.33203125" style="89" bestFit="1" customWidth="1"/>
    <col min="15370" max="15371" width="11.33203125" style="89" bestFit="1" customWidth="1"/>
    <col min="15372" max="15372" width="8.88671875" style="89"/>
    <col min="15373" max="15375" width="11.33203125" style="89" bestFit="1" customWidth="1"/>
    <col min="15376" max="15376" width="7.88671875" style="89" bestFit="1" customWidth="1"/>
    <col min="15377" max="15602" width="8.88671875" style="89"/>
    <col min="15603" max="15603" width="38.44140625" style="89" customWidth="1"/>
    <col min="15604" max="15617" width="8.88671875" style="89"/>
    <col min="15618" max="15618" width="13.33203125" style="89" customWidth="1"/>
    <col min="15619" max="15619" width="11.88671875" style="89" bestFit="1" customWidth="1"/>
    <col min="15620" max="15623" width="11.33203125" style="89" bestFit="1" customWidth="1"/>
    <col min="15624" max="15624" width="13.109375" style="89" bestFit="1" customWidth="1"/>
    <col min="15625" max="15625" width="12.33203125" style="89" bestFit="1" customWidth="1"/>
    <col min="15626" max="15627" width="11.33203125" style="89" bestFit="1" customWidth="1"/>
    <col min="15628" max="15628" width="8.88671875" style="89"/>
    <col min="15629" max="15631" width="11.33203125" style="89" bestFit="1" customWidth="1"/>
    <col min="15632" max="15632" width="7.88671875" style="89" bestFit="1" customWidth="1"/>
    <col min="15633" max="15858" width="8.88671875" style="89"/>
    <col min="15859" max="15859" width="38.44140625" style="89" customWidth="1"/>
    <col min="15860" max="15873" width="8.88671875" style="89"/>
    <col min="15874" max="15874" width="13.33203125" style="89" customWidth="1"/>
    <col min="15875" max="15875" width="11.88671875" style="89" bestFit="1" customWidth="1"/>
    <col min="15876" max="15879" width="11.33203125" style="89" bestFit="1" customWidth="1"/>
    <col min="15880" max="15880" width="13.109375" style="89" bestFit="1" customWidth="1"/>
    <col min="15881" max="15881" width="12.33203125" style="89" bestFit="1" customWidth="1"/>
    <col min="15882" max="15883" width="11.33203125" style="89" bestFit="1" customWidth="1"/>
    <col min="15884" max="15884" width="8.88671875" style="89"/>
    <col min="15885" max="15887" width="11.33203125" style="89" bestFit="1" customWidth="1"/>
    <col min="15888" max="15888" width="7.88671875" style="89" bestFit="1" customWidth="1"/>
    <col min="15889" max="16114" width="8.88671875" style="89"/>
    <col min="16115" max="16115" width="38.44140625" style="89" customWidth="1"/>
    <col min="16116" max="16129" width="8.88671875" style="89"/>
    <col min="16130" max="16130" width="13.33203125" style="89" customWidth="1"/>
    <col min="16131" max="16131" width="11.88671875" style="89" bestFit="1" customWidth="1"/>
    <col min="16132" max="16135" width="11.33203125" style="89" bestFit="1" customWidth="1"/>
    <col min="16136" max="16136" width="13.109375" style="89" bestFit="1" customWidth="1"/>
    <col min="16137" max="16137" width="12.33203125" style="89" bestFit="1" customWidth="1"/>
    <col min="16138" max="16139" width="11.33203125" style="89" bestFit="1" customWidth="1"/>
    <col min="16140" max="16140" width="8.88671875" style="89"/>
    <col min="16141" max="16143" width="11.33203125" style="89" bestFit="1" customWidth="1"/>
    <col min="16144" max="16144" width="7.88671875" style="89" bestFit="1" customWidth="1"/>
    <col min="16145" max="16384" width="8.88671875" style="89"/>
  </cols>
  <sheetData>
    <row r="1" spans="1:16">
      <c r="A1" s="89" t="s">
        <v>137</v>
      </c>
    </row>
    <row r="2" spans="1:16">
      <c r="A2" s="89" t="s">
        <v>136</v>
      </c>
    </row>
    <row r="3" spans="1:16">
      <c r="A3" s="89">
        <f>'NR.1E-New Rev '!A2</f>
        <v>0</v>
      </c>
    </row>
    <row r="4" spans="1:16">
      <c r="A4" s="89" t="s">
        <v>135</v>
      </c>
    </row>
    <row r="6" spans="1:16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</row>
    <row r="7" spans="1:16">
      <c r="A7" s="88"/>
      <c r="B7" s="103"/>
      <c r="O7" s="102"/>
      <c r="P7" s="102"/>
    </row>
    <row r="8" spans="1:16">
      <c r="A8" s="88" t="s">
        <v>134</v>
      </c>
      <c r="B8" s="102" t="s">
        <v>133</v>
      </c>
      <c r="O8" s="102" t="s">
        <v>19</v>
      </c>
      <c r="P8" s="102" t="s">
        <v>18</v>
      </c>
    </row>
    <row r="9" spans="1:16">
      <c r="C9" s="101" t="s">
        <v>132</v>
      </c>
      <c r="D9" s="101" t="s">
        <v>131</v>
      </c>
      <c r="E9" s="101" t="s">
        <v>130</v>
      </c>
      <c r="F9" s="101" t="s">
        <v>129</v>
      </c>
      <c r="G9" s="101" t="s">
        <v>128</v>
      </c>
      <c r="H9" s="101" t="s">
        <v>127</v>
      </c>
      <c r="I9" s="101" t="s">
        <v>126</v>
      </c>
      <c r="J9" s="101" t="s">
        <v>125</v>
      </c>
      <c r="K9" s="101" t="s">
        <v>124</v>
      </c>
      <c r="L9" s="101" t="s">
        <v>123</v>
      </c>
      <c r="M9" s="101" t="s">
        <v>122</v>
      </c>
      <c r="N9" s="101" t="s">
        <v>121</v>
      </c>
      <c r="O9" s="101" t="s">
        <v>109</v>
      </c>
      <c r="P9" s="101" t="s">
        <v>120</v>
      </c>
    </row>
    <row r="10" spans="1:16">
      <c r="A10" s="88" t="s">
        <v>113</v>
      </c>
      <c r="O10" s="99"/>
    </row>
    <row r="11" spans="1:16">
      <c r="A11" s="94" t="s">
        <v>119</v>
      </c>
      <c r="C11" s="91">
        <v>1669.7414029622005</v>
      </c>
      <c r="D11" s="91">
        <v>1800.6428705645994</v>
      </c>
      <c r="E11" s="91">
        <v>2154.6535000000003</v>
      </c>
      <c r="F11" s="91">
        <v>1801.8367991407993</v>
      </c>
      <c r="G11" s="91">
        <v>2717.1907148003993</v>
      </c>
      <c r="H11" s="91">
        <v>1897.8664200000001</v>
      </c>
      <c r="I11" s="91">
        <v>3841.4320622053988</v>
      </c>
      <c r="J11" s="91">
        <v>2429.5194090253976</v>
      </c>
      <c r="K11" s="91">
        <v>1862.4346570877447</v>
      </c>
      <c r="L11" s="91">
        <v>1920.862220435587</v>
      </c>
      <c r="M11" s="91">
        <v>2476.3007692535598</v>
      </c>
      <c r="N11" s="91">
        <v>2449.5400319405994</v>
      </c>
      <c r="O11" s="133">
        <f>SUM(C11:N11)</f>
        <v>27022.020857416286</v>
      </c>
      <c r="P11" s="133">
        <f>SUM(C16:N16)/12</f>
        <v>12910.772592682008</v>
      </c>
    </row>
    <row r="12" spans="1:16">
      <c r="A12" s="94" t="s">
        <v>111</v>
      </c>
      <c r="O12" s="98" t="s">
        <v>118</v>
      </c>
      <c r="P12" s="98" t="s">
        <v>118</v>
      </c>
    </row>
    <row r="13" spans="1:16">
      <c r="A13" s="89" t="s">
        <v>110</v>
      </c>
      <c r="C13" s="89">
        <v>0</v>
      </c>
      <c r="D13" s="91">
        <f t="shared" ref="D13:N13" si="0">C15</f>
        <v>1669.7414029622005</v>
      </c>
      <c r="E13" s="91">
        <f t="shared" si="0"/>
        <v>3470.3842735267999</v>
      </c>
      <c r="F13" s="91">
        <f t="shared" si="0"/>
        <v>5625.0377735268003</v>
      </c>
      <c r="G13" s="91">
        <f t="shared" si="0"/>
        <v>7426.8745726675998</v>
      </c>
      <c r="H13" s="91">
        <f t="shared" si="0"/>
        <v>10144.065287467998</v>
      </c>
      <c r="I13" s="91">
        <f t="shared" si="0"/>
        <v>12041.931707467998</v>
      </c>
      <c r="J13" s="91">
        <f t="shared" si="0"/>
        <v>15883.363769673397</v>
      </c>
      <c r="K13" s="91">
        <f t="shared" si="0"/>
        <v>18312.883178698794</v>
      </c>
      <c r="L13" s="91">
        <f t="shared" si="0"/>
        <v>20175.31783578654</v>
      </c>
      <c r="M13" s="91">
        <f t="shared" si="0"/>
        <v>22096.180056222125</v>
      </c>
      <c r="N13" s="91">
        <f t="shared" si="0"/>
        <v>24572.480825475686</v>
      </c>
      <c r="P13" s="93"/>
    </row>
    <row r="14" spans="1:16">
      <c r="A14" s="89" t="s">
        <v>109</v>
      </c>
      <c r="C14" s="91">
        <f t="shared" ref="C14:N14" si="1">C11</f>
        <v>1669.7414029622005</v>
      </c>
      <c r="D14" s="91">
        <f t="shared" si="1"/>
        <v>1800.6428705645994</v>
      </c>
      <c r="E14" s="91">
        <f t="shared" si="1"/>
        <v>2154.6535000000003</v>
      </c>
      <c r="F14" s="91">
        <f t="shared" si="1"/>
        <v>1801.8367991407993</v>
      </c>
      <c r="G14" s="91">
        <f t="shared" si="1"/>
        <v>2717.1907148003993</v>
      </c>
      <c r="H14" s="91">
        <f t="shared" si="1"/>
        <v>1897.8664200000001</v>
      </c>
      <c r="I14" s="91">
        <f t="shared" si="1"/>
        <v>3841.4320622053988</v>
      </c>
      <c r="J14" s="91">
        <f t="shared" si="1"/>
        <v>2429.5194090253976</v>
      </c>
      <c r="K14" s="91">
        <f t="shared" si="1"/>
        <v>1862.4346570877447</v>
      </c>
      <c r="L14" s="91">
        <f t="shared" si="1"/>
        <v>1920.862220435587</v>
      </c>
      <c r="M14" s="91">
        <f t="shared" si="1"/>
        <v>2476.3007692535598</v>
      </c>
      <c r="N14" s="91">
        <f t="shared" si="1"/>
        <v>2449.5400319405994</v>
      </c>
    </row>
    <row r="15" spans="1:16">
      <c r="A15" s="89" t="s">
        <v>108</v>
      </c>
      <c r="C15" s="91">
        <f t="shared" ref="C15:N15" si="2">C13+C14</f>
        <v>1669.7414029622005</v>
      </c>
      <c r="D15" s="91">
        <f t="shared" si="2"/>
        <v>3470.3842735267999</v>
      </c>
      <c r="E15" s="91">
        <f t="shared" si="2"/>
        <v>5625.0377735268003</v>
      </c>
      <c r="F15" s="91">
        <f t="shared" si="2"/>
        <v>7426.8745726675998</v>
      </c>
      <c r="G15" s="91">
        <f t="shared" si="2"/>
        <v>10144.065287467998</v>
      </c>
      <c r="H15" s="91">
        <f t="shared" si="2"/>
        <v>12041.931707467998</v>
      </c>
      <c r="I15" s="91">
        <f t="shared" si="2"/>
        <v>15883.363769673397</v>
      </c>
      <c r="J15" s="91">
        <f t="shared" si="2"/>
        <v>18312.883178698794</v>
      </c>
      <c r="K15" s="91">
        <f t="shared" si="2"/>
        <v>20175.31783578654</v>
      </c>
      <c r="L15" s="91">
        <f t="shared" si="2"/>
        <v>22096.180056222125</v>
      </c>
      <c r="M15" s="91">
        <f t="shared" si="2"/>
        <v>24572.480825475686</v>
      </c>
      <c r="N15" s="91">
        <f t="shared" si="2"/>
        <v>27022.020857416286</v>
      </c>
    </row>
    <row r="16" spans="1:16">
      <c r="A16" s="89" t="s">
        <v>107</v>
      </c>
      <c r="C16" s="91">
        <f t="shared" ref="C16:N16" si="3">(C13+C15)/2</f>
        <v>834.87070148110024</v>
      </c>
      <c r="D16" s="91">
        <f t="shared" si="3"/>
        <v>2570.0628382445002</v>
      </c>
      <c r="E16" s="91">
        <f t="shared" si="3"/>
        <v>4547.7110235268001</v>
      </c>
      <c r="F16" s="91">
        <f t="shared" si="3"/>
        <v>6525.9561730972</v>
      </c>
      <c r="G16" s="91">
        <f t="shared" si="3"/>
        <v>8785.4699300677985</v>
      </c>
      <c r="H16" s="91">
        <f t="shared" si="3"/>
        <v>11092.998497467997</v>
      </c>
      <c r="I16" s="91">
        <f t="shared" si="3"/>
        <v>13962.647738570697</v>
      </c>
      <c r="J16" s="91">
        <f t="shared" si="3"/>
        <v>17098.123474186097</v>
      </c>
      <c r="K16" s="91">
        <f t="shared" si="3"/>
        <v>19244.100507242667</v>
      </c>
      <c r="L16" s="91">
        <f t="shared" si="3"/>
        <v>21135.748946004333</v>
      </c>
      <c r="M16" s="91">
        <f t="shared" si="3"/>
        <v>23334.330440848906</v>
      </c>
      <c r="N16" s="91">
        <f t="shared" si="3"/>
        <v>25797.250841445988</v>
      </c>
      <c r="P16" s="100"/>
    </row>
    <row r="17" spans="1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99"/>
    </row>
    <row r="18" spans="1:16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9"/>
      <c r="P18" s="96"/>
    </row>
    <row r="19" spans="1:16">
      <c r="A19" s="88" t="s">
        <v>113</v>
      </c>
      <c r="O19" s="99"/>
    </row>
    <row r="20" spans="1:16">
      <c r="A20" s="94" t="s">
        <v>117</v>
      </c>
      <c r="C20" s="91">
        <v>775.45136703780054</v>
      </c>
      <c r="D20" s="91">
        <v>667.48963943539991</v>
      </c>
      <c r="E20" s="91">
        <v>803.41059999999948</v>
      </c>
      <c r="F20" s="91">
        <v>641.06841085919984</v>
      </c>
      <c r="G20" s="91">
        <v>739.7340751995996</v>
      </c>
      <c r="H20" s="91">
        <v>710.45207000000005</v>
      </c>
      <c r="I20" s="91">
        <v>1194.1840777946004</v>
      </c>
      <c r="J20" s="91">
        <v>896.714360974599</v>
      </c>
      <c r="K20" s="91">
        <v>993.34867916345638</v>
      </c>
      <c r="L20" s="91">
        <v>1036.2355997384109</v>
      </c>
      <c r="M20" s="91">
        <v>1511.7000442878425</v>
      </c>
      <c r="N20" s="91">
        <v>1130.6979580594002</v>
      </c>
      <c r="O20" s="91">
        <f>SUM(C20:N20)</f>
        <v>11100.486882550309</v>
      </c>
      <c r="P20" s="91">
        <f>SUM(C25:N25)/12</f>
        <v>4889.766135036848</v>
      </c>
    </row>
    <row r="21" spans="1:16">
      <c r="A21" s="94" t="s">
        <v>111</v>
      </c>
    </row>
    <row r="22" spans="1:16">
      <c r="A22" s="89" t="s">
        <v>110</v>
      </c>
      <c r="C22" s="89">
        <v>0</v>
      </c>
      <c r="D22" s="91">
        <f t="shared" ref="D22:N22" si="4">C24</f>
        <v>775.45136703780054</v>
      </c>
      <c r="E22" s="91">
        <f t="shared" si="4"/>
        <v>1442.9410064732006</v>
      </c>
      <c r="F22" s="91">
        <f t="shared" si="4"/>
        <v>2246.3516064732003</v>
      </c>
      <c r="G22" s="91">
        <f t="shared" si="4"/>
        <v>2887.4200173324002</v>
      </c>
      <c r="H22" s="91">
        <f t="shared" si="4"/>
        <v>3627.1540925319996</v>
      </c>
      <c r="I22" s="91">
        <f t="shared" si="4"/>
        <v>4337.6061625319999</v>
      </c>
      <c r="J22" s="91">
        <f t="shared" si="4"/>
        <v>5531.7902403265998</v>
      </c>
      <c r="K22" s="91">
        <f t="shared" si="4"/>
        <v>6428.5046013011988</v>
      </c>
      <c r="L22" s="91">
        <f t="shared" si="4"/>
        <v>7421.8532804646547</v>
      </c>
      <c r="M22" s="91">
        <f t="shared" si="4"/>
        <v>8458.0888802030659</v>
      </c>
      <c r="N22" s="91">
        <f t="shared" si="4"/>
        <v>9969.7889244909093</v>
      </c>
      <c r="P22" s="93"/>
    </row>
    <row r="23" spans="1:16">
      <c r="A23" s="89" t="s">
        <v>109</v>
      </c>
      <c r="C23" s="91">
        <f t="shared" ref="C23:N23" si="5">C20</f>
        <v>775.45136703780054</v>
      </c>
      <c r="D23" s="91">
        <f t="shared" si="5"/>
        <v>667.48963943539991</v>
      </c>
      <c r="E23" s="91">
        <f t="shared" si="5"/>
        <v>803.41059999999948</v>
      </c>
      <c r="F23" s="91">
        <f t="shared" si="5"/>
        <v>641.06841085919984</v>
      </c>
      <c r="G23" s="91">
        <f t="shared" si="5"/>
        <v>739.7340751995996</v>
      </c>
      <c r="H23" s="91">
        <f t="shared" si="5"/>
        <v>710.45207000000005</v>
      </c>
      <c r="I23" s="91">
        <f t="shared" si="5"/>
        <v>1194.1840777946004</v>
      </c>
      <c r="J23" s="91">
        <f t="shared" si="5"/>
        <v>896.714360974599</v>
      </c>
      <c r="K23" s="91">
        <f t="shared" si="5"/>
        <v>993.34867916345638</v>
      </c>
      <c r="L23" s="91">
        <f t="shared" si="5"/>
        <v>1036.2355997384109</v>
      </c>
      <c r="M23" s="91">
        <f t="shared" si="5"/>
        <v>1511.7000442878425</v>
      </c>
      <c r="N23" s="91">
        <f t="shared" si="5"/>
        <v>1130.6979580594002</v>
      </c>
    </row>
    <row r="24" spans="1:16">
      <c r="A24" s="89" t="s">
        <v>108</v>
      </c>
      <c r="C24" s="91">
        <f t="shared" ref="C24:N24" si="6">C22+C23</f>
        <v>775.45136703780054</v>
      </c>
      <c r="D24" s="91">
        <f t="shared" si="6"/>
        <v>1442.9410064732006</v>
      </c>
      <c r="E24" s="91">
        <f t="shared" si="6"/>
        <v>2246.3516064732003</v>
      </c>
      <c r="F24" s="91">
        <f t="shared" si="6"/>
        <v>2887.4200173324002</v>
      </c>
      <c r="G24" s="91">
        <f t="shared" si="6"/>
        <v>3627.1540925319996</v>
      </c>
      <c r="H24" s="91">
        <f t="shared" si="6"/>
        <v>4337.6061625319999</v>
      </c>
      <c r="I24" s="91">
        <f t="shared" si="6"/>
        <v>5531.7902403265998</v>
      </c>
      <c r="J24" s="91">
        <f t="shared" si="6"/>
        <v>6428.5046013011988</v>
      </c>
      <c r="K24" s="91">
        <f t="shared" si="6"/>
        <v>7421.8532804646547</v>
      </c>
      <c r="L24" s="91">
        <f t="shared" si="6"/>
        <v>8458.0888802030659</v>
      </c>
      <c r="M24" s="91">
        <f t="shared" si="6"/>
        <v>9969.7889244909093</v>
      </c>
      <c r="N24" s="91">
        <f t="shared" si="6"/>
        <v>11100.486882550309</v>
      </c>
    </row>
    <row r="25" spans="1:16">
      <c r="A25" s="89" t="s">
        <v>107</v>
      </c>
      <c r="C25" s="91">
        <f t="shared" ref="C25:N25" si="7">(C22+C24)/2</f>
        <v>387.72568351890027</v>
      </c>
      <c r="D25" s="91">
        <f t="shared" si="7"/>
        <v>1109.1961867555005</v>
      </c>
      <c r="E25" s="91">
        <f t="shared" si="7"/>
        <v>1844.6463064732004</v>
      </c>
      <c r="F25" s="91">
        <f t="shared" si="7"/>
        <v>2566.8858119028</v>
      </c>
      <c r="G25" s="91">
        <f t="shared" si="7"/>
        <v>3257.2870549321997</v>
      </c>
      <c r="H25" s="91">
        <f t="shared" si="7"/>
        <v>3982.3801275319997</v>
      </c>
      <c r="I25" s="91">
        <f t="shared" si="7"/>
        <v>4934.6982014292998</v>
      </c>
      <c r="J25" s="91">
        <f t="shared" si="7"/>
        <v>5980.1474208138989</v>
      </c>
      <c r="K25" s="91">
        <f t="shared" si="7"/>
        <v>6925.1789408829263</v>
      </c>
      <c r="L25" s="91">
        <f t="shared" si="7"/>
        <v>7939.9710803338603</v>
      </c>
      <c r="M25" s="91">
        <f t="shared" si="7"/>
        <v>9213.9389023469885</v>
      </c>
      <c r="N25" s="91">
        <f t="shared" si="7"/>
        <v>10535.137903520608</v>
      </c>
      <c r="P25" s="100"/>
    </row>
    <row r="26" spans="1:16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P26" s="99"/>
    </row>
    <row r="27" spans="1:16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6"/>
    </row>
    <row r="28" spans="1:16">
      <c r="A28" s="88" t="s">
        <v>113</v>
      </c>
      <c r="O28" s="99"/>
      <c r="P28" s="96"/>
    </row>
    <row r="29" spans="1:16">
      <c r="A29" s="95" t="s">
        <v>116</v>
      </c>
      <c r="C29" s="91">
        <v>829.68682000000013</v>
      </c>
      <c r="D29" s="91">
        <v>858.4915900000002</v>
      </c>
      <c r="E29" s="91">
        <v>1103.7472500000008</v>
      </c>
      <c r="F29" s="91">
        <v>1033.8721200000002</v>
      </c>
      <c r="G29" s="91">
        <v>1997.4829799999995</v>
      </c>
      <c r="H29" s="91">
        <v>1393.3455000000001</v>
      </c>
      <c r="I29" s="91">
        <v>1270.17572</v>
      </c>
      <c r="J29" s="91">
        <v>1658.1980300000009</v>
      </c>
      <c r="K29" s="91">
        <v>1571.1817762962201</v>
      </c>
      <c r="L29" s="91">
        <v>2069.9642169574645</v>
      </c>
      <c r="M29" s="91">
        <v>2255.6386383634176</v>
      </c>
      <c r="N29" s="91">
        <v>1275.8151200000002</v>
      </c>
      <c r="O29" s="133">
        <f>SUM(C29:N29)</f>
        <v>17317.599761617108</v>
      </c>
      <c r="P29" s="133">
        <f>SUM(C34:N34)/12</f>
        <v>7584.1841659979646</v>
      </c>
    </row>
    <row r="30" spans="1:16">
      <c r="A30" s="94" t="s">
        <v>111</v>
      </c>
      <c r="O30" s="98" t="s">
        <v>115</v>
      </c>
      <c r="P30" s="98" t="s">
        <v>115</v>
      </c>
    </row>
    <row r="31" spans="1:16">
      <c r="A31" s="89" t="s">
        <v>110</v>
      </c>
      <c r="C31" s="89">
        <v>0</v>
      </c>
      <c r="D31" s="91">
        <f t="shared" ref="D31:N31" si="8">C33</f>
        <v>829.68682000000013</v>
      </c>
      <c r="E31" s="91">
        <f t="shared" si="8"/>
        <v>1688.1784100000004</v>
      </c>
      <c r="F31" s="91">
        <f t="shared" si="8"/>
        <v>2791.9256600000012</v>
      </c>
      <c r="G31" s="91">
        <f t="shared" si="8"/>
        <v>3825.7977800000017</v>
      </c>
      <c r="H31" s="91">
        <f t="shared" si="8"/>
        <v>5823.2807600000015</v>
      </c>
      <c r="I31" s="91">
        <f t="shared" si="8"/>
        <v>7216.6262600000018</v>
      </c>
      <c r="J31" s="91">
        <f t="shared" si="8"/>
        <v>8486.801980000002</v>
      </c>
      <c r="K31" s="91">
        <f t="shared" si="8"/>
        <v>10145.000010000003</v>
      </c>
      <c r="L31" s="91">
        <f t="shared" si="8"/>
        <v>11716.181786296223</v>
      </c>
      <c r="M31" s="91">
        <f t="shared" si="8"/>
        <v>13786.146003253689</v>
      </c>
      <c r="N31" s="91">
        <f t="shared" si="8"/>
        <v>16041.784641617107</v>
      </c>
      <c r="P31" s="93"/>
    </row>
    <row r="32" spans="1:16">
      <c r="A32" s="89" t="s">
        <v>109</v>
      </c>
      <c r="C32" s="91">
        <f t="shared" ref="C32:N32" si="9">C29</f>
        <v>829.68682000000013</v>
      </c>
      <c r="D32" s="91">
        <f t="shared" si="9"/>
        <v>858.4915900000002</v>
      </c>
      <c r="E32" s="91">
        <f t="shared" si="9"/>
        <v>1103.7472500000008</v>
      </c>
      <c r="F32" s="91">
        <f t="shared" si="9"/>
        <v>1033.8721200000002</v>
      </c>
      <c r="G32" s="91">
        <f t="shared" si="9"/>
        <v>1997.4829799999995</v>
      </c>
      <c r="H32" s="91">
        <f t="shared" si="9"/>
        <v>1393.3455000000001</v>
      </c>
      <c r="I32" s="91">
        <f t="shared" si="9"/>
        <v>1270.17572</v>
      </c>
      <c r="J32" s="91">
        <f t="shared" si="9"/>
        <v>1658.1980300000009</v>
      </c>
      <c r="K32" s="91">
        <f t="shared" si="9"/>
        <v>1571.1817762962201</v>
      </c>
      <c r="L32" s="91">
        <f t="shared" si="9"/>
        <v>2069.9642169574645</v>
      </c>
      <c r="M32" s="91">
        <f t="shared" si="9"/>
        <v>2255.6386383634176</v>
      </c>
      <c r="N32" s="91">
        <f t="shared" si="9"/>
        <v>1275.8151200000002</v>
      </c>
    </row>
    <row r="33" spans="1:16">
      <c r="A33" s="89" t="s">
        <v>108</v>
      </c>
      <c r="C33" s="91">
        <f t="shared" ref="C33:N33" si="10">C31+C32</f>
        <v>829.68682000000013</v>
      </c>
      <c r="D33" s="91">
        <f t="shared" si="10"/>
        <v>1688.1784100000004</v>
      </c>
      <c r="E33" s="91">
        <f t="shared" si="10"/>
        <v>2791.9256600000012</v>
      </c>
      <c r="F33" s="91">
        <f t="shared" si="10"/>
        <v>3825.7977800000017</v>
      </c>
      <c r="G33" s="91">
        <f t="shared" si="10"/>
        <v>5823.2807600000015</v>
      </c>
      <c r="H33" s="91">
        <f t="shared" si="10"/>
        <v>7216.6262600000018</v>
      </c>
      <c r="I33" s="91">
        <f t="shared" si="10"/>
        <v>8486.801980000002</v>
      </c>
      <c r="J33" s="91">
        <f t="shared" si="10"/>
        <v>10145.000010000003</v>
      </c>
      <c r="K33" s="91">
        <f t="shared" si="10"/>
        <v>11716.181786296223</v>
      </c>
      <c r="L33" s="91">
        <f t="shared" si="10"/>
        <v>13786.146003253689</v>
      </c>
      <c r="M33" s="91">
        <f t="shared" si="10"/>
        <v>16041.784641617107</v>
      </c>
      <c r="N33" s="91">
        <f t="shared" si="10"/>
        <v>17317.599761617108</v>
      </c>
    </row>
    <row r="34" spans="1:16">
      <c r="A34" s="89" t="s">
        <v>107</v>
      </c>
      <c r="C34" s="91">
        <f t="shared" ref="C34:N34" si="11">(C31+C33)/2</f>
        <v>414.84341000000006</v>
      </c>
      <c r="D34" s="91">
        <f t="shared" si="11"/>
        <v>1258.9326150000002</v>
      </c>
      <c r="E34" s="91">
        <f t="shared" si="11"/>
        <v>2240.0520350000006</v>
      </c>
      <c r="F34" s="91">
        <f t="shared" si="11"/>
        <v>3308.8617200000017</v>
      </c>
      <c r="G34" s="91">
        <f t="shared" si="11"/>
        <v>4824.5392700000011</v>
      </c>
      <c r="H34" s="91">
        <f t="shared" si="11"/>
        <v>6519.9535100000012</v>
      </c>
      <c r="I34" s="91">
        <f t="shared" si="11"/>
        <v>7851.7141200000024</v>
      </c>
      <c r="J34" s="91">
        <f t="shared" si="11"/>
        <v>9315.9009950000036</v>
      </c>
      <c r="K34" s="91">
        <f t="shared" si="11"/>
        <v>10930.590898148113</v>
      </c>
      <c r="L34" s="91">
        <f t="shared" si="11"/>
        <v>12751.163894774956</v>
      </c>
      <c r="M34" s="91">
        <f t="shared" si="11"/>
        <v>14913.965322435397</v>
      </c>
      <c r="N34" s="91">
        <f t="shared" si="11"/>
        <v>16679.692201617108</v>
      </c>
    </row>
    <row r="35" spans="1:16"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6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6"/>
    </row>
    <row r="37" spans="1:16">
      <c r="A37" s="88" t="s">
        <v>113</v>
      </c>
    </row>
    <row r="38" spans="1:16">
      <c r="A38" s="95" t="s">
        <v>114</v>
      </c>
      <c r="C38" s="91">
        <v>463.59987000000001</v>
      </c>
      <c r="D38" s="91">
        <v>296.32576000000006</v>
      </c>
      <c r="E38" s="91">
        <v>311.03799999999995</v>
      </c>
      <c r="F38" s="91">
        <v>436.0445400000001</v>
      </c>
      <c r="G38" s="91">
        <v>589.18484999999998</v>
      </c>
      <c r="H38" s="91">
        <v>471.37716999999998</v>
      </c>
      <c r="I38" s="91">
        <v>658.37439000000006</v>
      </c>
      <c r="J38" s="91">
        <v>463.48543000000001</v>
      </c>
      <c r="K38" s="91">
        <v>647.77010907898102</v>
      </c>
      <c r="L38" s="91">
        <v>923.36813432153565</v>
      </c>
      <c r="M38" s="91">
        <v>770.73487651848234</v>
      </c>
      <c r="N38" s="91">
        <v>581.62286000000029</v>
      </c>
      <c r="O38" s="91">
        <f>SUM(C38:N38)</f>
        <v>6612.9259899190001</v>
      </c>
      <c r="P38" s="91">
        <f>SUM(C43:N43)/12</f>
        <v>2859.6807997798333</v>
      </c>
    </row>
    <row r="39" spans="1:16">
      <c r="A39" s="94" t="s">
        <v>111</v>
      </c>
    </row>
    <row r="40" spans="1:16">
      <c r="A40" s="89" t="s">
        <v>110</v>
      </c>
      <c r="C40" s="89">
        <v>0</v>
      </c>
      <c r="D40" s="91">
        <f t="shared" ref="D40:N40" si="12">C42</f>
        <v>463.59987000000001</v>
      </c>
      <c r="E40" s="91">
        <f t="shared" si="12"/>
        <v>759.92563000000007</v>
      </c>
      <c r="F40" s="91">
        <f t="shared" si="12"/>
        <v>1070.96363</v>
      </c>
      <c r="G40" s="91">
        <f t="shared" si="12"/>
        <v>1507.0081700000001</v>
      </c>
      <c r="H40" s="91">
        <f t="shared" si="12"/>
        <v>2096.1930200000002</v>
      </c>
      <c r="I40" s="91">
        <f t="shared" si="12"/>
        <v>2567.5701900000004</v>
      </c>
      <c r="J40" s="91">
        <f t="shared" si="12"/>
        <v>3225.9445800000003</v>
      </c>
      <c r="K40" s="91">
        <f t="shared" si="12"/>
        <v>3689.4300100000005</v>
      </c>
      <c r="L40" s="91">
        <f t="shared" si="12"/>
        <v>4337.2001190789815</v>
      </c>
      <c r="M40" s="91">
        <f t="shared" si="12"/>
        <v>5260.5682534005173</v>
      </c>
      <c r="N40" s="91">
        <f t="shared" si="12"/>
        <v>6031.3031299189997</v>
      </c>
      <c r="P40" s="93"/>
    </row>
    <row r="41" spans="1:16">
      <c r="A41" s="89" t="s">
        <v>109</v>
      </c>
      <c r="C41" s="91">
        <f t="shared" ref="C41:N41" si="13">C38</f>
        <v>463.59987000000001</v>
      </c>
      <c r="D41" s="91">
        <f t="shared" si="13"/>
        <v>296.32576000000006</v>
      </c>
      <c r="E41" s="91">
        <f t="shared" si="13"/>
        <v>311.03799999999995</v>
      </c>
      <c r="F41" s="91">
        <f t="shared" si="13"/>
        <v>436.0445400000001</v>
      </c>
      <c r="G41" s="91">
        <f t="shared" si="13"/>
        <v>589.18484999999998</v>
      </c>
      <c r="H41" s="91">
        <f t="shared" si="13"/>
        <v>471.37716999999998</v>
      </c>
      <c r="I41" s="91">
        <f t="shared" si="13"/>
        <v>658.37439000000006</v>
      </c>
      <c r="J41" s="91">
        <f t="shared" si="13"/>
        <v>463.48543000000001</v>
      </c>
      <c r="K41" s="91">
        <f t="shared" si="13"/>
        <v>647.77010907898102</v>
      </c>
      <c r="L41" s="91">
        <f t="shared" si="13"/>
        <v>923.36813432153565</v>
      </c>
      <c r="M41" s="91">
        <f t="shared" si="13"/>
        <v>770.73487651848234</v>
      </c>
      <c r="N41" s="91">
        <f t="shared" si="13"/>
        <v>581.62286000000029</v>
      </c>
    </row>
    <row r="42" spans="1:16">
      <c r="A42" s="89" t="s">
        <v>108</v>
      </c>
      <c r="C42" s="91">
        <f t="shared" ref="C42:N42" si="14">C40+C41</f>
        <v>463.59987000000001</v>
      </c>
      <c r="D42" s="91">
        <f t="shared" si="14"/>
        <v>759.92563000000007</v>
      </c>
      <c r="E42" s="91">
        <f t="shared" si="14"/>
        <v>1070.96363</v>
      </c>
      <c r="F42" s="91">
        <f t="shared" si="14"/>
        <v>1507.0081700000001</v>
      </c>
      <c r="G42" s="91">
        <f t="shared" si="14"/>
        <v>2096.1930200000002</v>
      </c>
      <c r="H42" s="91">
        <f t="shared" si="14"/>
        <v>2567.5701900000004</v>
      </c>
      <c r="I42" s="91">
        <f t="shared" si="14"/>
        <v>3225.9445800000003</v>
      </c>
      <c r="J42" s="91">
        <f t="shared" si="14"/>
        <v>3689.4300100000005</v>
      </c>
      <c r="K42" s="91">
        <f t="shared" si="14"/>
        <v>4337.2001190789815</v>
      </c>
      <c r="L42" s="91">
        <f t="shared" si="14"/>
        <v>5260.5682534005173</v>
      </c>
      <c r="M42" s="91">
        <f t="shared" si="14"/>
        <v>6031.3031299189997</v>
      </c>
      <c r="N42" s="91">
        <f t="shared" si="14"/>
        <v>6612.9259899190001</v>
      </c>
    </row>
    <row r="43" spans="1:16">
      <c r="A43" s="89" t="s">
        <v>107</v>
      </c>
      <c r="C43" s="91">
        <f t="shared" ref="C43:N43" si="15">(C40+C42)/2</f>
        <v>231.799935</v>
      </c>
      <c r="D43" s="91">
        <f t="shared" si="15"/>
        <v>611.7627500000001</v>
      </c>
      <c r="E43" s="91">
        <f t="shared" si="15"/>
        <v>915.44462999999996</v>
      </c>
      <c r="F43" s="91">
        <f t="shared" si="15"/>
        <v>1288.9859000000001</v>
      </c>
      <c r="G43" s="91">
        <f t="shared" si="15"/>
        <v>1801.6005950000001</v>
      </c>
      <c r="H43" s="91">
        <f t="shared" si="15"/>
        <v>2331.8816050000005</v>
      </c>
      <c r="I43" s="91">
        <f t="shared" si="15"/>
        <v>2896.7573850000003</v>
      </c>
      <c r="J43" s="91">
        <f t="shared" si="15"/>
        <v>3457.6872950000006</v>
      </c>
      <c r="K43" s="91">
        <f t="shared" si="15"/>
        <v>4013.3150645394908</v>
      </c>
      <c r="L43" s="91">
        <f t="shared" si="15"/>
        <v>4798.8841862397494</v>
      </c>
      <c r="M43" s="91">
        <f t="shared" si="15"/>
        <v>5645.935691659759</v>
      </c>
      <c r="N43" s="91">
        <f t="shared" si="15"/>
        <v>6322.1145599190004</v>
      </c>
    </row>
    <row r="44" spans="1:16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6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</row>
    <row r="46" spans="1:16">
      <c r="A46" s="88" t="s">
        <v>113</v>
      </c>
    </row>
    <row r="47" spans="1:16">
      <c r="A47" s="95" t="s">
        <v>112</v>
      </c>
      <c r="C47" s="91">
        <v>313.07087999999999</v>
      </c>
      <c r="D47" s="91">
        <v>614.64137000000005</v>
      </c>
      <c r="E47" s="91">
        <v>415.58853000000011</v>
      </c>
      <c r="F47" s="91">
        <v>652.44249000000013</v>
      </c>
      <c r="G47" s="91">
        <v>890.42191999999977</v>
      </c>
      <c r="H47" s="91">
        <v>373.76358999999991</v>
      </c>
      <c r="I47" s="91">
        <v>824.79959999999949</v>
      </c>
      <c r="J47" s="91">
        <v>1034.9747</v>
      </c>
      <c r="K47" s="91">
        <v>1190.1422283736003</v>
      </c>
      <c r="L47" s="91">
        <v>1117.5888085469992</v>
      </c>
      <c r="M47" s="91">
        <v>933.46433157670003</v>
      </c>
      <c r="N47" s="91">
        <v>1175.2410099999995</v>
      </c>
      <c r="O47" s="91">
        <f>SUM(C47:N47)</f>
        <v>9536.1394584972986</v>
      </c>
      <c r="P47" s="91">
        <f>SUM(C52:N52)/12</f>
        <v>3899.7166844200124</v>
      </c>
    </row>
    <row r="48" spans="1:16">
      <c r="A48" s="94" t="s">
        <v>111</v>
      </c>
    </row>
    <row r="49" spans="1:29">
      <c r="A49" s="89" t="s">
        <v>110</v>
      </c>
      <c r="C49" s="89">
        <v>0</v>
      </c>
      <c r="D49" s="91">
        <f t="shared" ref="D49:N49" si="16">C51</f>
        <v>313.07087999999999</v>
      </c>
      <c r="E49" s="91">
        <f t="shared" si="16"/>
        <v>927.71225000000004</v>
      </c>
      <c r="F49" s="91">
        <f t="shared" si="16"/>
        <v>1343.30078</v>
      </c>
      <c r="G49" s="91">
        <f t="shared" si="16"/>
        <v>1995.7432700000002</v>
      </c>
      <c r="H49" s="91">
        <f t="shared" si="16"/>
        <v>2886.1651899999997</v>
      </c>
      <c r="I49" s="91">
        <f t="shared" si="16"/>
        <v>3259.9287799999997</v>
      </c>
      <c r="J49" s="91">
        <f t="shared" si="16"/>
        <v>4084.7283799999991</v>
      </c>
      <c r="K49" s="91">
        <f t="shared" si="16"/>
        <v>5119.7030799999993</v>
      </c>
      <c r="L49" s="91">
        <f t="shared" si="16"/>
        <v>6309.8453083735994</v>
      </c>
      <c r="M49" s="91">
        <f t="shared" si="16"/>
        <v>7427.4341169205982</v>
      </c>
      <c r="N49" s="91">
        <f t="shared" si="16"/>
        <v>8360.8984484972989</v>
      </c>
      <c r="P49" s="93"/>
    </row>
    <row r="50" spans="1:29">
      <c r="A50" s="89" t="s">
        <v>109</v>
      </c>
      <c r="C50" s="91">
        <f t="shared" ref="C50:N50" si="17">C47</f>
        <v>313.07087999999999</v>
      </c>
      <c r="D50" s="91">
        <f t="shared" si="17"/>
        <v>614.64137000000005</v>
      </c>
      <c r="E50" s="91">
        <f t="shared" si="17"/>
        <v>415.58853000000011</v>
      </c>
      <c r="F50" s="91">
        <f t="shared" si="17"/>
        <v>652.44249000000013</v>
      </c>
      <c r="G50" s="91">
        <f t="shared" si="17"/>
        <v>890.42191999999977</v>
      </c>
      <c r="H50" s="91">
        <f t="shared" si="17"/>
        <v>373.76358999999991</v>
      </c>
      <c r="I50" s="91">
        <f t="shared" si="17"/>
        <v>824.79959999999949</v>
      </c>
      <c r="J50" s="91">
        <f t="shared" si="17"/>
        <v>1034.9747</v>
      </c>
      <c r="K50" s="91">
        <f t="shared" si="17"/>
        <v>1190.1422283736003</v>
      </c>
      <c r="L50" s="91">
        <f t="shared" si="17"/>
        <v>1117.5888085469992</v>
      </c>
      <c r="M50" s="91">
        <f t="shared" si="17"/>
        <v>933.46433157670003</v>
      </c>
      <c r="N50" s="91">
        <f t="shared" si="17"/>
        <v>1175.2410099999995</v>
      </c>
    </row>
    <row r="51" spans="1:29">
      <c r="A51" s="89" t="s">
        <v>108</v>
      </c>
      <c r="C51" s="91">
        <f t="shared" ref="C51:N51" si="18">C49+C50</f>
        <v>313.07087999999999</v>
      </c>
      <c r="D51" s="91">
        <f t="shared" si="18"/>
        <v>927.71225000000004</v>
      </c>
      <c r="E51" s="91">
        <f t="shared" si="18"/>
        <v>1343.30078</v>
      </c>
      <c r="F51" s="91">
        <f t="shared" si="18"/>
        <v>1995.7432700000002</v>
      </c>
      <c r="G51" s="91">
        <f t="shared" si="18"/>
        <v>2886.1651899999997</v>
      </c>
      <c r="H51" s="91">
        <f t="shared" si="18"/>
        <v>3259.9287799999997</v>
      </c>
      <c r="I51" s="91">
        <f t="shared" si="18"/>
        <v>4084.7283799999991</v>
      </c>
      <c r="J51" s="91">
        <f t="shared" si="18"/>
        <v>5119.7030799999993</v>
      </c>
      <c r="K51" s="91">
        <f t="shared" si="18"/>
        <v>6309.8453083735994</v>
      </c>
      <c r="L51" s="91">
        <f t="shared" si="18"/>
        <v>7427.4341169205982</v>
      </c>
      <c r="M51" s="91">
        <f t="shared" si="18"/>
        <v>8360.8984484972989</v>
      </c>
      <c r="N51" s="91">
        <f t="shared" si="18"/>
        <v>9536.1394584972986</v>
      </c>
    </row>
    <row r="52" spans="1:29" s="92" customFormat="1">
      <c r="A52" s="89" t="s">
        <v>107</v>
      </c>
      <c r="B52" s="89"/>
      <c r="C52" s="91">
        <f t="shared" ref="C52:N52" si="19">(C49+C51)/2</f>
        <v>156.53543999999999</v>
      </c>
      <c r="D52" s="91">
        <f t="shared" si="19"/>
        <v>620.39156500000001</v>
      </c>
      <c r="E52" s="91">
        <f t="shared" si="19"/>
        <v>1135.506515</v>
      </c>
      <c r="F52" s="91">
        <f t="shared" si="19"/>
        <v>1669.5220250000002</v>
      </c>
      <c r="G52" s="91">
        <f t="shared" si="19"/>
        <v>2440.9542299999998</v>
      </c>
      <c r="H52" s="91">
        <f t="shared" si="19"/>
        <v>3073.0469849999999</v>
      </c>
      <c r="I52" s="91">
        <f t="shared" si="19"/>
        <v>3672.3285799999994</v>
      </c>
      <c r="J52" s="91">
        <f t="shared" si="19"/>
        <v>4602.215729999999</v>
      </c>
      <c r="K52" s="91">
        <f t="shared" si="19"/>
        <v>5714.7741941867989</v>
      </c>
      <c r="L52" s="91">
        <f t="shared" si="19"/>
        <v>6868.6397126470983</v>
      </c>
      <c r="M52" s="91">
        <f t="shared" si="19"/>
        <v>7894.1662827089485</v>
      </c>
      <c r="N52" s="91">
        <f t="shared" si="19"/>
        <v>8948.5189534972997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92" customForma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92" customForma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2" customFormat="1">
      <c r="A55" s="89"/>
      <c r="B55" s="89"/>
      <c r="C55" s="89"/>
      <c r="D55" s="89"/>
      <c r="E55" s="89"/>
      <c r="F55" s="89"/>
      <c r="G55" s="89"/>
      <c r="H55" s="89" t="s">
        <v>106</v>
      </c>
      <c r="I55" s="89"/>
      <c r="J55" s="89"/>
      <c r="K55" s="89"/>
      <c r="L55" s="89"/>
      <c r="M55" s="89"/>
      <c r="N55" s="89"/>
      <c r="O55" s="91">
        <f>SUM(O47+O38+O29+O20+O11)</f>
        <v>71589.172949999993</v>
      </c>
      <c r="P55" s="91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>
      <c r="O56" s="91"/>
    </row>
    <row r="57" spans="1:29">
      <c r="O57" s="91"/>
    </row>
    <row r="58" spans="1:29">
      <c r="O58" s="90"/>
    </row>
  </sheetData>
  <pageMargins left="0.7" right="0.7" top="0.75" bottom="0.75" header="0.3" footer="0.3"/>
  <pageSetup scale="7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284319-4236-4A04-A811-D8AA19862E77}"/>
</file>

<file path=customXml/itemProps2.xml><?xml version="1.0" encoding="utf-8"?>
<ds:datastoreItem xmlns:ds="http://schemas.openxmlformats.org/officeDocument/2006/customXml" ds:itemID="{E6C3A686-F84B-47F4-BA3C-31484859D480}"/>
</file>

<file path=customXml/itemProps3.xml><?xml version="1.0" encoding="utf-8"?>
<ds:datastoreItem xmlns:ds="http://schemas.openxmlformats.org/officeDocument/2006/customXml" ds:itemID="{5ED76C78-71E6-4967-BE27-C297F3EAEACC}"/>
</file>

<file path=customXml/itemProps4.xml><?xml version="1.0" encoding="utf-8"?>
<ds:datastoreItem xmlns:ds="http://schemas.openxmlformats.org/officeDocument/2006/customXml" ds:itemID="{85B5B57B-FAF3-4905-9EDB-6A3C0C388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E-CAP SUMMARY</vt:lpstr>
      <vt:lpstr>G-CAP SUMMARY</vt:lpstr>
      <vt:lpstr>AMI - Electric</vt:lpstr>
      <vt:lpstr>AMI - Natural Gas</vt:lpstr>
      <vt:lpstr>NR.1E-New Rev </vt:lpstr>
      <vt:lpstr>NR.1G-New Rev</vt:lpstr>
      <vt:lpstr>NR.2-New Rev Adds</vt:lpstr>
      <vt:lpstr>'E-CAP SUMMARY'!Print_Area</vt:lpstr>
      <vt:lpstr>'G-CAP SUMMARY'!Print_Area</vt:lpstr>
      <vt:lpstr>'NR.1E-New Rev '!Print_Area</vt:lpstr>
      <vt:lpstr>'NR.1G-New Rev'!Print_Area</vt:lpstr>
      <vt:lpstr>'NR.2-New Rev Adds'!Print_Area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Schultz, Kaylene</cp:lastModifiedBy>
  <cp:lastPrinted>2020-10-26T14:31:31Z</cp:lastPrinted>
  <dcterms:created xsi:type="dcterms:W3CDTF">2018-11-02T19:24:37Z</dcterms:created>
  <dcterms:modified xsi:type="dcterms:W3CDTF">2020-10-26T14:39:17Z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