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ate1904="1"/>
  <mc:AlternateContent xmlns:mc="http://schemas.openxmlformats.org/markup-compatibility/2006">
    <mc:Choice Requires="x15">
      <x15ac:absPath xmlns:x15ac="http://schemas.microsoft.com/office/spreadsheetml/2010/11/ac" url="M:\2020\2020 WA Elec and Gas GRC\Adjustments\3.00T PF Transmission\"/>
    </mc:Choice>
  </mc:AlternateContent>
  <xr:revisionPtr revIDLastSave="0" documentId="13_ncr:1_{B068CDC1-5A71-40A3-B0A9-B72D5D10D56D}" xr6:coauthVersionLast="44" xr6:coauthVersionMax="44" xr10:uidLastSave="{00000000-0000-0000-0000-000000000000}"/>
  <bookViews>
    <workbookView xWindow="28680" yWindow="-195" windowWidth="29040" windowHeight="15840" activeTab="5" xr2:uid="{00000000-000D-0000-FFFF-FFFF00000000}"/>
  </bookViews>
  <sheets>
    <sheet name="456XXX-2021-2022" sheetId="14" r:id="rId1"/>
    <sheet name="447720" sheetId="10" r:id="rId2"/>
    <sheet name="BPA 456130" sheetId="11" r:id="rId3"/>
    <sheet name="OASIS Average" sheetId="12" r:id="rId4"/>
    <sheet name="12mo Spread" sheetId="13" r:id="rId5"/>
    <sheet name="456XXX-2019" sheetId="9" r:id="rId6"/>
  </sheets>
  <externalReferences>
    <externalReference r:id="rId7"/>
  </externalReferences>
  <definedNames>
    <definedName name="Apr">'12mo Spread'!$K:$K</definedName>
    <definedName name="Aug">'12mo Spread'!$S:$S</definedName>
    <definedName name="Dec">'12mo Spread'!$AA:$AA</definedName>
    <definedName name="Feb">'12mo Spread'!$G:$G</definedName>
    <definedName name="Jan">'12mo Spread'!$E:$E</definedName>
    <definedName name="Janu">'12mo Spread'!$E:$E</definedName>
    <definedName name="Jul">'12mo Spread'!$Q:$Q</definedName>
    <definedName name="Jun">'12mo Spread'!$O:$O</definedName>
    <definedName name="Mar">'12mo Spread'!$I:$I</definedName>
    <definedName name="May">'12mo Spread'!$M:$M</definedName>
    <definedName name="Nov">'12mo Spread'!$Y:$Y</definedName>
    <definedName name="Oct">'12mo Spread'!$W:$W</definedName>
    <definedName name="Sep">'12mo Spread'!$U:$U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4" l="1"/>
  <c r="G16" i="14" s="1"/>
  <c r="I3" i="14"/>
  <c r="J3" i="14" s="1"/>
  <c r="O3" i="14"/>
  <c r="P3" i="14"/>
  <c r="R3" i="14"/>
  <c r="R16" i="14" s="1"/>
  <c r="S3" i="14"/>
  <c r="G4" i="14"/>
  <c r="D4" i="14" s="1"/>
  <c r="I4" i="14"/>
  <c r="J4" i="14"/>
  <c r="O4" i="14"/>
  <c r="P4" i="14"/>
  <c r="R4" i="14"/>
  <c r="S4" i="14"/>
  <c r="D5" i="14"/>
  <c r="G5" i="14"/>
  <c r="I5" i="14"/>
  <c r="J5" i="14"/>
  <c r="O5" i="14"/>
  <c r="P5" i="14" s="1"/>
  <c r="R5" i="14"/>
  <c r="S5" i="14"/>
  <c r="S16" i="14" s="1"/>
  <c r="G6" i="14"/>
  <c r="D6" i="14" s="1"/>
  <c r="I6" i="14"/>
  <c r="J6" i="14"/>
  <c r="O6" i="14"/>
  <c r="P6" i="14"/>
  <c r="R6" i="14"/>
  <c r="S6" i="14"/>
  <c r="C6" i="14" s="1"/>
  <c r="G7" i="14"/>
  <c r="D7" i="14" s="1"/>
  <c r="I7" i="14"/>
  <c r="J7" i="14" s="1"/>
  <c r="O7" i="14"/>
  <c r="P7" i="14"/>
  <c r="R7" i="14"/>
  <c r="S7" i="14"/>
  <c r="G8" i="14"/>
  <c r="D8" i="14" s="1"/>
  <c r="I8" i="14"/>
  <c r="J8" i="14"/>
  <c r="O8" i="14"/>
  <c r="P8" i="14"/>
  <c r="R8" i="14"/>
  <c r="S8" i="14"/>
  <c r="C8" i="14" s="1"/>
  <c r="D9" i="14"/>
  <c r="G9" i="14"/>
  <c r="I9" i="14"/>
  <c r="J9" i="14"/>
  <c r="O9" i="14"/>
  <c r="P9" i="14" s="1"/>
  <c r="R9" i="14"/>
  <c r="S9" i="14"/>
  <c r="C9" i="14" s="1"/>
  <c r="G10" i="14"/>
  <c r="D10" i="14" s="1"/>
  <c r="I10" i="14"/>
  <c r="J10" i="14"/>
  <c r="O10" i="14"/>
  <c r="P10" i="14"/>
  <c r="R10" i="14"/>
  <c r="S10" i="14"/>
  <c r="G11" i="14"/>
  <c r="D11" i="14" s="1"/>
  <c r="I11" i="14"/>
  <c r="J11" i="14" s="1"/>
  <c r="O11" i="14"/>
  <c r="P11" i="14"/>
  <c r="R11" i="14"/>
  <c r="S11" i="14"/>
  <c r="C11" i="14" s="1"/>
  <c r="G12" i="14"/>
  <c r="D12" i="14" s="1"/>
  <c r="I12" i="14"/>
  <c r="J12" i="14"/>
  <c r="O12" i="14"/>
  <c r="P12" i="14"/>
  <c r="R12" i="14"/>
  <c r="S12" i="14"/>
  <c r="C12" i="14" s="1"/>
  <c r="D13" i="14"/>
  <c r="G13" i="14"/>
  <c r="I13" i="14"/>
  <c r="J13" i="14"/>
  <c r="O13" i="14"/>
  <c r="P13" i="14" s="1"/>
  <c r="R13" i="14"/>
  <c r="S13" i="14"/>
  <c r="G14" i="14"/>
  <c r="D14" i="14" s="1"/>
  <c r="I14" i="14"/>
  <c r="J14" i="14"/>
  <c r="O14" i="14"/>
  <c r="P14" i="14"/>
  <c r="R14" i="14"/>
  <c r="S14" i="14"/>
  <c r="E16" i="14"/>
  <c r="F16" i="14"/>
  <c r="H16" i="14"/>
  <c r="L16" i="14"/>
  <c r="N16" i="14"/>
  <c r="T16" i="14"/>
  <c r="F17" i="14"/>
  <c r="C13" i="14" l="1"/>
  <c r="C10" i="14"/>
  <c r="P16" i="14"/>
  <c r="J16" i="14"/>
  <c r="C14" i="14"/>
  <c r="C7" i="14"/>
  <c r="C4" i="14"/>
  <c r="O16" i="14"/>
  <c r="I16" i="14"/>
  <c r="C5" i="14"/>
  <c r="D3" i="14"/>
  <c r="D16" i="14" s="1"/>
  <c r="C3" i="14" l="1"/>
  <c r="C16" i="14" s="1"/>
  <c r="D18" i="13" l="1"/>
  <c r="E18" i="13"/>
  <c r="F18" i="13"/>
  <c r="G18" i="13"/>
  <c r="H18" i="13"/>
  <c r="I18" i="13"/>
  <c r="J18" i="13"/>
  <c r="K18" i="13"/>
  <c r="C18" i="13"/>
  <c r="B16" i="13"/>
  <c r="J17" i="13" s="1"/>
  <c r="J19" i="13" s="1"/>
  <c r="F17" i="13" l="1"/>
  <c r="F19" i="13" s="1"/>
  <c r="C17" i="13"/>
  <c r="C19" i="13" s="1"/>
  <c r="D17" i="13"/>
  <c r="D19" i="13" s="1"/>
  <c r="H17" i="13"/>
  <c r="H19" i="13" s="1"/>
  <c r="K17" i="13"/>
  <c r="K19" i="13" s="1"/>
  <c r="I17" i="13"/>
  <c r="I19" i="13" s="1"/>
  <c r="G17" i="13"/>
  <c r="G19" i="13" s="1"/>
  <c r="E17" i="13"/>
  <c r="E19" i="13" s="1"/>
  <c r="D3" i="13" l="1"/>
  <c r="E3" i="13"/>
  <c r="F3" i="13"/>
  <c r="G3" i="13"/>
  <c r="H3" i="13"/>
  <c r="I3" i="13"/>
  <c r="J3" i="13"/>
  <c r="K3" i="13"/>
  <c r="L3" i="13"/>
  <c r="M3" i="13"/>
  <c r="N3" i="13"/>
  <c r="D4" i="13"/>
  <c r="E4" i="13"/>
  <c r="F4" i="13"/>
  <c r="G4" i="13"/>
  <c r="H4" i="13"/>
  <c r="I4" i="13"/>
  <c r="J4" i="13"/>
  <c r="K4" i="13"/>
  <c r="L4" i="13"/>
  <c r="M4" i="13"/>
  <c r="N4" i="13"/>
  <c r="C4" i="13"/>
  <c r="B6" i="13"/>
  <c r="C3" i="13"/>
  <c r="O4" i="13" l="1"/>
  <c r="O3" i="13"/>
  <c r="D5" i="13"/>
  <c r="D6" i="13" s="1"/>
  <c r="E5" i="13"/>
  <c r="E6" i="13" s="1"/>
  <c r="F5" i="13"/>
  <c r="F6" i="13" s="1"/>
  <c r="G5" i="13"/>
  <c r="G6" i="13" s="1"/>
  <c r="H5" i="13"/>
  <c r="H6" i="13" s="1"/>
  <c r="I5" i="13"/>
  <c r="I6" i="13" s="1"/>
  <c r="J5" i="13"/>
  <c r="J6" i="13" s="1"/>
  <c r="K5" i="13"/>
  <c r="K6" i="13" s="1"/>
  <c r="L5" i="13"/>
  <c r="L6" i="13" s="1"/>
  <c r="M5" i="13"/>
  <c r="M6" i="13" s="1"/>
  <c r="N5" i="13"/>
  <c r="N6" i="13" s="1"/>
  <c r="C5" i="13"/>
  <c r="C6" i="13" s="1"/>
  <c r="O5" i="13" l="1"/>
  <c r="O6" i="13" s="1"/>
  <c r="E24" i="9"/>
  <c r="H24" i="9"/>
  <c r="J24" i="9"/>
  <c r="K24" i="9"/>
  <c r="L24" i="9"/>
  <c r="G22" i="9"/>
  <c r="G24" i="9" s="1"/>
  <c r="I22" i="9"/>
  <c r="I24" i="9" s="1"/>
  <c r="D22" i="9"/>
  <c r="F19" i="9"/>
  <c r="F22" i="9" s="1"/>
  <c r="F24" i="9" s="1"/>
  <c r="B10" i="12"/>
  <c r="B7" i="12"/>
  <c r="C22" i="9" l="1"/>
  <c r="D24" i="9"/>
  <c r="B8" i="12"/>
  <c r="D8" i="12" l="1"/>
  <c r="C16" i="11" l="1"/>
  <c r="C15" i="11"/>
  <c r="B15" i="11"/>
  <c r="D19" i="10" l="1"/>
  <c r="D7" i="10"/>
  <c r="D8" i="10"/>
  <c r="D9" i="10"/>
  <c r="D10" i="10"/>
  <c r="D11" i="10"/>
  <c r="D12" i="10"/>
  <c r="D13" i="10"/>
  <c r="D14" i="10"/>
  <c r="D15" i="10"/>
  <c r="D16" i="10"/>
  <c r="D17" i="10"/>
  <c r="D6" i="10"/>
  <c r="C4" i="9" l="1"/>
  <c r="C5" i="9"/>
  <c r="C6" i="9"/>
  <c r="C7" i="9"/>
  <c r="C8" i="9"/>
  <c r="C9" i="9"/>
  <c r="C10" i="9"/>
  <c r="C11" i="9"/>
  <c r="C12" i="9"/>
  <c r="C13" i="9"/>
  <c r="C14" i="9"/>
  <c r="C3" i="9"/>
  <c r="F16" i="9"/>
  <c r="G16" i="9"/>
  <c r="H16" i="9"/>
  <c r="I16" i="9"/>
  <c r="J16" i="9"/>
  <c r="K16" i="9"/>
  <c r="L16" i="9"/>
  <c r="C16" i="9" l="1"/>
  <c r="E16" i="9" l="1"/>
  <c r="D16" i="9"/>
  <c r="C24" i="9" l="1"/>
</calcChain>
</file>

<file path=xl/sharedStrings.xml><?xml version="1.0" encoding="utf-8"?>
<sst xmlns="http://schemas.openxmlformats.org/spreadsheetml/2006/main" count="135" uniqueCount="70">
  <si>
    <t>Period</t>
  </si>
  <si>
    <t>Currency</t>
  </si>
  <si>
    <t>USD</t>
  </si>
  <si>
    <t>456XXX</t>
  </si>
  <si>
    <t>Long-Term</t>
  </si>
  <si>
    <t>456700 ID</t>
  </si>
  <si>
    <t>456700 WA</t>
  </si>
  <si>
    <t>Other Elec Rev - O&amp;M (Long-Term)</t>
  </si>
  <si>
    <t>BPA Parallel Capacity Support (Long-Term)</t>
  </si>
  <si>
    <t>Ancillary Services (Long-Term)</t>
  </si>
  <si>
    <t>Other Elec Rev - Low Voltage ID (Long-Term)</t>
  </si>
  <si>
    <t>Other Elec Rev - Low Voltage WA (Long-Term)</t>
  </si>
  <si>
    <t>Low Voltage BPA on AVA (Long-Term)</t>
  </si>
  <si>
    <t>OASIS</t>
  </si>
  <si>
    <t>456700-ID</t>
  </si>
  <si>
    <t>456700-WA</t>
  </si>
  <si>
    <t>Total</t>
  </si>
  <si>
    <t>Demand</t>
  </si>
  <si>
    <t>Monthly</t>
  </si>
  <si>
    <t>Rate</t>
  </si>
  <si>
    <t>Charge</t>
  </si>
  <si>
    <t>Account 447720 - 2019 Long-Term Reservations</t>
  </si>
  <si>
    <t>(MW)</t>
  </si>
  <si>
    <t>($/kW)</t>
  </si>
  <si>
    <t>447720 Long-Term:</t>
  </si>
  <si>
    <t>Adjustments</t>
  </si>
  <si>
    <t>Spinning</t>
  </si>
  <si>
    <t>Supplemental</t>
  </si>
  <si>
    <t>BPA Operating Reserves Charges</t>
  </si>
  <si>
    <t>BPA to Self-Supply Operating Reserves by mid-year 2020</t>
  </si>
  <si>
    <t>Rattlesnake Flat - Neilson Station O&amp;M</t>
  </si>
  <si>
    <t>Total Adjusted</t>
  </si>
  <si>
    <t>Transmission Revenue From Others (Long-Term and OASIS ST/NF)</t>
  </si>
  <si>
    <t>SHORT TERM/NON-FIRM OASIS REVENUE 456100</t>
  </si>
  <si>
    <t>3-yr AVG</t>
  </si>
  <si>
    <t>OASIS ST-NF Billing Report</t>
  </si>
  <si>
    <t>OASIS STF/NF</t>
  </si>
  <si>
    <t>Monthly Report
(Bentley)</t>
  </si>
  <si>
    <t>Difference</t>
  </si>
  <si>
    <t>Total Adjustments</t>
  </si>
  <si>
    <t>Adjustment</t>
  </si>
  <si>
    <t>BPA Self-Supply</t>
  </si>
  <si>
    <t>Rattlesnake Flat O&amp;M</t>
  </si>
  <si>
    <t>JAN</t>
  </si>
  <si>
    <t>FEB</t>
  </si>
  <si>
    <t>TOTAL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</si>
  <si>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</si>
  <si>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</si>
  <si>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</si>
  <si>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</si>
  <si>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</si>
  <si>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</si>
  <si>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</si>
  <si>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</si>
  <si>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</si>
  <si>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</si>
  <si>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Check Total</t>
  </si>
  <si>
    <t>Spread Factors</t>
  </si>
  <si>
    <t>Notes</t>
  </si>
  <si>
    <t>2015-2019 Average Monthly Spread "OASIS Revenue Billing Report"</t>
  </si>
  <si>
    <t>Flat spread</t>
  </si>
  <si>
    <t>Net Adjustments</t>
  </si>
  <si>
    <t>Distribution</t>
  </si>
  <si>
    <t>Flat Distribution</t>
  </si>
  <si>
    <t>BPA Ancillary Svcs</t>
  </si>
  <si>
    <t>2020 BPA Actual</t>
  </si>
  <si>
    <t>Monthly 2020 charges all within 1.8 percentage points of flat; therefore use flat distribution</t>
  </si>
  <si>
    <t>456017 Rattlesnake Flat - Neilson Station O&amp;M</t>
  </si>
  <si>
    <t>456130 BPA to Self-Supply Operating Reserves by mid-year 2020</t>
  </si>
  <si>
    <t>Pro-Forma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</si>
</sst>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.00_);\(0.00\)"/>
    <numFmt numFmtId="165" formatCode="#,##0.00000_);\(#,##0.00000\)"/>
    <numFmt numFmtId="166" formatCode="0.00000_);\(0.000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9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0" fillId="0" borderId="0" xfId="0" applyNumberFormat="1"/>
    <xf numFmtId="0" fontId="16" fillId="0" borderId="0" xfId="0" applyFont="1" applyAlignment="1">
      <alignment horizontal="right"/>
    </xf>
    <xf numFmtId="0" fontId="0" fillId="0" borderId="0" xfId="0" applyFont="1"/>
    <xf numFmtId="37" fontId="0" fillId="0" borderId="0" xfId="0" applyNumberFormat="1" applyBorder="1"/>
    <xf numFmtId="37" fontId="0" fillId="0" borderId="11" xfId="0" applyNumberFormat="1" applyBorder="1"/>
    <xf numFmtId="37" fontId="0" fillId="34" borderId="0" xfId="0" applyNumberFormat="1" applyFill="1" applyBorder="1"/>
    <xf numFmtId="0" fontId="16" fillId="0" borderId="13" xfId="0" applyFont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164" fontId="0" fillId="0" borderId="0" xfId="0" applyNumberFormat="1"/>
    <xf numFmtId="5" fontId="0" fillId="0" borderId="0" xfId="0" applyNumberFormat="1"/>
    <xf numFmtId="0" fontId="0" fillId="33" borderId="15" xfId="0" applyFill="1" applyBorder="1"/>
    <xf numFmtId="0" fontId="16" fillId="33" borderId="16" xfId="0" applyFont="1" applyFill="1" applyBorder="1" applyAlignment="1">
      <alignment horizontal="right"/>
    </xf>
    <xf numFmtId="5" fontId="16" fillId="33" borderId="17" xfId="0" applyNumberFormat="1" applyFont="1" applyFill="1" applyBorder="1"/>
    <xf numFmtId="0" fontId="16" fillId="0" borderId="0" xfId="0" applyFont="1" applyBorder="1" applyAlignment="1">
      <alignment horizontal="center"/>
    </xf>
    <xf numFmtId="37" fontId="16" fillId="0" borderId="0" xfId="0" applyNumberFormat="1" applyFont="1" applyBorder="1"/>
    <xf numFmtId="5" fontId="16" fillId="35" borderId="0" xfId="0" applyNumberFormat="1" applyFont="1" applyFill="1"/>
    <xf numFmtId="0" fontId="0" fillId="0" borderId="13" xfId="0" applyBorder="1"/>
    <xf numFmtId="5" fontId="0" fillId="0" borderId="13" xfId="0" applyNumberFormat="1" applyBorder="1"/>
    <xf numFmtId="0" fontId="0" fillId="0" borderId="11" xfId="0" applyBorder="1"/>
    <xf numFmtId="0" fontId="16" fillId="34" borderId="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16" fillId="0" borderId="13" xfId="0" applyFont="1" applyBorder="1"/>
    <xf numFmtId="37" fontId="0" fillId="0" borderId="0" xfId="0" applyNumberFormat="1" applyFont="1" applyBorder="1"/>
    <xf numFmtId="37" fontId="0" fillId="34" borderId="10" xfId="0" applyNumberFormat="1" applyFont="1" applyFill="1" applyBorder="1"/>
    <xf numFmtId="0" fontId="0" fillId="0" borderId="13" xfId="0" applyFont="1" applyBorder="1"/>
    <xf numFmtId="0" fontId="0" fillId="0" borderId="16" xfId="0" applyBorder="1"/>
    <xf numFmtId="37" fontId="0" fillId="0" borderId="15" xfId="0" applyNumberFormat="1" applyBorder="1"/>
    <xf numFmtId="37" fontId="0" fillId="0" borderId="16" xfId="0" applyNumberFormat="1" applyBorder="1"/>
    <xf numFmtId="37" fontId="16" fillId="36" borderId="0" xfId="0" applyNumberFormat="1" applyFont="1" applyFill="1"/>
    <xf numFmtId="37" fontId="16" fillId="36" borderId="16" xfId="0" applyNumberFormat="1" applyFont="1" applyFill="1" applyBorder="1"/>
    <xf numFmtId="5" fontId="16" fillId="0" borderId="0" xfId="0" applyNumberFormat="1" applyFont="1"/>
    <xf numFmtId="0" fontId="16" fillId="0" borderId="0" xfId="0" applyFont="1" applyAlignment="1">
      <alignment horizontal="center" wrapText="1"/>
    </xf>
    <xf numFmtId="5" fontId="0" fillId="0" borderId="0" xfId="0" applyNumberFormat="1" applyFill="1"/>
    <xf numFmtId="0" fontId="0" fillId="0" borderId="0" xfId="0" applyFill="1"/>
    <xf numFmtId="5" fontId="16" fillId="0" borderId="18" xfId="0" applyNumberFormat="1" applyFont="1" applyFill="1" applyBorder="1"/>
    <xf numFmtId="0" fontId="0" fillId="0" borderId="0" xfId="0" applyBorder="1"/>
    <xf numFmtId="0" fontId="0" fillId="0" borderId="0" xfId="0" applyFont="1" applyBorder="1"/>
    <xf numFmtId="5" fontId="0" fillId="35" borderId="0" xfId="0" applyNumberFormat="1" applyFill="1"/>
    <xf numFmtId="5" fontId="16" fillId="35" borderId="18" xfId="0" applyNumberFormat="1" applyFont="1" applyFill="1" applyBorder="1"/>
    <xf numFmtId="37" fontId="0" fillId="0" borderId="13" xfId="0" applyNumberFormat="1" applyBorder="1"/>
    <xf numFmtId="37" fontId="0" fillId="0" borderId="17" xfId="0" applyNumberFormat="1" applyBorder="1"/>
    <xf numFmtId="0" fontId="0" fillId="0" borderId="14" xfId="0" applyBorder="1"/>
    <xf numFmtId="37" fontId="0" fillId="0" borderId="14" xfId="0" applyNumberFormat="1" applyBorder="1"/>
    <xf numFmtId="10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6" fillId="37" borderId="0" xfId="0" applyFont="1" applyFill="1"/>
    <xf numFmtId="37" fontId="16" fillId="37" borderId="0" xfId="0" applyNumberFormat="1" applyFont="1" applyFill="1"/>
    <xf numFmtId="37" fontId="16" fillId="37" borderId="11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37" fontId="0" fillId="0" borderId="0" xfId="0" applyNumberFormat="1" applyAlignment="1">
      <alignment vertical="top"/>
    </xf>
    <xf numFmtId="37" fontId="16" fillId="0" borderId="0" xfId="0" applyNumberFormat="1" applyFont="1" applyAlignment="1">
      <alignment vertical="top"/>
    </xf>
    <xf numFmtId="37" fontId="0" fillId="34" borderId="10" xfId="0" applyNumberFormat="1" applyFill="1" applyBorder="1" applyAlignment="1">
      <alignment vertical="top"/>
    </xf>
    <xf numFmtId="37" fontId="0" fillId="34" borderId="0" xfId="0" applyNumberFormat="1" applyFill="1" applyAlignment="1">
      <alignment vertical="top"/>
    </xf>
    <xf numFmtId="37" fontId="16" fillId="36" borderId="19" xfId="0" applyNumberFormat="1" applyFont="1" applyFill="1" applyBorder="1" applyAlignment="1">
      <alignment vertical="top"/>
    </xf>
    <xf numFmtId="0" fontId="16" fillId="0" borderId="0" xfId="0" applyFont="1" applyAlignment="1">
      <alignment vertical="top"/>
    </xf>
    <xf numFmtId="37" fontId="0" fillId="0" borderId="11" xfId="0" applyNumberFormat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16" fillId="0" borderId="13" xfId="0" applyFont="1" applyBorder="1" applyAlignment="1">
      <alignment vertical="top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34" borderId="12" xfId="0" applyFont="1" applyFill="1" applyBorder="1" applyAlignment="1">
      <alignment horizontal="center" vertical="top"/>
    </xf>
    <xf numFmtId="0" fontId="16" fillId="34" borderId="13" xfId="0" applyFont="1" applyFill="1" applyBorder="1" applyAlignment="1">
      <alignment horizontal="center" vertical="top"/>
    </xf>
    <xf numFmtId="0" fontId="16" fillId="0" borderId="14" xfId="0" applyFont="1" applyBorder="1" applyAlignment="1">
      <alignment horizontal="center" vertical="top"/>
    </xf>
    <xf numFmtId="0" fontId="16" fillId="34" borderId="10" xfId="0" applyFont="1" applyFill="1" applyBorder="1" applyAlignment="1">
      <alignment horizontal="center" vertical="top"/>
    </xf>
    <xf numFmtId="0" fontId="16" fillId="34" borderId="0" xfId="0" applyFont="1" applyFill="1" applyAlignment="1">
      <alignment horizontal="center" vertical="top"/>
    </xf>
    <xf numFmtId="0" fontId="0" fillId="0" borderId="11" xfId="0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mission%20Revenue%202019%20-%20GRC%20Adjustments%20for%202021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47720"/>
      <sheetName val="BPA 456130"/>
      <sheetName val="12mo Spread"/>
    </sheetNames>
    <sheetDataSet>
      <sheetData sheetId="0" refreshError="1"/>
      <sheetData sheetId="1" refreshError="1"/>
      <sheetData sheetId="2">
        <row r="3">
          <cell r="C3">
            <v>-25281</v>
          </cell>
          <cell r="D3">
            <v>-58121</v>
          </cell>
          <cell r="E3">
            <v>-67499</v>
          </cell>
          <cell r="F3">
            <v>-45212</v>
          </cell>
          <cell r="G3">
            <v>-62517</v>
          </cell>
          <cell r="H3">
            <v>-103549</v>
          </cell>
          <cell r="I3">
            <v>-101082</v>
          </cell>
          <cell r="J3">
            <v>-88059</v>
          </cell>
          <cell r="K3">
            <v>-57205</v>
          </cell>
          <cell r="L3">
            <v>-51274</v>
          </cell>
          <cell r="M3">
            <v>-77557</v>
          </cell>
          <cell r="N3">
            <v>-85484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4AA79-C4E1-4AC5-9515-D2D43C1CC08B}">
  <sheetPr>
    <pageSetUpPr fitToPage="1"/>
  </sheetPr>
  <dimension ref="A1:W17"/>
  <sheetViews>
    <sheetView workbookViewId="0">
      <selection activeCell="A15" sqref="A15"/>
    </sheetView>
  </sheetViews>
  <sheetFormatPr defaultColWidth="9.140625" defaultRowHeight="15" x14ac:dyDescent="0.25"/>
  <cols>
    <col min="1" max="1" width="7.7109375" style="57" customWidth="1"/>
    <col min="2" max="2" width="8.85546875" style="57" bestFit="1" customWidth="1"/>
    <col min="3" max="4" width="10.85546875" style="57" bestFit="1" customWidth="1"/>
    <col min="5" max="5" width="10.42578125" style="57" bestFit="1" customWidth="1"/>
    <col min="6" max="6" width="11.28515625" style="57" customWidth="1"/>
    <col min="7" max="7" width="9.85546875" style="57" bestFit="1" customWidth="1"/>
    <col min="8" max="8" width="7.28515625" style="57" bestFit="1" customWidth="1"/>
    <col min="9" max="9" width="11.42578125" style="57" bestFit="1" customWidth="1"/>
    <col min="10" max="10" width="10.28515625" style="57" bestFit="1" customWidth="1"/>
    <col min="11" max="11" width="2.140625" style="57" customWidth="1"/>
    <col min="12" max="12" width="8.28515625" style="57" bestFit="1" customWidth="1"/>
    <col min="13" max="13" width="1.42578125" style="57" customWidth="1"/>
    <col min="14" max="14" width="9.85546875" style="57" bestFit="1" customWidth="1"/>
    <col min="15" max="15" width="11.42578125" style="57" bestFit="1" customWidth="1"/>
    <col min="16" max="16" width="10.28515625" style="57" bestFit="1" customWidth="1"/>
    <col min="17" max="17" width="2.85546875" style="57" customWidth="1"/>
    <col min="18" max="18" width="9.5703125" style="57" bestFit="1" customWidth="1"/>
    <col min="19" max="19" width="10.85546875" style="57" bestFit="1" customWidth="1"/>
    <col min="20" max="20" width="9.85546875" style="57" bestFit="1" customWidth="1"/>
    <col min="21" max="21" width="1.28515625" style="57" customWidth="1"/>
    <col min="22" max="22" width="10.7109375" style="57" customWidth="1"/>
    <col min="23" max="23" width="27.7109375" style="57" customWidth="1"/>
    <col min="24" max="16384" width="9.140625" style="57"/>
  </cols>
  <sheetData>
    <row r="1" spans="1:23" x14ac:dyDescent="0.25">
      <c r="D1" s="78"/>
      <c r="E1" s="77">
        <v>456100</v>
      </c>
      <c r="F1" s="76">
        <v>456100</v>
      </c>
      <c r="G1" s="76">
        <v>456100</v>
      </c>
      <c r="J1" s="63" t="s">
        <v>69</v>
      </c>
      <c r="L1" s="63"/>
      <c r="P1" s="63" t="s">
        <v>69</v>
      </c>
      <c r="Q1" s="63"/>
      <c r="U1" s="70"/>
    </row>
    <row r="2" spans="1:23" s="70" customFormat="1" x14ac:dyDescent="0.25">
      <c r="A2" s="72" t="s">
        <v>0</v>
      </c>
      <c r="B2" s="72" t="s">
        <v>1</v>
      </c>
      <c r="C2" s="72" t="s">
        <v>3</v>
      </c>
      <c r="D2" s="75">
        <v>456100</v>
      </c>
      <c r="E2" s="74" t="s">
        <v>4</v>
      </c>
      <c r="F2" s="73" t="s">
        <v>13</v>
      </c>
      <c r="G2" s="73" t="s">
        <v>40</v>
      </c>
      <c r="H2" s="72">
        <v>456017</v>
      </c>
      <c r="I2" s="72" t="s">
        <v>40</v>
      </c>
      <c r="J2" s="72">
        <v>456017</v>
      </c>
      <c r="K2" s="72"/>
      <c r="L2" s="72">
        <v>456120</v>
      </c>
      <c r="M2" s="72"/>
      <c r="N2" s="72">
        <v>456130</v>
      </c>
      <c r="O2" s="72" t="s">
        <v>40</v>
      </c>
      <c r="P2" s="72">
        <v>456130</v>
      </c>
      <c r="Q2" s="72"/>
      <c r="R2" s="71" t="s">
        <v>14</v>
      </c>
      <c r="S2" s="71" t="s">
        <v>15</v>
      </c>
      <c r="T2" s="71">
        <v>456705</v>
      </c>
    </row>
    <row r="3" spans="1:23" ht="45" x14ac:dyDescent="0.25">
      <c r="A3" s="57">
        <v>202110</v>
      </c>
      <c r="B3" s="65" t="s">
        <v>2</v>
      </c>
      <c r="C3" s="58">
        <f>T3+S3+R3+P3+L3+J3+D3</f>
        <v>1259756.2466666666</v>
      </c>
      <c r="D3" s="64">
        <f>SUM(E3:G3)</f>
        <v>915694.24</v>
      </c>
      <c r="E3" s="61">
        <v>563360.24</v>
      </c>
      <c r="F3" s="60">
        <v>377615</v>
      </c>
      <c r="G3" s="60">
        <f>'[1]12mo Spread'!C3</f>
        <v>-25281</v>
      </c>
      <c r="H3" s="58">
        <v>6437.54</v>
      </c>
      <c r="I3" s="58">
        <f>70000/12</f>
        <v>5833.333333333333</v>
      </c>
      <c r="J3" s="59">
        <f>SUM(H3:I3)</f>
        <v>12270.873333333333</v>
      </c>
      <c r="K3" s="58"/>
      <c r="L3" s="59">
        <v>77000</v>
      </c>
      <c r="M3" s="58"/>
      <c r="N3" s="58">
        <v>214293.78</v>
      </c>
      <c r="O3" s="58">
        <f>-1370000/12</f>
        <v>-114166.66666666667</v>
      </c>
      <c r="P3" s="59">
        <f>SUM(N3:O3)</f>
        <v>100127.11333333333</v>
      </c>
      <c r="Q3" s="58"/>
      <c r="R3" s="58">
        <f>4231.74+1000</f>
        <v>5231.74</v>
      </c>
      <c r="S3" s="58">
        <f>8958.28+501</f>
        <v>9459.2800000000007</v>
      </c>
      <c r="T3" s="58">
        <v>139973</v>
      </c>
      <c r="U3" s="59"/>
      <c r="V3" s="63">
        <v>456100</v>
      </c>
      <c r="W3" s="68" t="s">
        <v>32</v>
      </c>
    </row>
    <row r="4" spans="1:23" ht="30" x14ac:dyDescent="0.25">
      <c r="A4" s="57">
        <v>202111</v>
      </c>
      <c r="B4" s="65" t="s">
        <v>2</v>
      </c>
      <c r="C4" s="58">
        <f>T4+S4+R4+P4+L4+J4+D4</f>
        <v>1533179.1666666665</v>
      </c>
      <c r="D4" s="64">
        <f>SUM(E4:G4)</f>
        <v>1148803.95</v>
      </c>
      <c r="E4" s="61">
        <v>568096.94999999995</v>
      </c>
      <c r="F4" s="60">
        <v>638828</v>
      </c>
      <c r="G4" s="60">
        <f>'[1]12mo Spread'!D3</f>
        <v>-58121</v>
      </c>
      <c r="H4" s="58">
        <v>5777.81</v>
      </c>
      <c r="I4" s="58">
        <f>70000/12</f>
        <v>5833.333333333333</v>
      </c>
      <c r="J4" s="59">
        <f>SUM(H4:I4)</f>
        <v>11611.143333333333</v>
      </c>
      <c r="K4" s="58"/>
      <c r="L4" s="59">
        <v>77000</v>
      </c>
      <c r="M4" s="58"/>
      <c r="N4" s="58">
        <v>255267.72</v>
      </c>
      <c r="O4" s="58">
        <f>-1370000/12</f>
        <v>-114166.66666666667</v>
      </c>
      <c r="P4" s="59">
        <f>SUM(N4:O4)</f>
        <v>141101.05333333334</v>
      </c>
      <c r="Q4" s="58"/>
      <c r="R4" s="58">
        <f>4231.74+1000</f>
        <v>5231.74</v>
      </c>
      <c r="S4" s="58">
        <f>8958.28+500</f>
        <v>9458.2800000000007</v>
      </c>
      <c r="T4" s="58">
        <v>139973</v>
      </c>
      <c r="U4" s="59"/>
      <c r="V4" s="63">
        <v>456017</v>
      </c>
      <c r="W4" s="68" t="s">
        <v>7</v>
      </c>
    </row>
    <row r="5" spans="1:23" ht="30" x14ac:dyDescent="0.25">
      <c r="A5" s="57">
        <v>202112</v>
      </c>
      <c r="B5" s="65" t="s">
        <v>2</v>
      </c>
      <c r="C5" s="58">
        <f>T5+S5+R5+P5+L5+J5+D5</f>
        <v>1905191.5966666667</v>
      </c>
      <c r="D5" s="64">
        <f>SUM(E5:G5)</f>
        <v>1521008.06</v>
      </c>
      <c r="E5" s="61">
        <v>618591.06000000006</v>
      </c>
      <c r="F5" s="60">
        <v>969916</v>
      </c>
      <c r="G5" s="60">
        <f>'[1]12mo Spread'!E3</f>
        <v>-67499</v>
      </c>
      <c r="H5" s="58">
        <v>5777.81</v>
      </c>
      <c r="I5" s="58">
        <f>70000/12</f>
        <v>5833.333333333333</v>
      </c>
      <c r="J5" s="59">
        <f>SUM(H5:I5)</f>
        <v>11611.143333333333</v>
      </c>
      <c r="K5" s="58"/>
      <c r="L5" s="59">
        <v>77000</v>
      </c>
      <c r="M5" s="58"/>
      <c r="N5" s="58">
        <v>255076.04</v>
      </c>
      <c r="O5" s="58">
        <f>-1370000/12</f>
        <v>-114166.66666666667</v>
      </c>
      <c r="P5" s="59">
        <f>SUM(N5:O5)</f>
        <v>140909.37333333335</v>
      </c>
      <c r="Q5" s="58"/>
      <c r="R5" s="58">
        <f>4231.74+1000</f>
        <v>5231.74</v>
      </c>
      <c r="S5" s="58">
        <f>8958.28+500</f>
        <v>9458.2800000000007</v>
      </c>
      <c r="T5" s="58">
        <v>139973</v>
      </c>
      <c r="U5" s="59"/>
      <c r="V5" s="63">
        <v>456120</v>
      </c>
      <c r="W5" s="68" t="s">
        <v>8</v>
      </c>
    </row>
    <row r="6" spans="1:23" ht="30" x14ac:dyDescent="0.25">
      <c r="A6" s="57">
        <v>202201</v>
      </c>
      <c r="B6" s="65" t="s">
        <v>2</v>
      </c>
      <c r="C6" s="58">
        <f>T6+S6+R6+P6+L6+J6+D6</f>
        <v>1251754.1766666665</v>
      </c>
      <c r="D6" s="64">
        <f>SUM(E6:G6)</f>
        <v>946924.82</v>
      </c>
      <c r="E6" s="61">
        <v>619125.81999999995</v>
      </c>
      <c r="F6" s="60">
        <v>373011</v>
      </c>
      <c r="G6" s="60">
        <f>'[1]12mo Spread'!F3</f>
        <v>-45212</v>
      </c>
      <c r="H6" s="58">
        <v>5777.81</v>
      </c>
      <c r="I6" s="58">
        <f>70000/12</f>
        <v>5833.333333333333</v>
      </c>
      <c r="J6" s="59">
        <f>SUM(H6:I6)</f>
        <v>11611.143333333333</v>
      </c>
      <c r="K6" s="58"/>
      <c r="L6" s="59">
        <v>77000</v>
      </c>
      <c r="M6" s="58"/>
      <c r="N6" s="58">
        <v>175721.86</v>
      </c>
      <c r="O6" s="58">
        <f>-1370000/12</f>
        <v>-114166.66666666667</v>
      </c>
      <c r="P6" s="59">
        <f>SUM(N6:O6)</f>
        <v>61555.193333333315</v>
      </c>
      <c r="Q6" s="58"/>
      <c r="R6" s="58">
        <f>4231.74+1000</f>
        <v>5231.74</v>
      </c>
      <c r="S6" s="58">
        <f>8958.28+500</f>
        <v>9458.2800000000007</v>
      </c>
      <c r="T6" s="58">
        <v>139973</v>
      </c>
      <c r="U6" s="59"/>
      <c r="V6" s="63">
        <v>456130</v>
      </c>
      <c r="W6" s="68" t="s">
        <v>9</v>
      </c>
    </row>
    <row r="7" spans="1:23" ht="30" x14ac:dyDescent="0.25">
      <c r="A7" s="57">
        <v>202202</v>
      </c>
      <c r="B7" s="65" t="s">
        <v>2</v>
      </c>
      <c r="C7" s="58">
        <f>T7+S7+R7+P7+L7+J7+D7</f>
        <v>1052525.1266666667</v>
      </c>
      <c r="D7" s="64">
        <f>SUM(E7:G7)</f>
        <v>739287.63</v>
      </c>
      <c r="E7" s="61">
        <v>621883.63</v>
      </c>
      <c r="F7" s="60">
        <v>179921</v>
      </c>
      <c r="G7" s="60">
        <f>'[1]12mo Spread'!G3</f>
        <v>-62517</v>
      </c>
      <c r="H7" s="58">
        <v>5777.81</v>
      </c>
      <c r="I7" s="58">
        <f>70000/12</f>
        <v>5833.333333333333</v>
      </c>
      <c r="J7" s="59">
        <f>SUM(H7:I7)</f>
        <v>11611.143333333333</v>
      </c>
      <c r="K7" s="58"/>
      <c r="L7" s="59">
        <v>77000</v>
      </c>
      <c r="M7" s="58"/>
      <c r="N7" s="58">
        <v>184130</v>
      </c>
      <c r="O7" s="58">
        <f>-1370000/12</f>
        <v>-114166.66666666667</v>
      </c>
      <c r="P7" s="59">
        <f>SUM(N7:O7)</f>
        <v>69963.333333333328</v>
      </c>
      <c r="Q7" s="58"/>
      <c r="R7" s="58">
        <f>4231.74+1000</f>
        <v>5231.74</v>
      </c>
      <c r="S7" s="58">
        <f>8958.28+500</f>
        <v>9458.2800000000007</v>
      </c>
      <c r="T7" s="58">
        <v>139973</v>
      </c>
      <c r="U7" s="59"/>
      <c r="V7" s="69" t="s">
        <v>5</v>
      </c>
      <c r="W7" s="68" t="s">
        <v>10</v>
      </c>
    </row>
    <row r="8" spans="1:23" ht="30" x14ac:dyDescent="0.25">
      <c r="A8" s="57">
        <v>202203</v>
      </c>
      <c r="B8" s="65" t="s">
        <v>2</v>
      </c>
      <c r="C8" s="58">
        <f>T8+S8+R8+P8+L8+J8+D8</f>
        <v>1432267.0566666666</v>
      </c>
      <c r="D8" s="64">
        <f>SUM(E8:G8)</f>
        <v>1114192.8899999999</v>
      </c>
      <c r="E8" s="61">
        <v>628139.8899999999</v>
      </c>
      <c r="F8" s="60">
        <v>589602</v>
      </c>
      <c r="G8" s="60">
        <f>'[1]12mo Spread'!H3</f>
        <v>-103549</v>
      </c>
      <c r="H8" s="58">
        <v>5777.81</v>
      </c>
      <c r="I8" s="58">
        <f>70000/12</f>
        <v>5833.333333333333</v>
      </c>
      <c r="J8" s="59">
        <f>SUM(H8:I8)</f>
        <v>11611.143333333333</v>
      </c>
      <c r="K8" s="58"/>
      <c r="L8" s="59">
        <v>77000</v>
      </c>
      <c r="M8" s="58"/>
      <c r="N8" s="58">
        <v>188966.67</v>
      </c>
      <c r="O8" s="58">
        <f>-1370000/12</f>
        <v>-114166.66666666667</v>
      </c>
      <c r="P8" s="59">
        <f>SUM(N8:O8)</f>
        <v>74800.003333333341</v>
      </c>
      <c r="Q8" s="58"/>
      <c r="R8" s="58">
        <f>4231.74+1000</f>
        <v>5231.74</v>
      </c>
      <c r="S8" s="58">
        <f>8958.28+500</f>
        <v>9458.2800000000007</v>
      </c>
      <c r="T8" s="58">
        <v>139973</v>
      </c>
      <c r="U8" s="59"/>
      <c r="V8" s="69" t="s">
        <v>6</v>
      </c>
      <c r="W8" s="68" t="s">
        <v>11</v>
      </c>
    </row>
    <row r="9" spans="1:23" ht="30" x14ac:dyDescent="0.25">
      <c r="A9" s="57">
        <v>202204</v>
      </c>
      <c r="B9" s="65" t="s">
        <v>2</v>
      </c>
      <c r="C9" s="58">
        <f>T9+S9+R9+P9+L9+J9+D9</f>
        <v>1224139.8866666667</v>
      </c>
      <c r="D9" s="64">
        <f>SUM(E9:G9)</f>
        <v>890267.91</v>
      </c>
      <c r="E9" s="61">
        <v>636064.91</v>
      </c>
      <c r="F9" s="60">
        <v>355285</v>
      </c>
      <c r="G9" s="60">
        <f>'[1]12mo Spread'!I3</f>
        <v>-101082</v>
      </c>
      <c r="H9" s="58">
        <v>5777.81</v>
      </c>
      <c r="I9" s="58">
        <f>70000/12</f>
        <v>5833.333333333333</v>
      </c>
      <c r="J9" s="59">
        <f>SUM(H9:I9)</f>
        <v>11611.143333333333</v>
      </c>
      <c r="K9" s="58"/>
      <c r="L9" s="59">
        <v>77000</v>
      </c>
      <c r="M9" s="58"/>
      <c r="N9" s="58">
        <v>204764.48</v>
      </c>
      <c r="O9" s="58">
        <f>-1370000/12</f>
        <v>-114166.66666666667</v>
      </c>
      <c r="P9" s="59">
        <f>SUM(N9:O9)</f>
        <v>90597.813333333339</v>
      </c>
      <c r="Q9" s="58"/>
      <c r="R9" s="58">
        <f>4231.74+1000</f>
        <v>5231.74</v>
      </c>
      <c r="S9" s="58">
        <f>8958.28+500</f>
        <v>9458.2800000000007</v>
      </c>
      <c r="T9" s="58">
        <v>139973</v>
      </c>
      <c r="U9" s="59"/>
      <c r="V9" s="63">
        <v>456705</v>
      </c>
      <c r="W9" s="68" t="s">
        <v>12</v>
      </c>
    </row>
    <row r="10" spans="1:23" x14ac:dyDescent="0.25">
      <c r="A10" s="57">
        <v>202205</v>
      </c>
      <c r="B10" s="65" t="s">
        <v>2</v>
      </c>
      <c r="C10" s="58">
        <f>T10+S10+R10+P10+L10+J10+D10</f>
        <v>1196231.6566666667</v>
      </c>
      <c r="D10" s="64">
        <f>SUM(E10:G10)</f>
        <v>858968.01</v>
      </c>
      <c r="E10" s="61">
        <v>640686.01</v>
      </c>
      <c r="F10" s="60">
        <v>306341</v>
      </c>
      <c r="G10" s="60">
        <f>'[1]12mo Spread'!J3</f>
        <v>-88059</v>
      </c>
      <c r="H10" s="58">
        <v>5777.81</v>
      </c>
      <c r="I10" s="58">
        <f>70000/12</f>
        <v>5833.333333333333</v>
      </c>
      <c r="J10" s="59">
        <f>SUM(H10:I10)</f>
        <v>11611.143333333333</v>
      </c>
      <c r="K10" s="58"/>
      <c r="L10" s="59">
        <v>77000</v>
      </c>
      <c r="M10" s="58"/>
      <c r="N10" s="58">
        <v>208156.15</v>
      </c>
      <c r="O10" s="58">
        <f>-1370000/12</f>
        <v>-114166.66666666667</v>
      </c>
      <c r="P10" s="59">
        <f>SUM(N10:O10)</f>
        <v>93989.483333333323</v>
      </c>
      <c r="Q10" s="58"/>
      <c r="R10" s="58">
        <f>4231.74+1000</f>
        <v>5231.74</v>
      </c>
      <c r="S10" s="58">
        <f>8958.28+500</f>
        <v>9458.2800000000007</v>
      </c>
      <c r="T10" s="58">
        <v>139973</v>
      </c>
      <c r="U10" s="59"/>
      <c r="V10" s="58"/>
    </row>
    <row r="11" spans="1:23" x14ac:dyDescent="0.25">
      <c r="A11" s="57">
        <v>202206</v>
      </c>
      <c r="B11" s="65" t="s">
        <v>2</v>
      </c>
      <c r="C11" s="58">
        <f>T11+S11+R11+P11+L11+J11+D11</f>
        <v>1087720.9666666666</v>
      </c>
      <c r="D11" s="64">
        <f>SUM(E11:G11)</f>
        <v>773326.61</v>
      </c>
      <c r="E11" s="61">
        <v>645127.61</v>
      </c>
      <c r="F11" s="60">
        <v>185404</v>
      </c>
      <c r="G11" s="60">
        <f>'[1]12mo Spread'!K3</f>
        <v>-57205</v>
      </c>
      <c r="H11" s="58">
        <v>5777.81</v>
      </c>
      <c r="I11" s="58">
        <f>70000/12</f>
        <v>5833.333333333333</v>
      </c>
      <c r="J11" s="59">
        <f>SUM(H11:I11)</f>
        <v>11611.143333333333</v>
      </c>
      <c r="K11" s="58"/>
      <c r="L11" s="59">
        <v>77000</v>
      </c>
      <c r="M11" s="58"/>
      <c r="N11" s="58">
        <v>185286.86</v>
      </c>
      <c r="O11" s="58">
        <f>-1370000/12</f>
        <v>-114166.66666666667</v>
      </c>
      <c r="P11" s="59">
        <f>SUM(N11:O11)</f>
        <v>71120.193333333315</v>
      </c>
      <c r="Q11" s="58"/>
      <c r="R11" s="58">
        <f>4231.74+1000</f>
        <v>5231.74</v>
      </c>
      <c r="S11" s="58">
        <f>8958.28+500</f>
        <v>9458.2800000000007</v>
      </c>
      <c r="T11" s="58">
        <v>139973</v>
      </c>
      <c r="U11" s="59"/>
      <c r="V11" s="67" t="s">
        <v>25</v>
      </c>
    </row>
    <row r="12" spans="1:23" x14ac:dyDescent="0.25">
      <c r="A12" s="57">
        <v>202207</v>
      </c>
      <c r="B12" s="65" t="s">
        <v>2</v>
      </c>
      <c r="C12" s="58">
        <f>T12+S12+R12+P12+L12+J12+D12</f>
        <v>1170277.1766666668</v>
      </c>
      <c r="D12" s="64">
        <f>SUM(E12:G12)</f>
        <v>816287.25</v>
      </c>
      <c r="E12" s="61">
        <v>655508.25</v>
      </c>
      <c r="F12" s="60">
        <v>212053</v>
      </c>
      <c r="G12" s="60">
        <f>'[1]12mo Spread'!L3</f>
        <v>-51274</v>
      </c>
      <c r="H12" s="58">
        <v>5777.81</v>
      </c>
      <c r="I12" s="58">
        <f>70000/12</f>
        <v>5833.333333333333</v>
      </c>
      <c r="J12" s="59">
        <f>SUM(H12:I12)</f>
        <v>11611.143333333333</v>
      </c>
      <c r="K12" s="58"/>
      <c r="L12" s="59">
        <v>77000</v>
      </c>
      <c r="M12" s="58"/>
      <c r="N12" s="58">
        <v>224882.43</v>
      </c>
      <c r="O12" s="58">
        <f>-1370000/12</f>
        <v>-114166.66666666667</v>
      </c>
      <c r="P12" s="59">
        <f>SUM(N12:O12)</f>
        <v>110715.76333333332</v>
      </c>
      <c r="Q12" s="58"/>
      <c r="R12" s="58">
        <f>4231.74+1000</f>
        <v>5231.74</v>
      </c>
      <c r="S12" s="58">
        <f>8958.28+500</f>
        <v>9458.2800000000007</v>
      </c>
      <c r="T12" s="58">
        <v>139973</v>
      </c>
      <c r="U12" s="59"/>
      <c r="V12" s="66" t="s">
        <v>68</v>
      </c>
      <c r="W12" s="66"/>
    </row>
    <row r="13" spans="1:23" x14ac:dyDescent="0.25">
      <c r="A13" s="57">
        <v>202208</v>
      </c>
      <c r="B13" s="65" t="s">
        <v>2</v>
      </c>
      <c r="C13" s="58">
        <f>T13+S13+R13+P13+L13+J13+D13</f>
        <v>1388306.4266666668</v>
      </c>
      <c r="D13" s="64">
        <f>SUM(E13:G13)</f>
        <v>1050217.83</v>
      </c>
      <c r="E13" s="61">
        <v>619306.83000000007</v>
      </c>
      <c r="F13" s="60">
        <v>508468</v>
      </c>
      <c r="G13" s="60">
        <f>'[1]12mo Spread'!M3</f>
        <v>-77557</v>
      </c>
      <c r="H13" s="58">
        <v>5777.81</v>
      </c>
      <c r="I13" s="58">
        <f>70000/12</f>
        <v>5833.333333333333</v>
      </c>
      <c r="J13" s="59">
        <f>SUM(H13:I13)</f>
        <v>11611.143333333333</v>
      </c>
      <c r="K13" s="58"/>
      <c r="L13" s="59">
        <v>77000</v>
      </c>
      <c r="M13" s="58"/>
      <c r="N13" s="58">
        <v>208981.1</v>
      </c>
      <c r="O13" s="58">
        <f>-1370000/12</f>
        <v>-114166.66666666667</v>
      </c>
      <c r="P13" s="59">
        <f>SUM(N13:O13)</f>
        <v>94814.433333333334</v>
      </c>
      <c r="Q13" s="58"/>
      <c r="R13" s="58">
        <f>4231.74+1000</f>
        <v>5231.74</v>
      </c>
      <c r="S13" s="58">
        <f>8958.28+500</f>
        <v>9458.2800000000007</v>
      </c>
      <c r="T13" s="58">
        <v>139973</v>
      </c>
      <c r="U13" s="59"/>
      <c r="V13" s="66" t="s">
        <v>67</v>
      </c>
      <c r="W13" s="66"/>
    </row>
    <row r="14" spans="1:23" x14ac:dyDescent="0.25">
      <c r="A14" s="57">
        <v>202209</v>
      </c>
      <c r="B14" s="65" t="s">
        <v>2</v>
      </c>
      <c r="C14" s="58">
        <f>T14+S14+R14+P14+L14+J14+D14</f>
        <v>1644244.0566666666</v>
      </c>
      <c r="D14" s="64">
        <f>SUM(E14:G14)</f>
        <v>1304006.6299999999</v>
      </c>
      <c r="E14" s="61">
        <v>612111.62999999989</v>
      </c>
      <c r="F14" s="60">
        <v>777379</v>
      </c>
      <c r="G14" s="60">
        <f>'[1]12mo Spread'!N3</f>
        <v>-85484</v>
      </c>
      <c r="H14" s="58">
        <v>5777.81</v>
      </c>
      <c r="I14" s="58">
        <f>70000/12</f>
        <v>5833.333333333333</v>
      </c>
      <c r="J14" s="59">
        <f>SUM(H14:I14)</f>
        <v>11611.143333333333</v>
      </c>
      <c r="K14" s="58"/>
      <c r="L14" s="59">
        <v>77000</v>
      </c>
      <c r="M14" s="58"/>
      <c r="N14" s="58">
        <v>211129.93</v>
      </c>
      <c r="O14" s="58">
        <f>-1370000/12</f>
        <v>-114166.66666666667</v>
      </c>
      <c r="P14" s="59">
        <f>SUM(N14:O14)</f>
        <v>96963.263333333321</v>
      </c>
      <c r="Q14" s="58"/>
      <c r="R14" s="58">
        <f>4231.74+1000</f>
        <v>5231.74</v>
      </c>
      <c r="S14" s="58">
        <f>8958.28+500</f>
        <v>9458.2800000000007</v>
      </c>
      <c r="T14" s="58">
        <v>139973</v>
      </c>
      <c r="U14" s="59"/>
      <c r="V14" s="58"/>
    </row>
    <row r="15" spans="1:23" ht="15.75" thickBot="1" x14ac:dyDescent="0.3">
      <c r="C15" s="58"/>
      <c r="D15" s="58"/>
      <c r="E15" s="58"/>
      <c r="F15" s="58"/>
      <c r="G15" s="58"/>
      <c r="H15" s="58"/>
      <c r="I15" s="58"/>
      <c r="J15" s="59"/>
      <c r="K15" s="58"/>
      <c r="L15" s="59"/>
      <c r="M15" s="58"/>
      <c r="N15" s="58"/>
      <c r="O15" s="58"/>
      <c r="P15" s="59"/>
      <c r="Q15" s="58"/>
      <c r="R15" s="58"/>
      <c r="S15" s="58"/>
      <c r="T15" s="58"/>
      <c r="U15" s="58"/>
    </row>
    <row r="16" spans="1:23" ht="15.75" thickBot="1" x14ac:dyDescent="0.3">
      <c r="A16" s="63" t="s">
        <v>31</v>
      </c>
      <c r="C16" s="62">
        <f>SUM(C3:C14)</f>
        <v>16145593.540000001</v>
      </c>
      <c r="D16" s="58">
        <f>SUM(D3:D14)</f>
        <v>12078985.829999998</v>
      </c>
      <c r="E16" s="61">
        <f>SUM(E3:E14)</f>
        <v>7428002.8300000001</v>
      </c>
      <c r="F16" s="60">
        <f>SUM(F3:F14)</f>
        <v>5473823</v>
      </c>
      <c r="G16" s="60">
        <f>SUM(G3:G14)</f>
        <v>-822840</v>
      </c>
      <c r="H16" s="58">
        <f>SUM(H3:H14)</f>
        <v>69993.45</v>
      </c>
      <c r="I16" s="58">
        <f>SUM(I3:I14)</f>
        <v>70000.000000000015</v>
      </c>
      <c r="J16" s="59">
        <f>SUM(J3:J14)</f>
        <v>139993.45000000004</v>
      </c>
      <c r="K16" s="58"/>
      <c r="L16" s="59">
        <f>SUM(L3:L14)</f>
        <v>924000</v>
      </c>
      <c r="M16" s="58"/>
      <c r="N16" s="58">
        <f>SUM(N3:N14)</f>
        <v>2516657.0199999996</v>
      </c>
      <c r="O16" s="58">
        <f>SUM(O3:O14)</f>
        <v>-1370000</v>
      </c>
      <c r="P16" s="59">
        <f>SUM(P3:P14)</f>
        <v>1146657.02</v>
      </c>
      <c r="Q16" s="58"/>
      <c r="R16" s="58">
        <f>SUM(R3:R14)</f>
        <v>62780.879999999983</v>
      </c>
      <c r="S16" s="58">
        <f>SUM(S3:S14)</f>
        <v>113500.36</v>
      </c>
      <c r="T16" s="58">
        <f>SUM(T3:T14)</f>
        <v>1679676</v>
      </c>
      <c r="U16" s="59"/>
    </row>
    <row r="17" spans="6:6" x14ac:dyDescent="0.25">
      <c r="F17" s="58">
        <f>F16+E16</f>
        <v>12901825.83</v>
      </c>
    </row>
  </sheetData>
  <mergeCells count="2">
    <mergeCell ref="V12:W12"/>
    <mergeCell ref="V13:W13"/>
  </mergeCells>
  <pageMargins left="0.45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A447A-9AD8-471A-8537-179B6DC1D353}">
  <dimension ref="A1:D27"/>
  <sheetViews>
    <sheetView workbookViewId="0">
      <selection activeCell="A5" sqref="A5:A17"/>
    </sheetView>
  </sheetViews>
  <sheetFormatPr defaultRowHeight="15" x14ac:dyDescent="0.25"/>
  <cols>
    <col min="1" max="1" width="10.7109375" customWidth="1"/>
    <col min="2" max="4" width="11.7109375" customWidth="1"/>
  </cols>
  <sheetData>
    <row r="1" spans="1:4" x14ac:dyDescent="0.25">
      <c r="A1" s="1" t="s">
        <v>21</v>
      </c>
    </row>
    <row r="2" spans="1:4" x14ac:dyDescent="0.25">
      <c r="A2" s="1"/>
    </row>
    <row r="3" spans="1:4" x14ac:dyDescent="0.25">
      <c r="B3" s="2" t="s">
        <v>4</v>
      </c>
      <c r="C3" s="2" t="s">
        <v>18</v>
      </c>
      <c r="D3" s="2"/>
    </row>
    <row r="4" spans="1:4" x14ac:dyDescent="0.25">
      <c r="B4" s="2" t="s">
        <v>17</v>
      </c>
      <c r="C4" s="2" t="s">
        <v>19</v>
      </c>
      <c r="D4" s="2" t="s">
        <v>18</v>
      </c>
    </row>
    <row r="5" spans="1:4" x14ac:dyDescent="0.25">
      <c r="A5" s="10" t="s">
        <v>0</v>
      </c>
      <c r="B5" s="10" t="s">
        <v>22</v>
      </c>
      <c r="C5" s="10" t="s">
        <v>23</v>
      </c>
      <c r="D5" s="10" t="s">
        <v>20</v>
      </c>
    </row>
    <row r="6" spans="1:4" x14ac:dyDescent="0.25">
      <c r="A6">
        <v>201901</v>
      </c>
      <c r="B6" s="3">
        <v>275</v>
      </c>
      <c r="C6" s="13">
        <v>2</v>
      </c>
      <c r="D6" s="14">
        <f>B6*C6*1000</f>
        <v>550000</v>
      </c>
    </row>
    <row r="7" spans="1:4" x14ac:dyDescent="0.25">
      <c r="A7">
        <v>201902</v>
      </c>
      <c r="B7" s="3">
        <v>275</v>
      </c>
      <c r="C7" s="13">
        <v>2</v>
      </c>
      <c r="D7" s="14">
        <f t="shared" ref="D7:D17" si="0">B7*C7*1000</f>
        <v>550000</v>
      </c>
    </row>
    <row r="8" spans="1:4" x14ac:dyDescent="0.25">
      <c r="A8">
        <v>201903</v>
      </c>
      <c r="B8" s="3">
        <v>275</v>
      </c>
      <c r="C8" s="13">
        <v>2</v>
      </c>
      <c r="D8" s="14">
        <f t="shared" si="0"/>
        <v>550000</v>
      </c>
    </row>
    <row r="9" spans="1:4" x14ac:dyDescent="0.25">
      <c r="A9">
        <v>201904</v>
      </c>
      <c r="B9" s="3">
        <v>275</v>
      </c>
      <c r="C9" s="13">
        <v>2</v>
      </c>
      <c r="D9" s="14">
        <f t="shared" si="0"/>
        <v>550000</v>
      </c>
    </row>
    <row r="10" spans="1:4" x14ac:dyDescent="0.25">
      <c r="A10">
        <v>201905</v>
      </c>
      <c r="B10" s="3">
        <v>275</v>
      </c>
      <c r="C10" s="13">
        <v>2</v>
      </c>
      <c r="D10" s="14">
        <f t="shared" si="0"/>
        <v>550000</v>
      </c>
    </row>
    <row r="11" spans="1:4" x14ac:dyDescent="0.25">
      <c r="A11">
        <v>201906</v>
      </c>
      <c r="B11" s="3">
        <v>275</v>
      </c>
      <c r="C11" s="13">
        <v>2</v>
      </c>
      <c r="D11" s="14">
        <f t="shared" si="0"/>
        <v>550000</v>
      </c>
    </row>
    <row r="12" spans="1:4" x14ac:dyDescent="0.25">
      <c r="A12">
        <v>201907</v>
      </c>
      <c r="B12" s="3">
        <v>275</v>
      </c>
      <c r="C12" s="13">
        <v>2</v>
      </c>
      <c r="D12" s="14">
        <f t="shared" si="0"/>
        <v>550000</v>
      </c>
    </row>
    <row r="13" spans="1:4" x14ac:dyDescent="0.25">
      <c r="A13">
        <v>201908</v>
      </c>
      <c r="B13" s="3">
        <v>271</v>
      </c>
      <c r="C13" s="13">
        <v>2</v>
      </c>
      <c r="D13" s="14">
        <f t="shared" si="0"/>
        <v>542000</v>
      </c>
    </row>
    <row r="14" spans="1:4" x14ac:dyDescent="0.25">
      <c r="A14">
        <v>201909</v>
      </c>
      <c r="B14" s="3">
        <v>271</v>
      </c>
      <c r="C14" s="13">
        <v>2</v>
      </c>
      <c r="D14" s="14">
        <f t="shared" si="0"/>
        <v>542000</v>
      </c>
    </row>
    <row r="15" spans="1:4" x14ac:dyDescent="0.25">
      <c r="A15">
        <v>201910</v>
      </c>
      <c r="B15" s="3">
        <v>269</v>
      </c>
      <c r="C15" s="13">
        <v>2</v>
      </c>
      <c r="D15" s="14">
        <f t="shared" si="0"/>
        <v>538000</v>
      </c>
    </row>
    <row r="16" spans="1:4" x14ac:dyDescent="0.25">
      <c r="A16">
        <v>201911</v>
      </c>
      <c r="B16" s="3">
        <v>269</v>
      </c>
      <c r="C16" s="13">
        <v>2</v>
      </c>
      <c r="D16" s="14">
        <f t="shared" si="0"/>
        <v>538000</v>
      </c>
    </row>
    <row r="17" spans="1:4" x14ac:dyDescent="0.25">
      <c r="A17">
        <v>201912</v>
      </c>
      <c r="B17" s="3">
        <v>269</v>
      </c>
      <c r="C17" s="13">
        <v>2</v>
      </c>
      <c r="D17" s="14">
        <f t="shared" si="0"/>
        <v>538000</v>
      </c>
    </row>
    <row r="19" spans="1:4" x14ac:dyDescent="0.25">
      <c r="B19" s="15"/>
      <c r="C19" s="16" t="s">
        <v>24</v>
      </c>
      <c r="D19" s="17">
        <f>SUM(D6:D17)</f>
        <v>6548000</v>
      </c>
    </row>
    <row r="21" spans="1:4" x14ac:dyDescent="0.25">
      <c r="A21" s="1"/>
      <c r="B21" s="6"/>
    </row>
    <row r="22" spans="1:4" x14ac:dyDescent="0.25">
      <c r="A22" s="1"/>
      <c r="B22" s="6"/>
    </row>
    <row r="23" spans="1:4" x14ac:dyDescent="0.25">
      <c r="A23" s="1"/>
      <c r="B23" s="6"/>
    </row>
    <row r="24" spans="1:4" x14ac:dyDescent="0.25">
      <c r="A24" s="1"/>
      <c r="B24" s="6"/>
    </row>
    <row r="25" spans="1:4" x14ac:dyDescent="0.25">
      <c r="A25" s="5"/>
      <c r="B25" s="6"/>
    </row>
    <row r="26" spans="1:4" x14ac:dyDescent="0.25">
      <c r="A26" s="5"/>
      <c r="B26" s="6"/>
    </row>
    <row r="27" spans="1:4" x14ac:dyDescent="0.25">
      <c r="A27" s="1"/>
      <c r="B2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5A8C-37FE-4680-9BE0-CE390142F2DE}">
  <dimension ref="A1:C16"/>
  <sheetViews>
    <sheetView workbookViewId="0">
      <selection activeCell="B17" sqref="B17"/>
    </sheetView>
  </sheetViews>
  <sheetFormatPr defaultRowHeight="15" x14ac:dyDescent="0.25"/>
  <cols>
    <col min="2" max="3" width="12.7109375" customWidth="1"/>
  </cols>
  <sheetData>
    <row r="1" spans="1:3" x14ac:dyDescent="0.25">
      <c r="A1" s="1" t="s">
        <v>28</v>
      </c>
    </row>
    <row r="2" spans="1:3" x14ac:dyDescent="0.25">
      <c r="A2" s="10" t="s">
        <v>0</v>
      </c>
      <c r="B2" s="10" t="s">
        <v>26</v>
      </c>
      <c r="C2" s="10" t="s">
        <v>27</v>
      </c>
    </row>
    <row r="3" spans="1:3" x14ac:dyDescent="0.25">
      <c r="A3">
        <v>201801</v>
      </c>
      <c r="B3" s="14">
        <v>64889</v>
      </c>
      <c r="C3" s="14">
        <v>59781</v>
      </c>
    </row>
    <row r="4" spans="1:3" x14ac:dyDescent="0.25">
      <c r="A4">
        <v>201802</v>
      </c>
      <c r="B4" s="14">
        <v>75625</v>
      </c>
      <c r="C4" s="14">
        <v>69671</v>
      </c>
    </row>
    <row r="5" spans="1:3" x14ac:dyDescent="0.25">
      <c r="A5">
        <v>201803</v>
      </c>
      <c r="B5" s="14">
        <v>60100</v>
      </c>
      <c r="C5" s="14">
        <v>55369</v>
      </c>
    </row>
    <row r="6" spans="1:3" x14ac:dyDescent="0.25">
      <c r="A6">
        <v>201804</v>
      </c>
      <c r="B6" s="14">
        <v>55278</v>
      </c>
      <c r="C6" s="14">
        <v>50927</v>
      </c>
    </row>
    <row r="7" spans="1:3" x14ac:dyDescent="0.25">
      <c r="A7">
        <v>201805</v>
      </c>
      <c r="B7" s="14">
        <v>50254</v>
      </c>
      <c r="C7" s="14">
        <v>46298</v>
      </c>
    </row>
    <row r="8" spans="1:3" x14ac:dyDescent="0.25">
      <c r="A8">
        <v>201806</v>
      </c>
      <c r="B8" s="14">
        <v>50891</v>
      </c>
      <c r="C8" s="14">
        <v>46885</v>
      </c>
    </row>
    <row r="9" spans="1:3" x14ac:dyDescent="0.25">
      <c r="A9">
        <v>201807</v>
      </c>
      <c r="B9" s="14">
        <v>62170</v>
      </c>
      <c r="C9" s="14">
        <v>57276</v>
      </c>
    </row>
    <row r="10" spans="1:3" x14ac:dyDescent="0.25">
      <c r="A10">
        <v>201808</v>
      </c>
      <c r="B10" s="14">
        <v>64495</v>
      </c>
      <c r="C10" s="14">
        <v>59418</v>
      </c>
    </row>
    <row r="11" spans="1:3" x14ac:dyDescent="0.25">
      <c r="A11">
        <v>201809</v>
      </c>
      <c r="B11" s="14">
        <v>48391</v>
      </c>
      <c r="C11" s="14">
        <v>44581</v>
      </c>
    </row>
    <row r="12" spans="1:3" x14ac:dyDescent="0.25">
      <c r="A12">
        <v>201810</v>
      </c>
      <c r="B12" s="14">
        <v>53509</v>
      </c>
      <c r="C12" s="14">
        <v>49296</v>
      </c>
    </row>
    <row r="13" spans="1:3" x14ac:dyDescent="0.25">
      <c r="A13">
        <v>201811</v>
      </c>
      <c r="B13" s="14">
        <v>58872</v>
      </c>
      <c r="C13" s="14">
        <v>54238</v>
      </c>
    </row>
    <row r="14" spans="1:3" x14ac:dyDescent="0.25">
      <c r="A14" s="21">
        <v>201812</v>
      </c>
      <c r="B14" s="22">
        <v>67234</v>
      </c>
      <c r="C14" s="22">
        <v>62015</v>
      </c>
    </row>
    <row r="15" spans="1:3" x14ac:dyDescent="0.25">
      <c r="B15" s="14">
        <f>SUM(B3:B14)</f>
        <v>711708</v>
      </c>
      <c r="C15" s="14">
        <f>SUM(C3:C14)</f>
        <v>655755</v>
      </c>
    </row>
    <row r="16" spans="1:3" x14ac:dyDescent="0.25">
      <c r="B16" t="s">
        <v>16</v>
      </c>
      <c r="C16" s="20">
        <f>B15+C15</f>
        <v>1367463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8666-05D4-453D-8B39-A1B9CD56E78B}">
  <dimension ref="A1:D10"/>
  <sheetViews>
    <sheetView workbookViewId="0">
      <selection activeCell="D4" sqref="D4"/>
    </sheetView>
  </sheetViews>
  <sheetFormatPr defaultRowHeight="15" x14ac:dyDescent="0.25"/>
  <cols>
    <col min="1" max="1" width="10.7109375" customWidth="1"/>
    <col min="2" max="2" width="15.7109375" customWidth="1"/>
    <col min="4" max="4" width="15.7109375" customWidth="1"/>
  </cols>
  <sheetData>
    <row r="1" spans="1:4" x14ac:dyDescent="0.25">
      <c r="A1" s="1" t="s">
        <v>33</v>
      </c>
    </row>
    <row r="3" spans="1:4" ht="30" customHeight="1" x14ac:dyDescent="0.25">
      <c r="B3" s="38" t="s">
        <v>37</v>
      </c>
      <c r="D3" s="38" t="s">
        <v>35</v>
      </c>
    </row>
    <row r="4" spans="1:4" x14ac:dyDescent="0.25">
      <c r="A4">
        <v>2016</v>
      </c>
      <c r="B4" s="14"/>
      <c r="D4" s="39">
        <v>2308978.3399999989</v>
      </c>
    </row>
    <row r="5" spans="1:4" x14ac:dyDescent="0.25">
      <c r="A5">
        <v>2017</v>
      </c>
      <c r="B5" s="44">
        <v>3193164.517</v>
      </c>
      <c r="C5" s="40"/>
      <c r="D5" s="39">
        <v>2894268.879999999</v>
      </c>
    </row>
    <row r="6" spans="1:4" x14ac:dyDescent="0.25">
      <c r="A6">
        <v>2018</v>
      </c>
      <c r="B6" s="44">
        <v>5320163.2600000007</v>
      </c>
      <c r="C6" s="40"/>
      <c r="D6" s="39">
        <v>5558614.2100000028</v>
      </c>
    </row>
    <row r="7" spans="1:4" x14ac:dyDescent="0.25">
      <c r="A7">
        <v>2019</v>
      </c>
      <c r="B7" s="44">
        <f>5473825</f>
        <v>5473825</v>
      </c>
      <c r="C7" s="40"/>
      <c r="D7" s="39">
        <v>5464805.9700000044</v>
      </c>
    </row>
    <row r="8" spans="1:4" x14ac:dyDescent="0.25">
      <c r="A8" s="5" t="s">
        <v>34</v>
      </c>
      <c r="B8" s="45">
        <f>AVERAGE(B5:B7)</f>
        <v>4662384.2590000005</v>
      </c>
      <c r="C8" s="40"/>
      <c r="D8" s="41">
        <f>AVERAGE(D5:D7)</f>
        <v>4639229.6866666684</v>
      </c>
    </row>
    <row r="10" spans="1:4" x14ac:dyDescent="0.25">
      <c r="A10" s="5" t="s">
        <v>38</v>
      </c>
      <c r="B10" s="37">
        <f>B8-B7</f>
        <v>-811440.74099999946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7CBA5-C2B6-4C91-850A-12114E1AC141}">
  <dimension ref="A2:P19"/>
  <sheetViews>
    <sheetView workbookViewId="0"/>
  </sheetViews>
  <sheetFormatPr defaultRowHeight="15" x14ac:dyDescent="0.25"/>
  <cols>
    <col min="1" max="1" width="20.42578125" bestFit="1" customWidth="1"/>
    <col min="2" max="2" width="11.7109375" customWidth="1"/>
    <col min="3" max="14" width="10.7109375" customWidth="1"/>
    <col min="15" max="15" width="11.7109375" customWidth="1"/>
    <col min="16" max="16" width="40.7109375" customWidth="1"/>
  </cols>
  <sheetData>
    <row r="2" spans="1:16" x14ac:dyDescent="0.25">
      <c r="A2" s="28" t="s">
        <v>40</v>
      </c>
      <c r="B2" s="10" t="s">
        <v>45</v>
      </c>
      <c r="C2" s="10" t="s">
        <v>43</v>
      </c>
      <c r="D2" s="10" t="s">
        <v>44</v>
      </c>
      <c r="E2" s="10" t="s">
        <v>46</v>
      </c>
      <c r="F2" s="10" t="s">
        <v>47</v>
      </c>
      <c r="G2" s="10" t="s">
        <v>48</v>
      </c>
      <c r="H2" s="10" t="s">
        <v>49</v>
      </c>
      <c r="I2" s="10" t="s">
        <v>50</v>
      </c>
      <c r="J2" s="10" t="s">
        <v>51</v>
      </c>
      <c r="K2" s="10" t="s">
        <v>52</v>
      </c>
      <c r="L2" s="10" t="s">
        <v>53</v>
      </c>
      <c r="M2" s="10" t="s">
        <v>54</v>
      </c>
      <c r="N2" s="10" t="s">
        <v>55</v>
      </c>
      <c r="O2" s="48" t="s">
        <v>56</v>
      </c>
    </row>
    <row r="3" spans="1:16" x14ac:dyDescent="0.25">
      <c r="A3" s="43" t="s">
        <v>36</v>
      </c>
      <c r="B3" s="4">
        <v>-811441</v>
      </c>
      <c r="C3" s="4">
        <f>ROUND($B3*C9,0)</f>
        <v>-24931</v>
      </c>
      <c r="D3" s="4">
        <f t="shared" ref="D3:N3" si="0">ROUND($B3*D9,0)</f>
        <v>-57316</v>
      </c>
      <c r="E3" s="4">
        <f t="shared" si="0"/>
        <v>-66564</v>
      </c>
      <c r="F3" s="4">
        <f t="shared" si="0"/>
        <v>-44586</v>
      </c>
      <c r="G3" s="4">
        <f t="shared" si="0"/>
        <v>-61650</v>
      </c>
      <c r="H3" s="4">
        <f t="shared" si="0"/>
        <v>-102115</v>
      </c>
      <c r="I3" s="4">
        <f t="shared" si="0"/>
        <v>-99682</v>
      </c>
      <c r="J3" s="4">
        <f t="shared" si="0"/>
        <v>-86839</v>
      </c>
      <c r="K3" s="4">
        <f t="shared" si="0"/>
        <v>-56412</v>
      </c>
      <c r="L3" s="4">
        <f t="shared" si="0"/>
        <v>-50564</v>
      </c>
      <c r="M3" s="4">
        <f t="shared" si="0"/>
        <v>-76483</v>
      </c>
      <c r="N3" s="4">
        <f t="shared" si="0"/>
        <v>-84299</v>
      </c>
      <c r="O3" s="8">
        <f>SUM(C3:N3)</f>
        <v>-811441</v>
      </c>
    </row>
    <row r="4" spans="1:16" x14ac:dyDescent="0.25">
      <c r="A4" t="s">
        <v>41</v>
      </c>
      <c r="B4" s="4">
        <v>-1370000</v>
      </c>
      <c r="C4" s="4">
        <f>$B4/12</f>
        <v>-114166.66666666667</v>
      </c>
      <c r="D4" s="4">
        <f t="shared" ref="D4:N4" si="1">$B4/12</f>
        <v>-114166.66666666667</v>
      </c>
      <c r="E4" s="4">
        <f t="shared" si="1"/>
        <v>-114166.66666666667</v>
      </c>
      <c r="F4" s="4">
        <f t="shared" si="1"/>
        <v>-114166.66666666667</v>
      </c>
      <c r="G4" s="4">
        <f t="shared" si="1"/>
        <v>-114166.66666666667</v>
      </c>
      <c r="H4" s="4">
        <f t="shared" si="1"/>
        <v>-114166.66666666667</v>
      </c>
      <c r="I4" s="4">
        <f t="shared" si="1"/>
        <v>-114166.66666666667</v>
      </c>
      <c r="J4" s="4">
        <f t="shared" si="1"/>
        <v>-114166.66666666667</v>
      </c>
      <c r="K4" s="4">
        <f t="shared" si="1"/>
        <v>-114166.66666666667</v>
      </c>
      <c r="L4" s="4">
        <f t="shared" si="1"/>
        <v>-114166.66666666667</v>
      </c>
      <c r="M4" s="4">
        <f t="shared" si="1"/>
        <v>-114166.66666666667</v>
      </c>
      <c r="N4" s="4">
        <f t="shared" si="1"/>
        <v>-114166.66666666667</v>
      </c>
      <c r="O4" s="8">
        <f>SUM(C4:N4)</f>
        <v>-1370000</v>
      </c>
    </row>
    <row r="5" spans="1:16" x14ac:dyDescent="0.25">
      <c r="A5" s="21" t="s">
        <v>42</v>
      </c>
      <c r="B5" s="46">
        <v>70000</v>
      </c>
      <c r="C5" s="46">
        <f>$B5/12</f>
        <v>5833.333333333333</v>
      </c>
      <c r="D5" s="46">
        <f t="shared" ref="D5:N5" si="2">$B5/12</f>
        <v>5833.333333333333</v>
      </c>
      <c r="E5" s="46">
        <f t="shared" si="2"/>
        <v>5833.333333333333</v>
      </c>
      <c r="F5" s="46">
        <f t="shared" si="2"/>
        <v>5833.333333333333</v>
      </c>
      <c r="G5" s="46">
        <f t="shared" si="2"/>
        <v>5833.333333333333</v>
      </c>
      <c r="H5" s="46">
        <f t="shared" si="2"/>
        <v>5833.333333333333</v>
      </c>
      <c r="I5" s="46">
        <f t="shared" si="2"/>
        <v>5833.333333333333</v>
      </c>
      <c r="J5" s="46">
        <f t="shared" si="2"/>
        <v>5833.333333333333</v>
      </c>
      <c r="K5" s="46">
        <f t="shared" si="2"/>
        <v>5833.333333333333</v>
      </c>
      <c r="L5" s="46">
        <f t="shared" si="2"/>
        <v>5833.333333333333</v>
      </c>
      <c r="M5" s="46">
        <f t="shared" si="2"/>
        <v>5833.333333333333</v>
      </c>
      <c r="N5" s="46">
        <f t="shared" si="2"/>
        <v>5833.333333333333</v>
      </c>
      <c r="O5" s="49">
        <f>SUM(C5:N5)</f>
        <v>70000.000000000015</v>
      </c>
    </row>
    <row r="6" spans="1:16" x14ac:dyDescent="0.25">
      <c r="A6" s="53" t="s">
        <v>61</v>
      </c>
      <c r="B6" s="54">
        <f>SUM(B3:B5)</f>
        <v>-2111441</v>
      </c>
      <c r="C6" s="54">
        <f t="shared" ref="C6:O6" si="3">SUM(C3:C5)</f>
        <v>-133264.33333333334</v>
      </c>
      <c r="D6" s="54">
        <f t="shared" si="3"/>
        <v>-165649.33333333334</v>
      </c>
      <c r="E6" s="54">
        <f t="shared" si="3"/>
        <v>-174897.33333333334</v>
      </c>
      <c r="F6" s="54">
        <f t="shared" si="3"/>
        <v>-152919.33333333334</v>
      </c>
      <c r="G6" s="54">
        <f t="shared" si="3"/>
        <v>-169983.33333333334</v>
      </c>
      <c r="H6" s="54">
        <f t="shared" si="3"/>
        <v>-210448.33333333334</v>
      </c>
      <c r="I6" s="54">
        <f t="shared" si="3"/>
        <v>-208015.33333333334</v>
      </c>
      <c r="J6" s="54">
        <f t="shared" si="3"/>
        <v>-195172.33333333334</v>
      </c>
      <c r="K6" s="54">
        <f t="shared" si="3"/>
        <v>-164745.33333333334</v>
      </c>
      <c r="L6" s="54">
        <f t="shared" si="3"/>
        <v>-158897.33333333334</v>
      </c>
      <c r="M6" s="54">
        <f t="shared" si="3"/>
        <v>-184816.33333333334</v>
      </c>
      <c r="N6" s="54">
        <f t="shared" si="3"/>
        <v>-192632.33333333334</v>
      </c>
      <c r="O6" s="55">
        <f t="shared" si="3"/>
        <v>-2111441</v>
      </c>
    </row>
    <row r="8" spans="1:16" x14ac:dyDescent="0.25">
      <c r="A8" s="28" t="s">
        <v>57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8" t="s">
        <v>58</v>
      </c>
      <c r="P8" s="21"/>
    </row>
    <row r="9" spans="1:16" x14ac:dyDescent="0.25">
      <c r="A9" t="s">
        <v>36</v>
      </c>
      <c r="C9">
        <v>3.0724309322977077E-2</v>
      </c>
      <c r="D9">
        <v>7.0635069408456097E-2</v>
      </c>
      <c r="E9">
        <v>8.2031246803601354E-2</v>
      </c>
      <c r="F9">
        <v>5.4946299838158748E-2</v>
      </c>
      <c r="G9">
        <v>7.5976438612802427E-2</v>
      </c>
      <c r="H9">
        <v>0.12584376507423936</v>
      </c>
      <c r="I9">
        <v>0.12284566877937743</v>
      </c>
      <c r="J9">
        <v>0.10701816883837517</v>
      </c>
      <c r="K9">
        <v>6.9521358491961949E-2</v>
      </c>
      <c r="L9">
        <v>6.2313689003837741E-2</v>
      </c>
      <c r="M9">
        <v>9.4255643552115076E-2</v>
      </c>
      <c r="N9">
        <v>0.10388834227409739</v>
      </c>
      <c r="O9" t="s">
        <v>59</v>
      </c>
    </row>
    <row r="10" spans="1:16" x14ac:dyDescent="0.25">
      <c r="A10" t="s">
        <v>41</v>
      </c>
      <c r="O10" t="s">
        <v>60</v>
      </c>
    </row>
    <row r="11" spans="1:16" x14ac:dyDescent="0.25">
      <c r="A11" t="s">
        <v>42</v>
      </c>
      <c r="O11" t="s">
        <v>60</v>
      </c>
    </row>
    <row r="15" spans="1:16" x14ac:dyDescent="0.25">
      <c r="A15" s="28" t="s">
        <v>65</v>
      </c>
      <c r="B15" s="10" t="s">
        <v>45</v>
      </c>
      <c r="C15" s="10" t="s">
        <v>43</v>
      </c>
      <c r="D15" s="10" t="s">
        <v>44</v>
      </c>
      <c r="E15" s="10" t="s">
        <v>46</v>
      </c>
      <c r="F15" s="10" t="s">
        <v>47</v>
      </c>
      <c r="G15" s="10" t="s">
        <v>48</v>
      </c>
      <c r="H15" s="10" t="s">
        <v>49</v>
      </c>
      <c r="I15" s="10" t="s">
        <v>50</v>
      </c>
      <c r="J15" s="10" t="s">
        <v>51</v>
      </c>
      <c r="K15" s="10" t="s">
        <v>52</v>
      </c>
    </row>
    <row r="16" spans="1:16" x14ac:dyDescent="0.25">
      <c r="A16" t="s">
        <v>64</v>
      </c>
      <c r="B16" s="4">
        <f>SUM(C16:K16)</f>
        <v>1827234.6309999998</v>
      </c>
      <c r="C16" s="4">
        <v>228320.21100000001</v>
      </c>
      <c r="D16" s="4">
        <v>224756.94</v>
      </c>
      <c r="E16" s="4">
        <v>215404.93</v>
      </c>
      <c r="F16" s="4">
        <v>188707.95</v>
      </c>
      <c r="G16" s="4">
        <v>170384.74</v>
      </c>
      <c r="H16" s="4">
        <v>180513.45</v>
      </c>
      <c r="I16" s="4">
        <v>212931.44999999998</v>
      </c>
      <c r="J16" s="4">
        <v>213589.75000000003</v>
      </c>
      <c r="K16" s="4">
        <v>192625.21</v>
      </c>
      <c r="L16" s="4"/>
      <c r="M16" s="4"/>
    </row>
    <row r="17" spans="1:15" x14ac:dyDescent="0.25">
      <c r="A17" t="s">
        <v>62</v>
      </c>
      <c r="B17" s="4"/>
      <c r="C17" s="51">
        <f>C16/$B16</f>
        <v>0.12495396438225674</v>
      </c>
      <c r="D17" s="51">
        <f t="shared" ref="D17:K17" si="4">D16/$B16</f>
        <v>0.12300387491944378</v>
      </c>
      <c r="E17" s="51">
        <f t="shared" si="4"/>
        <v>0.11788575279033227</v>
      </c>
      <c r="F17" s="51">
        <f t="shared" si="4"/>
        <v>0.10327516061619567</v>
      </c>
      <c r="G17" s="51">
        <f t="shared" si="4"/>
        <v>9.3247324185593339E-2</v>
      </c>
      <c r="H17" s="51">
        <f t="shared" si="4"/>
        <v>9.8790514878327101E-2</v>
      </c>
      <c r="I17" s="51">
        <f t="shared" si="4"/>
        <v>0.11653207879683625</v>
      </c>
      <c r="J17" s="51">
        <f t="shared" si="4"/>
        <v>0.11689234998961666</v>
      </c>
      <c r="K17" s="51">
        <f t="shared" si="4"/>
        <v>0.1054189794413983</v>
      </c>
    </row>
    <row r="18" spans="1:15" x14ac:dyDescent="0.25">
      <c r="A18" t="s">
        <v>63</v>
      </c>
      <c r="C18" s="52">
        <f>1/9</f>
        <v>0.1111111111111111</v>
      </c>
      <c r="D18" s="52">
        <f t="shared" ref="D18:K18" si="5">1/9</f>
        <v>0.1111111111111111</v>
      </c>
      <c r="E18" s="52">
        <f t="shared" si="5"/>
        <v>0.1111111111111111</v>
      </c>
      <c r="F18" s="52">
        <f t="shared" si="5"/>
        <v>0.1111111111111111</v>
      </c>
      <c r="G18" s="52">
        <f t="shared" si="5"/>
        <v>0.1111111111111111</v>
      </c>
      <c r="H18" s="52">
        <f t="shared" si="5"/>
        <v>0.1111111111111111</v>
      </c>
      <c r="I18" s="52">
        <f t="shared" si="5"/>
        <v>0.1111111111111111</v>
      </c>
      <c r="J18" s="52">
        <f t="shared" si="5"/>
        <v>0.1111111111111111</v>
      </c>
      <c r="K18" s="52">
        <f t="shared" si="5"/>
        <v>0.1111111111111111</v>
      </c>
      <c r="L18" s="56" t="s">
        <v>66</v>
      </c>
      <c r="M18" s="56"/>
      <c r="N18" s="56"/>
      <c r="O18" s="56"/>
    </row>
    <row r="19" spans="1:15" x14ac:dyDescent="0.25">
      <c r="A19" t="s">
        <v>38</v>
      </c>
      <c r="C19" s="50">
        <f>C17-C18</f>
        <v>1.3842853271145636E-2</v>
      </c>
      <c r="D19" s="50">
        <f t="shared" ref="D19:K19" si="6">D17-D18</f>
        <v>1.1892763808332679E-2</v>
      </c>
      <c r="E19" s="50">
        <f t="shared" si="6"/>
        <v>6.7746416792211633E-3</v>
      </c>
      <c r="F19" s="50">
        <f t="shared" si="6"/>
        <v>-7.8359504949154363E-3</v>
      </c>
      <c r="G19" s="50">
        <f t="shared" si="6"/>
        <v>-1.7863786925517766E-2</v>
      </c>
      <c r="H19" s="50">
        <f t="shared" si="6"/>
        <v>-1.2320596232784004E-2</v>
      </c>
      <c r="I19" s="50">
        <f t="shared" si="6"/>
        <v>5.4209676857251421E-3</v>
      </c>
      <c r="J19" s="50">
        <f t="shared" si="6"/>
        <v>5.7812388785055541E-3</v>
      </c>
      <c r="K19" s="50">
        <f t="shared" si="6"/>
        <v>-5.6921316697128022E-3</v>
      </c>
      <c r="L19" s="56"/>
      <c r="M19" s="56"/>
      <c r="N19" s="56"/>
      <c r="O19" s="56"/>
    </row>
  </sheetData>
  <mergeCells count="1">
    <mergeCell ref="L18:O19"/>
  </mergeCells>
  <phoneticPr fontId="18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A6FBE-B14F-49D7-90DA-ADDF11D7FBC2}">
  <dimension ref="A1:O26"/>
  <sheetViews>
    <sheetView tabSelected="1" workbookViewId="0">
      <selection activeCell="D29" sqref="D29"/>
    </sheetView>
  </sheetViews>
  <sheetFormatPr defaultRowHeight="15" x14ac:dyDescent="0.25"/>
  <cols>
    <col min="1" max="1" width="10.7109375" customWidth="1"/>
    <col min="3" max="6" width="12.7109375" customWidth="1"/>
    <col min="7" max="12" width="10.7109375" customWidth="1"/>
    <col min="13" max="13" width="4.7109375" customWidth="1"/>
    <col min="14" max="14" width="10.7109375" customWidth="1"/>
    <col min="15" max="15" width="60.42578125" bestFit="1" customWidth="1"/>
  </cols>
  <sheetData>
    <row r="1" spans="1:15" x14ac:dyDescent="0.25">
      <c r="D1" s="23"/>
      <c r="E1" s="24">
        <v>456100</v>
      </c>
      <c r="F1" s="25">
        <v>456100</v>
      </c>
      <c r="M1" s="18"/>
    </row>
    <row r="2" spans="1:15" s="2" customFormat="1" x14ac:dyDescent="0.25">
      <c r="A2" s="10" t="s">
        <v>0</v>
      </c>
      <c r="B2" s="10" t="s">
        <v>1</v>
      </c>
      <c r="C2" s="11" t="s">
        <v>3</v>
      </c>
      <c r="D2" s="12">
        <v>456100</v>
      </c>
      <c r="E2" s="26" t="s">
        <v>4</v>
      </c>
      <c r="F2" s="27" t="s">
        <v>13</v>
      </c>
      <c r="G2" s="10">
        <v>456017</v>
      </c>
      <c r="H2" s="10">
        <v>456120</v>
      </c>
      <c r="I2" s="10">
        <v>456130</v>
      </c>
      <c r="J2" s="10" t="s">
        <v>14</v>
      </c>
      <c r="K2" s="10" t="s">
        <v>15</v>
      </c>
      <c r="L2" s="10">
        <v>456705</v>
      </c>
      <c r="M2" s="18"/>
    </row>
    <row r="3" spans="1:15" x14ac:dyDescent="0.25">
      <c r="A3">
        <v>201901</v>
      </c>
      <c r="B3" s="3" t="s">
        <v>2</v>
      </c>
      <c r="C3" s="4">
        <f>SUM(D3,G3:L3)</f>
        <v>1391869.58</v>
      </c>
      <c r="D3" s="8">
        <v>940975.24</v>
      </c>
      <c r="E3" s="9">
        <v>563360.24</v>
      </c>
      <c r="F3" s="30">
        <v>377615</v>
      </c>
      <c r="G3" s="4">
        <v>6437.54</v>
      </c>
      <c r="H3" s="4">
        <v>77000</v>
      </c>
      <c r="I3" s="4">
        <v>214293.78</v>
      </c>
      <c r="J3" s="4">
        <v>4231.74</v>
      </c>
      <c r="K3" s="4">
        <v>8958.2800000000007</v>
      </c>
      <c r="L3" s="4">
        <v>139973</v>
      </c>
      <c r="M3" s="19"/>
      <c r="N3" s="1">
        <v>456100</v>
      </c>
      <c r="O3" s="6" t="s">
        <v>32</v>
      </c>
    </row>
    <row r="4" spans="1:15" x14ac:dyDescent="0.25">
      <c r="A4">
        <v>201902</v>
      </c>
      <c r="B4" s="3" t="s">
        <v>2</v>
      </c>
      <c r="C4" s="4">
        <f t="shared" ref="C4:C14" si="0">SUM(D4,G4:L4)</f>
        <v>1698133.5</v>
      </c>
      <c r="D4" s="8">
        <v>1206924.95</v>
      </c>
      <c r="E4" s="9">
        <v>568096.94999999995</v>
      </c>
      <c r="F4" s="30">
        <v>638828</v>
      </c>
      <c r="G4" s="4">
        <v>5777.81</v>
      </c>
      <c r="H4" s="4">
        <v>77000</v>
      </c>
      <c r="I4" s="4">
        <v>255267.72</v>
      </c>
      <c r="J4" s="4">
        <v>4231.74</v>
      </c>
      <c r="K4" s="4">
        <v>8958.2800000000007</v>
      </c>
      <c r="L4" s="4">
        <v>139973</v>
      </c>
      <c r="M4" s="19"/>
      <c r="N4" s="1">
        <v>456017</v>
      </c>
      <c r="O4" s="6" t="s">
        <v>7</v>
      </c>
    </row>
    <row r="5" spans="1:15" x14ac:dyDescent="0.25">
      <c r="A5">
        <v>201903</v>
      </c>
      <c r="B5" s="3" t="s">
        <v>2</v>
      </c>
      <c r="C5" s="4">
        <f t="shared" si="0"/>
        <v>2079523.9300000002</v>
      </c>
      <c r="D5" s="8">
        <v>1588507.06</v>
      </c>
      <c r="E5" s="9">
        <v>618591.06000000006</v>
      </c>
      <c r="F5" s="30">
        <v>969916</v>
      </c>
      <c r="G5" s="4">
        <v>5777.81</v>
      </c>
      <c r="H5" s="4">
        <v>77000</v>
      </c>
      <c r="I5" s="4">
        <v>255076.04</v>
      </c>
      <c r="J5" s="4">
        <v>4231.74</v>
      </c>
      <c r="K5" s="4">
        <v>8958.2800000000007</v>
      </c>
      <c r="L5" s="4">
        <v>139973</v>
      </c>
      <c r="M5" s="19"/>
      <c r="N5" s="1">
        <v>456120</v>
      </c>
      <c r="O5" s="6" t="s">
        <v>8</v>
      </c>
    </row>
    <row r="6" spans="1:15" x14ac:dyDescent="0.25">
      <c r="A6">
        <v>201904</v>
      </c>
      <c r="B6" s="3" t="s">
        <v>2</v>
      </c>
      <c r="C6" s="4">
        <f t="shared" si="0"/>
        <v>1403799.5099999998</v>
      </c>
      <c r="D6" s="8">
        <v>992136.82</v>
      </c>
      <c r="E6" s="9">
        <v>619125.81999999995</v>
      </c>
      <c r="F6" s="30">
        <v>373011</v>
      </c>
      <c r="G6" s="4">
        <v>5777.81</v>
      </c>
      <c r="H6" s="4">
        <v>77000</v>
      </c>
      <c r="I6" s="4">
        <v>175721.86</v>
      </c>
      <c r="J6" s="4">
        <v>4231.74</v>
      </c>
      <c r="K6" s="4">
        <v>8958.2800000000007</v>
      </c>
      <c r="L6" s="4">
        <v>139973</v>
      </c>
      <c r="M6" s="19"/>
      <c r="N6" s="1">
        <v>456130</v>
      </c>
      <c r="O6" s="6" t="s">
        <v>9</v>
      </c>
    </row>
    <row r="7" spans="1:15" x14ac:dyDescent="0.25">
      <c r="A7">
        <v>201905</v>
      </c>
      <c r="B7" s="3" t="s">
        <v>2</v>
      </c>
      <c r="C7" s="4">
        <f t="shared" si="0"/>
        <v>1221875.46</v>
      </c>
      <c r="D7" s="8">
        <v>801804.63</v>
      </c>
      <c r="E7" s="9">
        <v>621883.63</v>
      </c>
      <c r="F7" s="30">
        <v>179921</v>
      </c>
      <c r="G7" s="4">
        <v>5777.81</v>
      </c>
      <c r="H7" s="4">
        <v>77000</v>
      </c>
      <c r="I7" s="4">
        <v>184130</v>
      </c>
      <c r="J7" s="4">
        <v>4231.74</v>
      </c>
      <c r="K7" s="4">
        <v>8958.2800000000007</v>
      </c>
      <c r="L7" s="4">
        <v>139973</v>
      </c>
      <c r="M7" s="19"/>
      <c r="N7" s="5" t="s">
        <v>5</v>
      </c>
      <c r="O7" s="6" t="s">
        <v>10</v>
      </c>
    </row>
    <row r="8" spans="1:15" x14ac:dyDescent="0.25">
      <c r="A8">
        <v>201906</v>
      </c>
      <c r="B8" s="3" t="s">
        <v>2</v>
      </c>
      <c r="C8" s="4">
        <f t="shared" si="0"/>
        <v>1642649.39</v>
      </c>
      <c r="D8" s="8">
        <v>1217741.8899999999</v>
      </c>
      <c r="E8" s="9">
        <v>628139.8899999999</v>
      </c>
      <c r="F8" s="30">
        <v>589602</v>
      </c>
      <c r="G8" s="4">
        <v>5777.81</v>
      </c>
      <c r="H8" s="4">
        <v>77000</v>
      </c>
      <c r="I8" s="4">
        <v>188966.67</v>
      </c>
      <c r="J8" s="4">
        <v>4231.74</v>
      </c>
      <c r="K8" s="4">
        <v>8958.2800000000007</v>
      </c>
      <c r="L8" s="4">
        <v>139973</v>
      </c>
      <c r="M8" s="19"/>
      <c r="N8" s="5" t="s">
        <v>6</v>
      </c>
      <c r="O8" s="6" t="s">
        <v>11</v>
      </c>
    </row>
    <row r="9" spans="1:15" x14ac:dyDescent="0.25">
      <c r="A9">
        <v>201907</v>
      </c>
      <c r="B9" s="3" t="s">
        <v>2</v>
      </c>
      <c r="C9" s="4">
        <f t="shared" si="0"/>
        <v>1432055.2200000002</v>
      </c>
      <c r="D9" s="8">
        <v>991349.91</v>
      </c>
      <c r="E9" s="9">
        <v>636064.91</v>
      </c>
      <c r="F9" s="30">
        <v>355285</v>
      </c>
      <c r="G9" s="4">
        <v>5777.81</v>
      </c>
      <c r="H9" s="4">
        <v>77000</v>
      </c>
      <c r="I9" s="4">
        <v>204764.48</v>
      </c>
      <c r="J9" s="4">
        <v>4231.74</v>
      </c>
      <c r="K9" s="4">
        <v>8958.2800000000007</v>
      </c>
      <c r="L9" s="4">
        <v>139973</v>
      </c>
      <c r="M9" s="19"/>
      <c r="N9" s="1">
        <v>456705</v>
      </c>
      <c r="O9" s="6" t="s">
        <v>12</v>
      </c>
    </row>
    <row r="10" spans="1:15" x14ac:dyDescent="0.25">
      <c r="A10">
        <v>201908</v>
      </c>
      <c r="B10" s="3" t="s">
        <v>2</v>
      </c>
      <c r="C10" s="4">
        <f t="shared" si="0"/>
        <v>1391123.99</v>
      </c>
      <c r="D10" s="8">
        <v>947027.01</v>
      </c>
      <c r="E10" s="9">
        <v>640686.01</v>
      </c>
      <c r="F10" s="30">
        <v>306341</v>
      </c>
      <c r="G10" s="4">
        <v>5777.81</v>
      </c>
      <c r="H10" s="4">
        <v>77000</v>
      </c>
      <c r="I10" s="4">
        <v>208156.15</v>
      </c>
      <c r="J10" s="4">
        <v>4231.74</v>
      </c>
      <c r="K10" s="4">
        <v>8958.2800000000007</v>
      </c>
      <c r="L10" s="4">
        <v>139973</v>
      </c>
      <c r="M10" s="19"/>
      <c r="N10" s="4"/>
    </row>
    <row r="11" spans="1:15" x14ac:dyDescent="0.25">
      <c r="A11">
        <v>201909</v>
      </c>
      <c r="B11" s="3" t="s">
        <v>2</v>
      </c>
      <c r="C11" s="4">
        <f t="shared" si="0"/>
        <v>1251759.3</v>
      </c>
      <c r="D11" s="8">
        <v>830531.61</v>
      </c>
      <c r="E11" s="9">
        <v>645127.61</v>
      </c>
      <c r="F11" s="30">
        <v>185404</v>
      </c>
      <c r="G11" s="4">
        <v>5777.81</v>
      </c>
      <c r="H11" s="4">
        <v>77000</v>
      </c>
      <c r="I11" s="4">
        <v>185286.86</v>
      </c>
      <c r="J11" s="4">
        <v>4231.74</v>
      </c>
      <c r="K11" s="4">
        <v>8958.2800000000007</v>
      </c>
      <c r="L11" s="4">
        <v>139973</v>
      </c>
      <c r="M11" s="19"/>
      <c r="N11" s="4"/>
    </row>
    <row r="12" spans="1:15" x14ac:dyDescent="0.25">
      <c r="A12">
        <v>201910</v>
      </c>
      <c r="B12" s="3" t="s">
        <v>2</v>
      </c>
      <c r="C12" s="4">
        <f t="shared" si="0"/>
        <v>1328384.51</v>
      </c>
      <c r="D12" s="8">
        <v>867561.25</v>
      </c>
      <c r="E12" s="9">
        <v>655508.25</v>
      </c>
      <c r="F12" s="30">
        <v>212053</v>
      </c>
      <c r="G12" s="4">
        <v>5777.81</v>
      </c>
      <c r="H12" s="4">
        <v>77000</v>
      </c>
      <c r="I12" s="4">
        <v>224882.43</v>
      </c>
      <c r="J12" s="4">
        <v>4231.74</v>
      </c>
      <c r="K12" s="4">
        <v>8958.2800000000007</v>
      </c>
      <c r="L12" s="4">
        <v>139973</v>
      </c>
      <c r="M12" s="19"/>
      <c r="N12" s="4"/>
    </row>
    <row r="13" spans="1:15" x14ac:dyDescent="0.25">
      <c r="A13">
        <v>201911</v>
      </c>
      <c r="B13" s="3" t="s">
        <v>2</v>
      </c>
      <c r="C13" s="4">
        <f t="shared" si="0"/>
        <v>1572696.7600000002</v>
      </c>
      <c r="D13" s="8">
        <v>1127774.83</v>
      </c>
      <c r="E13" s="9">
        <v>619306.83000000007</v>
      </c>
      <c r="F13" s="30">
        <v>508468</v>
      </c>
      <c r="G13" s="4">
        <v>5777.81</v>
      </c>
      <c r="H13" s="4">
        <v>77000</v>
      </c>
      <c r="I13" s="4">
        <v>208981.1</v>
      </c>
      <c r="J13" s="4">
        <v>4231.74</v>
      </c>
      <c r="K13" s="4">
        <v>8958.2800000000007</v>
      </c>
      <c r="L13" s="4">
        <v>139973</v>
      </c>
      <c r="M13" s="19"/>
      <c r="N13" s="4"/>
    </row>
    <row r="14" spans="1:15" x14ac:dyDescent="0.25">
      <c r="A14">
        <v>201912</v>
      </c>
      <c r="B14" s="3" t="s">
        <v>2</v>
      </c>
      <c r="C14" s="4">
        <f t="shared" si="0"/>
        <v>1836561.39</v>
      </c>
      <c r="D14" s="8">
        <v>1389490.63</v>
      </c>
      <c r="E14" s="9">
        <v>612111.62999999989</v>
      </c>
      <c r="F14" s="30">
        <v>777379</v>
      </c>
      <c r="G14" s="4">
        <v>5777.81</v>
      </c>
      <c r="H14" s="4">
        <v>77000</v>
      </c>
      <c r="I14" s="4">
        <v>211129.93</v>
      </c>
      <c r="J14" s="4">
        <v>4231.74</v>
      </c>
      <c r="K14" s="4">
        <v>8958.2800000000007</v>
      </c>
      <c r="L14" s="4">
        <v>139973</v>
      </c>
      <c r="M14" s="19"/>
      <c r="N14" s="4"/>
    </row>
    <row r="15" spans="1:15" x14ac:dyDescent="0.25">
      <c r="C15" s="4"/>
      <c r="D15" s="7"/>
      <c r="E15" s="7"/>
      <c r="F15" s="29"/>
      <c r="G15" s="7"/>
      <c r="H15" s="4"/>
      <c r="I15" s="4"/>
      <c r="J15" s="4"/>
      <c r="K15" s="4"/>
      <c r="L15" s="4"/>
      <c r="M15" s="4"/>
    </row>
    <row r="16" spans="1:15" x14ac:dyDescent="0.25">
      <c r="C16" s="35">
        <f>SUM(C3:C14)</f>
        <v>18250432.539999999</v>
      </c>
      <c r="D16" s="8">
        <f>SUM(D3:D14)</f>
        <v>12901825.829999998</v>
      </c>
      <c r="E16" s="9">
        <f t="shared" ref="E16:L16" si="1">SUM(E3:E14)</f>
        <v>7428002.8300000001</v>
      </c>
      <c r="F16" s="30">
        <f t="shared" si="1"/>
        <v>5473823</v>
      </c>
      <c r="G16" s="4">
        <f t="shared" si="1"/>
        <v>69993.45</v>
      </c>
      <c r="H16" s="4">
        <f t="shared" si="1"/>
        <v>924000</v>
      </c>
      <c r="I16" s="4">
        <f t="shared" si="1"/>
        <v>2516657.0199999996</v>
      </c>
      <c r="J16" s="4">
        <f t="shared" si="1"/>
        <v>50780.879999999983</v>
      </c>
      <c r="K16" s="4">
        <f t="shared" si="1"/>
        <v>107499.36</v>
      </c>
      <c r="L16" s="4">
        <f t="shared" si="1"/>
        <v>1679676</v>
      </c>
      <c r="M16" s="19"/>
    </row>
    <row r="17" spans="1:15" x14ac:dyDescent="0.25">
      <c r="C17" s="4"/>
      <c r="F17" s="6"/>
    </row>
    <row r="18" spans="1:15" hidden="1" x14ac:dyDescent="0.25">
      <c r="A18" s="21"/>
      <c r="B18" s="21"/>
      <c r="C18" s="21"/>
      <c r="D18" s="21"/>
      <c r="E18" s="21"/>
      <c r="F18" s="31"/>
      <c r="G18" s="21"/>
      <c r="H18" s="21"/>
      <c r="I18" s="21"/>
      <c r="J18" s="21"/>
      <c r="K18" s="21"/>
      <c r="L18" s="21"/>
      <c r="N18" s="28" t="s">
        <v>25</v>
      </c>
      <c r="O18" s="21"/>
    </row>
    <row r="19" spans="1:15" hidden="1" x14ac:dyDescent="0.25">
      <c r="A19" s="42"/>
      <c r="B19" s="42"/>
      <c r="C19" s="4"/>
      <c r="D19" s="4">
        <v>-811441</v>
      </c>
      <c r="E19" s="4"/>
      <c r="F19" s="4">
        <f>D19</f>
        <v>-811441</v>
      </c>
      <c r="G19" s="4"/>
      <c r="H19" s="4"/>
      <c r="I19" s="4"/>
      <c r="J19" s="4"/>
      <c r="K19" s="4"/>
      <c r="L19" s="4"/>
      <c r="N19" s="43" t="s">
        <v>36</v>
      </c>
      <c r="O19" s="42"/>
    </row>
    <row r="20" spans="1:15" hidden="1" x14ac:dyDescent="0.25">
      <c r="F20" s="6"/>
      <c r="I20" s="4">
        <v>-1370000</v>
      </c>
      <c r="N20" t="s">
        <v>29</v>
      </c>
    </row>
    <row r="21" spans="1:15" hidden="1" x14ac:dyDescent="0.25">
      <c r="A21" s="21"/>
      <c r="B21" s="21"/>
      <c r="C21" s="21"/>
      <c r="D21" s="21"/>
      <c r="E21" s="21"/>
      <c r="F21" s="31"/>
      <c r="G21" s="46">
        <v>70000</v>
      </c>
      <c r="H21" s="21"/>
      <c r="I21" s="21"/>
      <c r="J21" s="21"/>
      <c r="K21" s="21"/>
      <c r="L21" s="21"/>
      <c r="N21" s="21" t="s">
        <v>30</v>
      </c>
      <c r="O21" s="21"/>
    </row>
    <row r="22" spans="1:15" hidden="1" x14ac:dyDescent="0.25">
      <c r="C22" s="4">
        <f>SUM(D22,G22:L22)</f>
        <v>-2111441</v>
      </c>
      <c r="D22" s="4">
        <f>SUM(D19:D21)</f>
        <v>-811441</v>
      </c>
      <c r="E22" s="4"/>
      <c r="F22" s="4">
        <f>SUM(F19:F21)</f>
        <v>-811441</v>
      </c>
      <c r="G22" s="4">
        <f>SUM(G19:G21)</f>
        <v>70000</v>
      </c>
      <c r="H22" s="4"/>
      <c r="I22" s="4">
        <f>SUM(I19:I21)</f>
        <v>-1370000</v>
      </c>
      <c r="J22" s="4"/>
      <c r="K22" s="4"/>
      <c r="L22" s="4"/>
      <c r="N22" t="s">
        <v>39</v>
      </c>
    </row>
    <row r="23" spans="1:15" hidden="1" x14ac:dyDescent="0.25">
      <c r="F23" s="6"/>
      <c r="I23" s="4"/>
    </row>
    <row r="24" spans="1:15" hidden="1" x14ac:dyDescent="0.25">
      <c r="A24" s="32"/>
      <c r="B24" s="32"/>
      <c r="C24" s="36">
        <f>D24+G24+H24+I24+J24+K24+L24</f>
        <v>16138991.539999997</v>
      </c>
      <c r="D24" s="33">
        <f>D16+D22</f>
        <v>12090384.829999998</v>
      </c>
      <c r="E24" s="34">
        <f t="shared" ref="E24:L24" si="2">E16+E22</f>
        <v>7428002.8300000001</v>
      </c>
      <c r="F24" s="47">
        <f t="shared" si="2"/>
        <v>4662382</v>
      </c>
      <c r="G24" s="33">
        <f t="shared" si="2"/>
        <v>139993.45000000001</v>
      </c>
      <c r="H24" s="34">
        <f t="shared" si="2"/>
        <v>924000</v>
      </c>
      <c r="I24" s="34">
        <f t="shared" si="2"/>
        <v>1146657.0199999996</v>
      </c>
      <c r="J24" s="34">
        <f t="shared" si="2"/>
        <v>50780.879999999983</v>
      </c>
      <c r="K24" s="34">
        <f t="shared" si="2"/>
        <v>107499.36</v>
      </c>
      <c r="L24" s="34">
        <f t="shared" si="2"/>
        <v>1679676</v>
      </c>
      <c r="N24" s="1" t="s">
        <v>31</v>
      </c>
    </row>
    <row r="25" spans="1:15" x14ac:dyDescent="0.25">
      <c r="C25" s="4"/>
      <c r="I25" s="4"/>
    </row>
    <row r="26" spans="1:15" x14ac:dyDescent="0.25">
      <c r="C26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3B88240-DDD1-4A22-A04E-3B4157AAC34D}"/>
</file>

<file path=customXml/itemProps2.xml><?xml version="1.0" encoding="utf-8"?>
<ds:datastoreItem xmlns:ds="http://schemas.openxmlformats.org/officeDocument/2006/customXml" ds:itemID="{E21412A1-8C2D-4D58-884D-0B7894320DB5}"/>
</file>

<file path=customXml/itemProps3.xml><?xml version="1.0" encoding="utf-8"?>
<ds:datastoreItem xmlns:ds="http://schemas.openxmlformats.org/officeDocument/2006/customXml" ds:itemID="{36AC6067-FD18-4181-AE45-B2769E055F9E}"/>
</file>

<file path=customXml/itemProps4.xml><?xml version="1.0" encoding="utf-8"?>
<ds:datastoreItem xmlns:ds="http://schemas.openxmlformats.org/officeDocument/2006/customXml" ds:itemID="{75C3EEDF-4366-40FE-A7A3-2ADB0D9BE6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456XXX-2021-2022</vt:lpstr>
      <vt:lpstr>447720</vt:lpstr>
      <vt:lpstr>BPA 456130</vt:lpstr>
      <vt:lpstr>OASIS Average</vt:lpstr>
      <vt:lpstr>12mo Spread</vt:lpstr>
      <vt:lpstr>456XXX-2019</vt:lpstr>
      <vt:lpstr>Apr</vt:lpstr>
      <vt:lpstr>Aug</vt:lpstr>
      <vt:lpstr>Dec</vt:lpstr>
      <vt:lpstr>Feb</vt:lpstr>
      <vt:lpstr>Jan</vt:lpstr>
      <vt:lpstr>Janu</vt:lpstr>
      <vt:lpstr>Jul</vt:lpstr>
      <vt:lpstr>Jun</vt:lpstr>
      <vt:lpstr>Mar</vt:lpstr>
      <vt:lpstr>May</vt:lpstr>
      <vt:lpstr>Nov</vt:lpstr>
      <vt:lpstr>Oct</vt:lpstr>
      <vt:lpstr>Sep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Bentley, Sherry</dc:creator>
  <cp:lastModifiedBy>Andrews, Liz</cp:lastModifiedBy>
  <dcterms:created xsi:type="dcterms:W3CDTF">2020-06-22T18:14:12Z</dcterms:created>
  <dcterms:modified xsi:type="dcterms:W3CDTF">2020-10-23T02:31:31Z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0x0101006E56B4D1795A2E4DB2F0B01679ED314A00EA77B5ED84937743973E7F67CD421E1E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