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06" windowWidth="15480" windowHeight="7935" tabRatio="616" activeTab="0"/>
  </bookViews>
  <sheets>
    <sheet name="mode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1_94_12_94">'[3]DT_A_DOL93'!#REF!</definedName>
    <definedName name="_1_95_12_95">'[3]DT_A_DOL93'!#REF!</definedName>
    <definedName name="_1_96_12_96">'[3]DT_A_DOL93'!#REF!</definedName>
    <definedName name="_1_97_12_97">'[3]DT_A_DOL93'!#REF!</definedName>
    <definedName name="_1_98_12_98">'[3]DT_A_DOL93'!#REF!</definedName>
    <definedName name="_End">#REF!</definedName>
    <definedName name="_FEDERAL_INCOME_TAX">'model'!$DN$25</definedName>
    <definedName name="_Fill" hidden="1">#REF!</definedName>
    <definedName name="_Filter">#REF!</definedName>
    <definedName name="_H_01_RateInc">'model'!$DK$56:$DO$80</definedName>
    <definedName name="_H_02_COC">'model'!$DK$34:$DO$54</definedName>
    <definedName name="_H_03_ConvFac">'model'!$DK$2:$DO$31</definedName>
    <definedName name="_Order1" hidden="1">255</definedName>
    <definedName name="_Order2" hidden="1">255</definedName>
    <definedName name="AccessDatabase" hidden="1">"I:\COMTREL\FINICLE\TradeSummary.mdb"</definedName>
    <definedName name="accrual">'[27]Sheet2'!#REF!</definedName>
    <definedName name="accrual2">'[27]Sheet2'!#REF!</definedName>
    <definedName name="accrual3">'[27]Sheet2'!#REF!</definedName>
    <definedName name="Acq1Plant">'[6]Acquisition Inputs'!$C$8</definedName>
    <definedName name="Acq2Plant">'[6]Acquisition Inputs'!$C$70</definedName>
    <definedName name="Adj01">'model'!$A$2:$F$57</definedName>
    <definedName name="Adj02">'model'!$G$2:$K$53</definedName>
    <definedName name="Adj03">'model'!$L$2:$P$73</definedName>
    <definedName name="Adj04">'model'!$Q$2:$U$38</definedName>
    <definedName name="Adj05">'model'!$V$2:$Y$37</definedName>
    <definedName name="Adj06">'model'!$Z$2:$AD$49</definedName>
    <definedName name="Adj07">'model'!$AE$2:$AJ$40</definedName>
    <definedName name="Adj08">'model'!$AK$2:$AP$32</definedName>
    <definedName name="Adj09">'model'!$AQ$2:$AU$54</definedName>
    <definedName name="Adj10">'model'!$AV$2:$AZ$24</definedName>
    <definedName name="Adj11">'model'!$BA$2:$BD$29</definedName>
    <definedName name="Adj12">'model'!$BE$2:$BI$25</definedName>
    <definedName name="Adj13">'model'!$BJ$2:$BN$24</definedName>
    <definedName name="Adj14">'model'!$BO$2:$BR$49</definedName>
    <definedName name="Adj15">'model'!$BS$2:$BU$31</definedName>
    <definedName name="Adj16">'model'!$BV$2:$BZ$29</definedName>
    <definedName name="Adj17">'model'!$CA$2:$CE$26</definedName>
    <definedName name="Adj18">'model'!$CF$2:$CL$33</definedName>
    <definedName name="Adj19">'model'!$CM$2:$CQ$39</definedName>
    <definedName name="Adj20">'model'!$CR$2:$CU$28</definedName>
    <definedName name="Adj21">'model'!$CV$2:$CZ$37</definedName>
    <definedName name="Adj22">'model'!$DA$2:$DE$26</definedName>
    <definedName name="Adj23">'model'!$DF$2:$DJ$38</definedName>
    <definedName name="afudcrate">#REF!</definedName>
    <definedName name="afudctaxbasis">#REF!</definedName>
    <definedName name="apeek">#REF!</definedName>
    <definedName name="Apr03AMA">'[30]BS C&amp;L'!#REF!</definedName>
    <definedName name="Apr04">'[24]BS'!$U$7:$U$3582</definedName>
    <definedName name="Apr04AMA">'[24]BS'!$AG$7:$AG$3582</definedName>
    <definedName name="Apr05">#REF!</definedName>
    <definedName name="Apr05AMA">#REF!</definedName>
    <definedName name="aquila_lookup">'[16]Cabot Gas Replacement'!$B$8:$F$16</definedName>
    <definedName name="Asset_Class_Switch">'[18]Assumptions'!$D$5</definedName>
    <definedName name="Assume_Percent_Change">#REF!</definedName>
    <definedName name="Aug03AMA">'[30]BS C&amp;L'!#REF!</definedName>
    <definedName name="Aug04">'[24]BS'!$Y$7:$Y$3582</definedName>
    <definedName name="Aug04AMA">'[24]BS'!$AK$7:$AK$3582</definedName>
    <definedName name="Aug05">#REF!</definedName>
    <definedName name="Aug05AMA">#REF!</definedName>
    <definedName name="augcf">#REF!</definedName>
    <definedName name="augcost">#REF!</definedName>
    <definedName name="Aurora_Prices">"Monthly Price Summary'!$C$4:$H$63"</definedName>
    <definedName name="b" hidden="1">{#N/A,#N/A,FALSE,"Coversheet";#N/A,#N/A,FALSE,"QA"}</definedName>
    <definedName name="BADDEBT">'[20]model'!#REF!</definedName>
    <definedName name="bal">'[27]Sheet2'!#REF!</definedName>
    <definedName name="balance">'[27]Sheet2'!#REF!</definedName>
    <definedName name="BD">#REF!</definedName>
    <definedName name="BEP">#REF!</definedName>
    <definedName name="BottomRight">#REF!</definedName>
    <definedName name="bpatoggle">#REF!</definedName>
    <definedName name="BRI">#REF!</definedName>
    <definedName name="BS_Accounts">#REF!</definedName>
    <definedName name="Button_1">"TradeSummary_Ken_Finicle_List"</definedName>
    <definedName name="Capacity">#REF!</definedName>
    <definedName name="capfact">#REF!</definedName>
    <definedName name="CaseDescription">'[6]Dispatch Cases'!$C$11</definedName>
    <definedName name="CCGT_HeatRate">'[6]Assumptions'!$H$23</definedName>
    <definedName name="CCGTPrice">'[6]Assumptions'!$H$22</definedName>
    <definedName name="cerarvm">#REF!</definedName>
    <definedName name="CL_RT">#REF!</definedName>
    <definedName name="CL_RT2">'[22]Transp Data'!$A$6:$C$81</definedName>
    <definedName name="Classification">#REF!</definedName>
    <definedName name="clawback">#REF!</definedName>
    <definedName name="close">#REF!</definedName>
    <definedName name="cod">#REF!</definedName>
    <definedName name="COLHOUSE">#REF!</definedName>
    <definedName name="COLXFER">'[20]model'!#REF!</definedName>
    <definedName name="CombWC_LineItem">#REF!</definedName>
    <definedName name="COMMON_ADMIN_ALLOCATED">#REF!</definedName>
    <definedName name="COMPINSR">#REF!</definedName>
    <definedName name="CONSERV">#REF!</definedName>
    <definedName name="constructcont">#REF!</definedName>
    <definedName name="Consv_Rdr_Rt">'[23]Sch_120'!#REF!</definedName>
    <definedName name="cont">'[27]Sheet2'!#REF!</definedName>
    <definedName name="ContractDate">'[10]Dispatch Cases'!#REF!</definedName>
    <definedName name="Conv_Factor">'[23]Sch_120'!#REF!</definedName>
    <definedName name="ConversionFactor">'[6]Assumptions'!$I$65</definedName>
    <definedName name="CONVFACT">#REF!</definedName>
    <definedName name="costofequit">#REF!</definedName>
    <definedName name="CPI">#REF!</definedName>
    <definedName name="cspe_wkly_vect_input">#REF!</definedName>
    <definedName name="cust">#REF!</definedName>
    <definedName name="CUSTDEP">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">#REF!</definedName>
    <definedName name="data1">#REF!</definedName>
    <definedName name="daveisroyescal">#REF!</definedName>
    <definedName name="daviesroyprice">#REF!</definedName>
    <definedName name="debtforce">#REF!</definedName>
    <definedName name="DebtPerc">'[6]Assumptions'!$I$58</definedName>
    <definedName name="Dec03">'[25]BS'!$T$7:$T$3582</definedName>
    <definedName name="Dec03AMA">'[25]BS'!$AJ$7:$AJ$3582</definedName>
    <definedName name="Dec04">'[24]BS'!$AC$7:$AC$3580</definedName>
    <definedName name="Dec04AMA">'[24]BS'!$AO$7:$AO$3582</definedName>
    <definedName name="Dec05">#REF!</definedName>
    <definedName name="Dec05AMA">#REF!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evfee">#REF!</definedName>
    <definedName name="DF_HeatRate">'[6]Assumptions'!$L$23</definedName>
    <definedName name="DFIT" hidden="1">{#N/A,#N/A,FALSE,"Coversheet";#N/A,#N/A,FALSE,"QA"}</definedName>
    <definedName name="Disc">'[10]Debt Amortization'!#REF!</definedName>
    <definedName name="Discount_for_Revenue_Reqmt">'[15]Assumptions of Purchase'!$B$45</definedName>
    <definedName name="DOCKET">'model'!$A$9</definedName>
    <definedName name="DurPTC">#REF!</definedName>
    <definedName name="Electp1">#REF!</definedName>
    <definedName name="Electp2">#REF!</definedName>
    <definedName name="Electric_Prices">'[12]Monthly Price Summary'!$B$4:$E$27</definedName>
    <definedName name="ElecWC_LineItems">#REF!</definedName>
    <definedName name="ElRBLine">'[24]BS'!$AQ$7:$AQ$3303</definedName>
    <definedName name="EMPLBENE">#REF!</definedName>
    <definedName name="EndDate">'[6]Assumptions'!$C$11</definedName>
    <definedName name="endptcyr">#REF!</definedName>
    <definedName name="enxco2005">#REF!</definedName>
    <definedName name="enxcoescal">#REF!</definedName>
    <definedName name="enxcoownperc">#REF!</definedName>
    <definedName name="epcfee">#REF!</definedName>
    <definedName name="equitperc">#REF!</definedName>
    <definedName name="estrateRES">#REF!</definedName>
    <definedName name="FACTORS">#REF!</definedName>
    <definedName name="Feb03AMA">'[30]BS C&amp;L'!#REF!</definedName>
    <definedName name="Feb04">'[24]BS'!$S$7:$S$3582</definedName>
    <definedName name="Feb04AMA">'[24]BS'!$AE$7:$AE$3582</definedName>
    <definedName name="Feb05">#REF!</definedName>
    <definedName name="Feb05AMA">#REF!</definedName>
    <definedName name="Fed_Cap_Tax">'[8]Inputs'!$E$112</definedName>
    <definedName name="FedTaxRate">'[6]Assumptions'!$C$33</definedName>
    <definedName name="FERC_Lookup">'[32]Map Table'!$E$2:$F$58</definedName>
    <definedName name="FERCRATE">#REF!</definedName>
    <definedName name="FF">#REF!</definedName>
    <definedName name="FIELDCHRG">'[20]model'!#REF!</definedName>
    <definedName name="Final">#REF!</definedName>
    <definedName name="firstptcyr">#REF!</definedName>
    <definedName name="firstyearmonths">#REF!</definedName>
    <definedName name="FIT">'model'!#REF!</definedName>
    <definedName name="fixedtrans">#REF!</definedName>
    <definedName name="fpldebt">#REF!</definedName>
    <definedName name="FPLequit">#REF!</definedName>
    <definedName name="Fuel">#REF!</definedName>
    <definedName name="GasRBLine">'[24]BS'!$AS$7:$AS$3631</definedName>
    <definedName name="GasWC_LineItem">'[24]BS'!$AR$7:$AR$3631</definedName>
    <definedName name="GDPIP">#REF!</definedName>
    <definedName name="GeoDate">'[10]Dispatch Cases'!#REF!</definedName>
    <definedName name="gpdip">#REF!</definedName>
    <definedName name="graph">#REF!</definedName>
    <definedName name="HRAccumDep">'[2]JHS-10 Adjstmts'!#REF!</definedName>
    <definedName name="HRDepExp">'[2]JHS-10 Adjstmts'!#REF!</definedName>
    <definedName name="HRDFIT">'[2]JHS-10 Adjstmts'!#REF!</definedName>
    <definedName name="HRGrossPlant">'[2]JHS-10 Adjstmts'!#REF!</definedName>
    <definedName name="HRPrdctnOM">'[2]JHS-10 Adjstmts'!#REF!</definedName>
    <definedName name="HRPropIns">'[2]JHS-10 Adjstmts'!#REF!</definedName>
    <definedName name="HRPropTax">'[2]JHS-10 Adjstmts'!#REF!</definedName>
    <definedName name="HRPwrCsts">'[2]JHS-10 Adjstmts'!#REF!</definedName>
    <definedName name="HydroCap">#REF!</definedName>
    <definedName name="HydroGen">'[10]Dispatch'!#REF!</definedName>
    <definedName name="IDCRATE">#REF!</definedName>
    <definedName name="inact">#REF!</definedName>
    <definedName name="INCSTMNT">#REF!</definedName>
    <definedName name="INCSTMT">#REF!</definedName>
    <definedName name="inflat">#REF!</definedName>
    <definedName name="inflatCERA">#REF!</definedName>
    <definedName name="INTRESEXCH">#REF!</definedName>
    <definedName name="INVPLAN">#REF!</definedName>
    <definedName name="Jan03AMA">'[30]BS C&amp;L'!#REF!</definedName>
    <definedName name="Jan04">'[24]BS'!$R$7:$R$3582</definedName>
    <definedName name="Jan04AMA">'[24]BS'!$AD$7:$AD$3582</definedName>
    <definedName name="Jan05">#REF!</definedName>
    <definedName name="Jan05AMA">#REF!</definedName>
    <definedName name="Jan06">'[31]BS'!#REF!</definedName>
    <definedName name="Jan06AMA">'[31]BS'!#REF!</definedName>
    <definedName name="Jul03AMA">'[30]BS C&amp;L'!#REF!</definedName>
    <definedName name="Jul04">'[24]BS'!$X$7:$X$3582</definedName>
    <definedName name="Jul04AMA">'[24]BS'!$AJ$7:$AJ$3582</definedName>
    <definedName name="Jul05">#REF!</definedName>
    <definedName name="Jul05AMA">#REF!</definedName>
    <definedName name="julcf">#REF!</definedName>
    <definedName name="julcost">#REF!</definedName>
    <definedName name="Jun03AMA">'[30]BS C&amp;L'!#REF!</definedName>
    <definedName name="Jun04">'[24]BS'!$W$7:$W$3582</definedName>
    <definedName name="Jun04AMA">'[24]BS'!$AI$7:$AI$3582</definedName>
    <definedName name="Jun05">#REF!</definedName>
    <definedName name="Jun05AMA">#REF!</definedName>
    <definedName name="LATEPAY">#REF!</definedName>
    <definedName name="Lease_total">'[14]Forecast Adjustment'!#REF!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'[11]Load Source Data'!$C$78:$X$89</definedName>
    <definedName name="LoadGrowthAdder">#REF!</definedName>
    <definedName name="manutaxfit">#REF!</definedName>
    <definedName name="Mar03AMA">'[30]BS C&amp;L'!#REF!</definedName>
    <definedName name="Mar04">'[24]BS'!$T$7:$T$3582</definedName>
    <definedName name="Mar04AMA">'[24]BS'!$AF$7:$AF$3582</definedName>
    <definedName name="Mar05">#REF!</definedName>
    <definedName name="Mar05AMA">#REF!</definedName>
    <definedName name="May03AMA">'[30]BS C&amp;L'!#REF!</definedName>
    <definedName name="May04">'[24]BS'!$V$7:$V$3582</definedName>
    <definedName name="May04AMA">'[24]BS'!$AH$7:$AH$3582</definedName>
    <definedName name="May05">#REF!</definedName>
    <definedName name="May05AMA">#REF!</definedName>
    <definedName name="mcnarycost">#REF!</definedName>
    <definedName name="mcnarytoggle">#REF!</definedName>
    <definedName name="median_energy">#REF!</definedName>
    <definedName name="MERGER_COST">'[29]Sheet1'!$AF$3:$AJ$28</definedName>
    <definedName name="MISCELLANEOUS">#REF!</definedName>
    <definedName name="MonTotalDispatch">'[10]Dispatch'!#REF!</definedName>
    <definedName name="MT">#REF!</definedName>
    <definedName name="MTD_Format">'[19]Mthly'!$B$11:$D$11,'[19]Mthly'!$B$35:$D$35</definedName>
    <definedName name="MustRunGen">'[10]Dispatch'!#REF!</definedName>
    <definedName name="Mwh">#REF!</definedName>
    <definedName name="mwh2">#REF!</definedName>
    <definedName name="nameplate">#REF!</definedName>
    <definedName name="non_AURORA_lookup">#REF!</definedName>
    <definedName name="non_core_lookup">#REF!</definedName>
    <definedName name="nonrefundtrans">#REF!</definedName>
    <definedName name="Nov03">'[25]BS'!$S$7:$S$3582</definedName>
    <definedName name="Nov03AMA">'[25]BS'!$AI$7:$AI$3582</definedName>
    <definedName name="Nov04">'[24]BS'!$AB$7:$AB$3582</definedName>
    <definedName name="Nov04AMA">'[24]BS'!$AN$7:$AN$3582</definedName>
    <definedName name="Nov05">#REF!</definedName>
    <definedName name="Nov05AMA">#REF!</definedName>
    <definedName name="novcf">#REF!</definedName>
    <definedName name="novcost">#REF!</definedName>
    <definedName name="numturbines">#REF!</definedName>
    <definedName name="numturbptc">#REF!</definedName>
    <definedName name="NWSales_MWH">'[3]DT_A_AMW93'!#REF!</definedName>
    <definedName name="OBCLEASE">#REF!</definedName>
    <definedName name="Oct03">'[25]BS'!$R$7:$R$3582</definedName>
    <definedName name="Oct03AMA">'[25]BS'!$AH$7:$AH$3582</definedName>
    <definedName name="Oct04">'[24]BS'!$AA$7:$AA$3582</definedName>
    <definedName name="Oct04AMA">'[24]BS'!$AM$7:$AM$3582</definedName>
    <definedName name="Oct05">#REF!</definedName>
    <definedName name="Oct05AMA">#REF!</definedName>
    <definedName name="octcf">#REF!</definedName>
    <definedName name="octcost">#REF!</definedName>
    <definedName name="OMtoggle">#REF!</definedName>
    <definedName name="OP_Mo_Year1">#REF!</definedName>
    <definedName name="OPCONT">#REF!</definedName>
    <definedName name="OPEXPPF">'[20]model'!#REF!</definedName>
    <definedName name="OPEXPRS">#REF!</definedName>
    <definedName name="outlookdata">'[4]pivoted data'!$D$3:$Q$90</definedName>
    <definedName name="Page1">#REF!</definedName>
    <definedName name="Page2">#REF!</definedName>
    <definedName name="parasitic">#REF!</definedName>
    <definedName name="parasiticprice">#REF!</definedName>
    <definedName name="peak_new_table">'[17]2008 Extreme Peaks - 080403'!$E$5:$AD$8</definedName>
    <definedName name="peak_table">'[17]Peaks-F01'!$C$5:$E$243</definedName>
    <definedName name="PEBBLE">'[20]model'!#REF!</definedName>
    <definedName name="percdebtcov">#REF!</definedName>
    <definedName name="Percent_debt">'[8]Inputs'!$E$129</definedName>
    <definedName name="PERCENTAGES_CALCULATED">#REF!</definedName>
    <definedName name="percpersonal">#REF!</definedName>
    <definedName name="percreal">#REF!</definedName>
    <definedName name="personalproptaxadjust">#REF!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'[6]Assumptions'!$I$56</definedName>
    <definedName name="pretaxequit">#REF!</definedName>
    <definedName name="PreTaxWACC">'[6]Assumptions'!$I$62</definedName>
    <definedName name="PriceCaseTable">#REF!</definedName>
    <definedName name="Prices_Aurora">'[12]Monthly Price Summary'!$C$4:$H$63</definedName>
    <definedName name="_xlnm.Print_Area" localSheetId="0">'model'!$EP$2:$EX$61</definedName>
    <definedName name="Print_Area1">#REF!</definedName>
    <definedName name="PRO_FORMA">#REF!</definedName>
    <definedName name="PRODADJ">'[20]model'!#REF!</definedName>
    <definedName name="Prodprop">#REF!</definedName>
    <definedName name="Production_Factor">#REF!</definedName>
    <definedName name="Projects">'[28]Sheet1'!$A$1147:$B$1887</definedName>
    <definedName name="PROPSALES">'[20]model'!#REF!</definedName>
    <definedName name="proptaxdiscfactor">#REF!</definedName>
    <definedName name="proptaxrate">#REF!</definedName>
    <definedName name="Prov_Cap_Tax">'[8]Inputs'!$E$111</definedName>
    <definedName name="PSE">'model'!$A$6</definedName>
    <definedName name="PSE_Pre_Tax_Equity_Rate">'[15]Assumptions of Purchase'!$B$42</definedName>
    <definedName name="PSEBPAshare">#REF!</definedName>
    <definedName name="pseownperc">#REF!</definedName>
    <definedName name="PSEWACC">#REF!</definedName>
    <definedName name="PSPL">#REF!</definedName>
    <definedName name="PTC">#REF!</definedName>
    <definedName name="ptceffective">#REF!</definedName>
    <definedName name="PTCescal">#REF!</definedName>
    <definedName name="ptcescalstart">#REF!</definedName>
    <definedName name="PWRCSTPF">'[20]model'!#REF!</definedName>
    <definedName name="PWRCSTRS">#REF!</definedName>
    <definedName name="PWRCSTWP">#REF!</definedName>
    <definedName name="PWRCSTWR">#REF!</definedName>
    <definedName name="QA">'[13]IPOA2002'!#REF!</definedName>
    <definedName name="QTD_Format">'[19]QTD'!$B$11:$D$11,'[19]QTD'!$B$35:$D$35</definedName>
    <definedName name="RATE">#REF!</definedName>
    <definedName name="RATE2">'[22]Transp Data'!$A$8:$I$112</definedName>
    <definedName name="RATEBASE">#REF!</definedName>
    <definedName name="RATEBASE_U95">#REF!</definedName>
    <definedName name="RATECASE">'[20]model'!#REF!</definedName>
    <definedName name="RdSch_CY">'[21]INPUT TAB'!#REF!</definedName>
    <definedName name="RdSch_PY">'[21]INPUT TAB'!#REF!</definedName>
    <definedName name="RdSch_PY2">'[21]INPUT TAB'!#REF!</definedName>
    <definedName name="reaccrual">'[27]Sheet2'!#REF!</definedName>
    <definedName name="realproptaxadjust">#REF!</definedName>
    <definedName name="REC">#REF!</definedName>
    <definedName name="regasset">#REF!</definedName>
    <definedName name="RES2005">#REF!</definedName>
    <definedName name="resdebt">#REF!</definedName>
    <definedName name="resepcdevcost">#REF!</definedName>
    <definedName name="RESequit">#REF!</definedName>
    <definedName name="resource_lookup">'[9]#REF'!$B$3:$C$112</definedName>
    <definedName name="RESTATING">#REF!</definedName>
    <definedName name="Results">#REF!</definedName>
    <definedName name="retain">#REF!</definedName>
    <definedName name="RETIREPLAN">'[20]model'!#REF!</definedName>
    <definedName name="REV">#REF!</definedName>
    <definedName name="REVADJ">#REF!</definedName>
    <definedName name="Revenue">#REF!</definedName>
    <definedName name="REVREQ">#REF!</definedName>
    <definedName name="ROE">#REF!</definedName>
    <definedName name="ROR">#REF!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SALESRESALEP">#REF!</definedName>
    <definedName name="SALESRESALER">#REF!</definedName>
    <definedName name="salestax">#REF!</definedName>
    <definedName name="Sch194Rlfwd">'[21]Sch94 Rlfwd'!$B$11</definedName>
    <definedName name="schedtoggle">#REF!</definedName>
    <definedName name="SecSSW_MWH">'[3]DT_A_AMW93'!#REF!</definedName>
    <definedName name="Sep03">'[25]BS'!$Q$7:$Q$3582</definedName>
    <definedName name="Sep03AMA">'[25]BS'!$AG$7:$AG$3582</definedName>
    <definedName name="Sep04">'[24]BS'!$Z$7:$Z$3582</definedName>
    <definedName name="Sep04AMA">'[24]BS'!$AL$7:$AL$3582</definedName>
    <definedName name="Sep05">#REF!</definedName>
    <definedName name="Sep05AMA">#REF!</definedName>
    <definedName name="sepcf">#REF!</definedName>
    <definedName name="sepcost">#REF!</definedName>
    <definedName name="SKAGIT">'[20]model'!#REF!</definedName>
    <definedName name="SLFINSURANCE">#REF!</definedName>
    <definedName name="SolarDate">'[10]Dispatch Cases'!#REF!</definedName>
    <definedName name="STAFFREDUC">#REF!</definedName>
    <definedName name="StartDate">'[6]Assumptions'!$C$9</definedName>
    <definedName name="STATE_UTILITY_TAX">'model'!$DN$22</definedName>
    <definedName name="stationserv">#REF!</definedName>
    <definedName name="STORM">#REF!</definedName>
    <definedName name="Summary">'model'!$EY$2:$FE$61</definedName>
    <definedName name="SUMMARY_1.of.31">'model'!$EY$2:$FE$61</definedName>
    <definedName name="supentit_in_wkly_vect_input">#REF!</definedName>
    <definedName name="supentit_out_wkly_vect_input">#REF!</definedName>
    <definedName name="SWSales_MWH">'[3]DT_A_AMW93'!#REF!</definedName>
    <definedName name="TAXCORPLIC">#REF!</definedName>
    <definedName name="TAXENERGYP">'[20]model'!#REF!</definedName>
    <definedName name="TAXENERGYR">#REF!</definedName>
    <definedName name="TAXEXCISE">#REF!</definedName>
    <definedName name="TAXFICA">#REF!</definedName>
    <definedName name="TAXFUT">'[20]model'!#REF!</definedName>
    <definedName name="TAXINCOME">#REF!</definedName>
    <definedName name="TAXMEDICARE">#REF!</definedName>
    <definedName name="taxown">#REF!</definedName>
    <definedName name="TAXPFINT">#REF!</definedName>
    <definedName name="TAXPROPERTY">#REF!</definedName>
    <definedName name="TAXSUT">'[20]model'!#REF!</definedName>
    <definedName name="tbl_Master">#REF!</definedName>
    <definedName name="TEMPADJ">#REF!</definedName>
    <definedName name="TenaskaShare">'[10]Dispatch'!#REF!</definedName>
    <definedName name="Test">#REF!</definedName>
    <definedName name="TEST0">#REF!</definedName>
    <definedName name="TESTHKEY">#REF!</definedName>
    <definedName name="TESTKEYS">#REF!</definedName>
    <definedName name="TESTVKEY">#REF!</definedName>
    <definedName name="TESTYEAR">'model'!$A$8</definedName>
    <definedName name="Therm_upload">#REF!</definedName>
    <definedName name="ThermalBookLife">'[6]Assumptions'!$C$25</definedName>
    <definedName name="therms">#REF!</definedName>
    <definedName name="thirdpartyIRR">#REF!</definedName>
    <definedName name="Title">'[6]Assumptions'!$A$1</definedName>
    <definedName name="today">#REF!</definedName>
    <definedName name="TopLeft">#REF!</definedName>
    <definedName name="totaldebt">#REF!</definedName>
    <definedName name="totalequit">#REF!</definedName>
    <definedName name="TRADING_NET">'[3]DT_A_DOL93'!#REF!</definedName>
    <definedName name="tran_revenue">#REF!</definedName>
    <definedName name="trans_constraint_y_n">#REF!</definedName>
    <definedName name="transdb">#REF!</definedName>
    <definedName name="turbinesize">#REF!</definedName>
    <definedName name="twoyrswarranty">#REF!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rtrans">#REF!</definedName>
    <definedName name="VOMEsc">'[6]Assumptions'!$C$21</definedName>
    <definedName name="WACC">'[6]Assumptions'!$I$61</definedName>
    <definedName name="WAGES">'[20]model'!#REF!</definedName>
    <definedName name="warrantyOM">#REF!</definedName>
    <definedName name="whorn_db">#REF!</definedName>
    <definedName name="WindDate">'[10]Dispatch Cases'!#REF!</definedName>
    <definedName name="WRKCAP">'[20]model'!#REF!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UTC_FILING_FEE">'model'!$DO$23</definedName>
    <definedName name="wwp_wkly_vect_input">#REF!</definedName>
    <definedName name="Years_evaluated">'[7]Revison Inputs'!$B$6</definedName>
    <definedName name="YTD_Format">'[19]YTD'!$B$13:$D$13,'[19]YTD'!$B$36:$D$36</definedName>
    <definedName name="Z_114781A2_0298_429A_B53B_CCDE7FC07C8A_.wvu.PrintArea" localSheetId="0" hidden="1">'model'!$AJ$3:$AJ$13</definedName>
    <definedName name="Z_1B900283_A429_4403_A9D8_C71CBE042C5B_.wvu.PrintArea" localSheetId="0" hidden="1">'model'!$BV$3:$BZ$26</definedName>
    <definedName name="Z_1C1C43A1_DC1D_4B83_8878_3010F6B52F39_.wvu.PrintArea" localSheetId="0" hidden="1">'model'!$CA$3:$CE$24</definedName>
    <definedName name="Z_1E45DDAB_A557_4269_B1F7_CCA75743796E_.wvu.PrintArea" localSheetId="0" hidden="1">'model'!$V$3:$Y$37</definedName>
    <definedName name="Z_2C3700F5_7337_49E6_9C17_9B49CE910373_.wvu.PrintArea" localSheetId="0" hidden="1">'model'!$AQ$3:$AU$60</definedName>
    <definedName name="Z_31DFCE0A_9DA6_4A87_B609_465F85B537E0_.wvu.PrintArea" localSheetId="0" hidden="1">'model'!$A$3:$F$55</definedName>
    <definedName name="Z_363BCC7B_365C_4862_8308_FD01127C4AC4_.wvu.PrintArea" localSheetId="0" hidden="1">'model'!$BA$3:$BD$26</definedName>
    <definedName name="Z_368BDFFC_8B6F_4E1E_88F3_F226428845CF_.wvu.PrintArea" localSheetId="0" hidden="1">'model'!$CF$3:$CL$35</definedName>
    <definedName name="Z_3CBED636_2D45_404E_AAC8_3EE8AD1E87DC_.wvu.PrintArea" localSheetId="0" hidden="1">'model'!$DK$3:$DO$31</definedName>
    <definedName name="Z_416960AD_1B0E_43B1_BBE2_4C2BAE619099_.wvu.PrintArea" localSheetId="0" hidden="1">'model'!$CM$3:$CQ$34</definedName>
    <definedName name="Z_4D415296_881A_4775_98CD_22EFE3033486_.wvu.PrintArea" localSheetId="0" hidden="1">'model'!$BO$3:$BR$44</definedName>
    <definedName name="Z_5528C217_5C85_409E_BEF2_118EFA30D59F_.wvu.PrintArea" localSheetId="0" hidden="1">'model'!$DK$35:$DO$55</definedName>
    <definedName name="Z_57344CAB_EDB4_4D23_8F83_6632FA133D6F_.wvu.PrintArea" localSheetId="0" hidden="1">'model'!$AV$3:$AZ$25</definedName>
    <definedName name="Z_6734E4FA_60B7_471C_AEFF_A65F9BB053D8_.wvu.Cols" localSheetId="0" hidden="1">'model'!#REF!,'model'!#REF!</definedName>
    <definedName name="Z_6734E4FA_60B7_471C_AEFF_A65F9BB053D8_.wvu.PrintArea" localSheetId="0" hidden="1">'model'!$DQ$3:$FE$62</definedName>
    <definedName name="Z_70410578_0BAB_407F_B45A_A1FD00E78914_.wvu.PrintArea" localSheetId="0" hidden="1">'model'!#REF!</definedName>
    <definedName name="Z_833E8250_6973_4555_A9B1_5ACEC89F3481_.wvu.PrintArea" localSheetId="0" hidden="1">'model'!$AK$3:$AP$27</definedName>
    <definedName name="Z_9BA720D1_BA25_4C52_A40B_874BAF7D1762_.wvu.PrintArea" localSheetId="0" hidden="1">'model'!$CF$3:$CL$38</definedName>
    <definedName name="Z_A74B7FED_837E_46BE_A86A_510E0683DF4F_.wvu.PrintArea" localSheetId="0" hidden="1">'model'!$DK$56:$DO$64</definedName>
    <definedName name="Z_BEBB2007_766E_4870_AB0B_58E56CB3F651_.wvu.PrintArea" localSheetId="0" hidden="1">'model'!$BJ$4:$CZ$35</definedName>
    <definedName name="Z_DF51FD8A_8BA9_46B7_B455_DFD0D532E42D_.wvu.PrintArea" localSheetId="0" hidden="1">'model'!$Q$3:$U$44</definedName>
    <definedName name="Z_E75FE358_FE2D_4487_BA5A_B5AB72EE82DF_.wvu.PrintArea" localSheetId="0" hidden="1">'model'!$CV$3:$CZ$26</definedName>
    <definedName name="Z_F0C9B202_A28C_4D84_9483_9F8FC93D796D_.wvu.PrintArea" localSheetId="0" hidden="1">'model'!$DK$57:$DO$64</definedName>
    <definedName name="zilfpldebtperc">#REF!</definedName>
    <definedName name="zilkhaepcdevcost">#REF!</definedName>
    <definedName name="zilkhaownperc">#REF!</definedName>
  </definedNames>
  <calcPr fullCalcOnLoad="1"/>
</workbook>
</file>

<file path=xl/sharedStrings.xml><?xml version="1.0" encoding="utf-8"?>
<sst xmlns="http://schemas.openxmlformats.org/spreadsheetml/2006/main" count="1000" uniqueCount="433">
  <si>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</si>
  <si>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</si>
  <si>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</si>
  <si>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</si>
  <si>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</si>
  <si>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</si>
  <si>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</si>
  <si>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</si>
  <si>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</si>
  <si>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</si>
  <si>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</si>
  <si>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</si>
  <si>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</si>
  <si>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</si>
  <si>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</si>
  <si>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</si>
  <si>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</si>
  <si>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</si>
  <si>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</si>
  <si>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</si>
  <si>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PUGET SOUND ENERGY-GAS</t>
  </si>
  <si>
    <t xml:space="preserve">PUGET SOUND ENERGY-GAS </t>
  </si>
  <si>
    <t>RESTATED PROPERTY TAX</t>
  </si>
  <si>
    <t>CONVERSION FACTOR</t>
  </si>
  <si>
    <t>RESULTS OF OPERATIONS</t>
  </si>
  <si>
    <t>&gt;</t>
  </si>
  <si>
    <t>LINE</t>
  </si>
  <si>
    <t>INCREASE</t>
  </si>
  <si>
    <t xml:space="preserve">LINE </t>
  </si>
  <si>
    <t>ACTUAL RESULTS OF</t>
  </si>
  <si>
    <t xml:space="preserve">FEDERAL </t>
  </si>
  <si>
    <t>TAX BENEFIT OF</t>
  </si>
  <si>
    <t xml:space="preserve">BAD </t>
  </si>
  <si>
    <t>MISCELLANEOUS</t>
  </si>
  <si>
    <t xml:space="preserve">PROPERTY </t>
  </si>
  <si>
    <t>EMPLOYEE</t>
  </si>
  <si>
    <t>INVESTMENT</t>
  </si>
  <si>
    <t>PROFORMA</t>
  </si>
  <si>
    <t>RATE CASE</t>
  </si>
  <si>
    <t>ACTUAL</t>
  </si>
  <si>
    <t>TOTAL</t>
  </si>
  <si>
    <t>NO.</t>
  </si>
  <si>
    <t>DESCRIPTION</t>
  </si>
  <si>
    <t>RESTATED</t>
  </si>
  <si>
    <t>AMOUNT</t>
  </si>
  <si>
    <t>ADJUSTMENT</t>
  </si>
  <si>
    <t>TEST YEAR</t>
  </si>
  <si>
    <t>RATE YEAR</t>
  </si>
  <si>
    <t>OPERATIONS</t>
  </si>
  <si>
    <t>AMORTIZATION</t>
  </si>
  <si>
    <t>INCOME TAX</t>
  </si>
  <si>
    <t>DEBTS</t>
  </si>
  <si>
    <t>ADJUSTMENTS</t>
  </si>
  <si>
    <t>TAXES</t>
  </si>
  <si>
    <t>SALES</t>
  </si>
  <si>
    <t>INSURANCE</t>
  </si>
  <si>
    <t>PLAN</t>
  </si>
  <si>
    <t>EXPENSES</t>
  </si>
  <si>
    <t>RESULTS OF</t>
  </si>
  <si>
    <t>BASE</t>
  </si>
  <si>
    <t>RATE</t>
  </si>
  <si>
    <t>1</t>
  </si>
  <si>
    <t>TAXABLE INCOME</t>
  </si>
  <si>
    <t>INTEREST EXPENSE ITEMS PER BOOKS:</t>
  </si>
  <si>
    <t>-</t>
  </si>
  <si>
    <t>CHARGED TO EXPENSE IN TY</t>
  </si>
  <si>
    <t>OPERATING REVENUES</t>
  </si>
  <si>
    <t>TOTAL OPERATING REVENUE</t>
  </si>
  <si>
    <t>INCREASE (DECREASE) EXPENSE</t>
  </si>
  <si>
    <t>INCREASE(DECREASE) EXPENSE</t>
  </si>
  <si>
    <t xml:space="preserve">FEDERAL INCOME TAX </t>
  </si>
  <si>
    <t>INCENTIVE/MERIT PAY</t>
  </si>
  <si>
    <t xml:space="preserve">   CURRENT FIT    @</t>
  </si>
  <si>
    <t>MUNICIPAL ADDITIONS</t>
  </si>
  <si>
    <t>OPERATING REVENUE DEDUCTION</t>
  </si>
  <si>
    <t>INCREASE (DECREASE) FIT @</t>
  </si>
  <si>
    <t>PAYROLL TAXES ASSOC WITH MERIT PAY</t>
  </si>
  <si>
    <t>INCREASE(DECREASE) FIT @</t>
  </si>
  <si>
    <t xml:space="preserve">   DEFERRED FIT - DEBIT</t>
  </si>
  <si>
    <t xml:space="preserve">RATE YEAR MANAGEMENT WAGE INCREASE </t>
  </si>
  <si>
    <t>INCREASE (DECREASE) IN EXPENSE</t>
  </si>
  <si>
    <t xml:space="preserve">     OTHER OPERATIONS</t>
  </si>
  <si>
    <t>INCREASE(DECREASE) NOI</t>
  </si>
  <si>
    <t xml:space="preserve">   DEFERRED FIT - CREDIT</t>
  </si>
  <si>
    <t xml:space="preserve">     OTHER TAXES</t>
  </si>
  <si>
    <t>ADJUSTMENT TO RATE BASE</t>
  </si>
  <si>
    <t>INCREASE (DECREASE) NOI</t>
  </si>
  <si>
    <t xml:space="preserve">   DEFERRED FIT - INV TAX CREDIT, NET OF AMORTIZATION</t>
  </si>
  <si>
    <t>TRANSMISSION</t>
  </si>
  <si>
    <t xml:space="preserve">     STATE UTILITY</t>
  </si>
  <si>
    <t>OPERATING EXPENSE</t>
  </si>
  <si>
    <t xml:space="preserve">                    TOTAL RESTATED FIT</t>
  </si>
  <si>
    <t>DISTRIBUTION</t>
  </si>
  <si>
    <t>INCREASE(DECREASE) FIT</t>
  </si>
  <si>
    <t>CUSTOMER ACCTS</t>
  </si>
  <si>
    <t>SALARIED EMPLOYEES</t>
  </si>
  <si>
    <t>FIT PER BOOKS:</t>
  </si>
  <si>
    <t>CUSTOMER SERVICE</t>
  </si>
  <si>
    <t>UNION EMPLOYEES</t>
  </si>
  <si>
    <t xml:space="preserve">     STATE UTILITY TAX</t>
  </si>
  <si>
    <t xml:space="preserve">   CURRENT FIT    </t>
  </si>
  <si>
    <t>ADMIN. &amp; GENERAL</t>
  </si>
  <si>
    <t>PRO FORMA INSURANCE COSTS</t>
  </si>
  <si>
    <t>TOTAL WAGE INCREASE</t>
  </si>
  <si>
    <t xml:space="preserve">     ALL OTHER (FILING FEE)</t>
  </si>
  <si>
    <t>APPLICABLE TO OPERATIONS @</t>
  </si>
  <si>
    <t>FEDERAL INCOME TAX</t>
  </si>
  <si>
    <t xml:space="preserve">     CURRENT</t>
  </si>
  <si>
    <t xml:space="preserve">                    TOTAL CHARGED TO EXPENSE</t>
  </si>
  <si>
    <t xml:space="preserve">                   TOTAL OPERATING REVENUE DEDUCTIONS</t>
  </si>
  <si>
    <t>INCREASE(DECREASE) DEFERRED FIT</t>
  </si>
  <si>
    <t>OTHER POWER SUPPLY EXPENSES</t>
  </si>
  <si>
    <t>INCREASE(DECREASE) ITC</t>
  </si>
  <si>
    <t xml:space="preserve">INCREASE(DECREASE) NOI </t>
  </si>
  <si>
    <t>COST OF</t>
  </si>
  <si>
    <t>COST %</t>
  </si>
  <si>
    <t>CAPITAL</t>
  </si>
  <si>
    <t>CUSTOMER ACCOUNT EXPENSES</t>
  </si>
  <si>
    <t xml:space="preserve">   </t>
  </si>
  <si>
    <t>AMORTIZATION OF PROPERTY LOSS</t>
  </si>
  <si>
    <t>CAPITAL %</t>
  </si>
  <si>
    <t>DEBT</t>
  </si>
  <si>
    <t>PREFERRED</t>
  </si>
  <si>
    <t>EQUITY</t>
  </si>
  <si>
    <t>RATEBASE</t>
  </si>
  <si>
    <t>GENERAL RATE INCREASE</t>
  </si>
  <si>
    <t>RATE BASE</t>
  </si>
  <si>
    <t>QUALIFIED RETIREMENT FUND</t>
  </si>
  <si>
    <t>TOTAL ADJUSTMENT TO RATEBASE</t>
  </si>
  <si>
    <t>STATEMENT OF OPERATING INCOME AND ADJUSTMENTS</t>
  </si>
  <si>
    <t>INVESTMENT PLAN</t>
  </si>
  <si>
    <t>BENEFIT CONTRIBUTION:</t>
  </si>
  <si>
    <t>WAGES:</t>
  </si>
  <si>
    <t>TOTAL WAGES &amp; TAXES</t>
  </si>
  <si>
    <t>PRODUCTION MANUF. GAS</t>
  </si>
  <si>
    <t>OTHER GAS SUPPLY</t>
  </si>
  <si>
    <t>STORAGE, LNG T&amp;G</t>
  </si>
  <si>
    <t>OTHER ENERGY SUPPLY EXPENSES</t>
  </si>
  <si>
    <t>INVESTMENT PLAN APPLICABLE TO MANAGEMENT</t>
  </si>
  <si>
    <t>TOTAL COMPANY CONTRIBUTION FOR MANAGEMENT</t>
  </si>
  <si>
    <t>PRO FORMA COSTS APPLICABLE TO OPERATIONS</t>
  </si>
  <si>
    <t>WEIGHTED COST OF DEBT</t>
  </si>
  <si>
    <t>INTEREST ON LONG TERM DEBT</t>
  </si>
  <si>
    <t>AMORTIZATION OF DEBT DISCOUNT</t>
  </si>
  <si>
    <t xml:space="preserve">    AND EXPENSE, NET OF PREMIUMS</t>
  </si>
  <si>
    <t>OTHER INTEREST EXPENSE</t>
  </si>
  <si>
    <t>CHARGED TO EXPENSE IN TEST YEAR</t>
  </si>
  <si>
    <t xml:space="preserve">INCREASE (DECREASE) FIT @ </t>
  </si>
  <si>
    <t>CWIP "IN SERVICE" BUT NOT TRANSFERRED TO PLANT</t>
  </si>
  <si>
    <t>WAGE</t>
  </si>
  <si>
    <t>RATE BASE: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</si>
  <si>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</si>
  <si>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</si>
  <si>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</si>
  <si>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</si>
  <si>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</si>
  <si>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</si>
  <si>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>REVENUE</t>
  </si>
  <si>
    <t>AFTER</t>
  </si>
  <si>
    <t>REQUIREMENT</t>
  </si>
  <si>
    <t>DEFICIENCY</t>
  </si>
  <si>
    <t>PROPERTY INSURANCE EXPENSE</t>
  </si>
  <si>
    <t>LIABILITY INSURANCE EXPENSE</t>
  </si>
  <si>
    <t>PROPERTY&amp;</t>
  </si>
  <si>
    <t>LIABILITY INS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</si>
  <si>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</si>
  <si>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</si>
  <si>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</si>
  <si>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</si>
  <si>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</si>
  <si>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</si>
  <si>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DEDUCTIBLE CWIP</t>
  </si>
  <si>
    <t>TAX BENEFIT OF PRO FORMA INTEREST</t>
  </si>
  <si>
    <t>BAD DEBTS</t>
  </si>
  <si>
    <t>MISCELLANEOUS OPERATING EXPENSE</t>
  </si>
  <si>
    <t>PROPERTY TAXES</t>
  </si>
  <si>
    <t>WAGE INCREASE</t>
  </si>
  <si>
    <t>EMPLOYEE INSURANCE</t>
  </si>
  <si>
    <t>RATE CASE EXPENSES</t>
  </si>
  <si>
    <t>PROPERTY &amp; LIABILITY INSURANCE</t>
  </si>
  <si>
    <t>EXCISE TAX &amp; FILING FEE</t>
  </si>
  <si>
    <t>REVENUE &amp;</t>
  </si>
  <si>
    <t>PRO FORMA INTEREST</t>
  </si>
  <si>
    <t>EXCISE TAX &amp;</t>
  </si>
  <si>
    <t>FILING FEE</t>
  </si>
  <si>
    <t>RESTATING AND PRO FORMA ADJUSTMENTS</t>
  </si>
  <si>
    <t>PENSION PLAN</t>
  </si>
  <si>
    <t>PENSION</t>
  </si>
  <si>
    <t>GAS COSTS:</t>
  </si>
  <si>
    <t xml:space="preserve"> PURCHASED GAS</t>
  </si>
  <si>
    <t>PRO FORMA</t>
  </si>
  <si>
    <t>PRO FORMA COST OF CAPITAL</t>
  </si>
  <si>
    <t>MANAGEMENT (INC. EXECUTIVES)</t>
  </si>
  <si>
    <t>AFTER TAX DEBT ( LINE 1 * 65%)</t>
  </si>
  <si>
    <t>TOTAL AFTER TAX COST OF CAPITAL</t>
  </si>
  <si>
    <t>RESTATED /</t>
  </si>
  <si>
    <t>PAYROLL TAXES</t>
  </si>
  <si>
    <t>check</t>
  </si>
  <si>
    <t>INCREASE(DECREASE) OPERATING EXPENSE</t>
  </si>
  <si>
    <t>@</t>
  </si>
  <si>
    <t>INCREASE (DECREASE) OPERATING EXPENSE</t>
  </si>
  <si>
    <t>SERP PLAN</t>
  </si>
  <si>
    <t>Rate Increase</t>
  </si>
  <si>
    <t>DEPRECIATION</t>
  </si>
  <si>
    <t>FEDERAL INCOME TAX:</t>
  </si>
  <si>
    <t>3-Yr Average of Net Write Off Rate</t>
  </si>
  <si>
    <t>Test Period Revenues</t>
  </si>
  <si>
    <t>PROFORMA BAD DEBT RATE</t>
  </si>
  <si>
    <t>PROFORMA BAD DEBTS</t>
  </si>
  <si>
    <t>UNCOLLECTIBLES CHARGED TO EXPENSE IN TEST YEAR</t>
  </si>
  <si>
    <t>PREFERRED STOCK</t>
  </si>
  <si>
    <t>INCENTIVE PAY</t>
  </si>
  <si>
    <t>OPERATING INCOME REQUIREMENT</t>
  </si>
  <si>
    <t>PRO FORMA OPERATING INCOME</t>
  </si>
  <si>
    <t>OPERATING INCOME DEFICIENCY</t>
  </si>
  <si>
    <t>TOTAL REVENUE REQUIREMENT</t>
  </si>
  <si>
    <t>FAS 133</t>
  </si>
  <si>
    <t>NET</t>
  </si>
  <si>
    <t>GROSS</t>
  </si>
  <si>
    <t>WRITEOFFS</t>
  </si>
  <si>
    <t>REVENUES</t>
  </si>
  <si>
    <t>DEFERRED GAINS/</t>
  </si>
  <si>
    <t>LOSSES PROP SALES</t>
  </si>
  <si>
    <t>D&amp;O INSURANCE</t>
  </si>
  <si>
    <t>D &amp; O INS. CHG  EXPENSE</t>
  </si>
  <si>
    <t>INCREASE (DECREASE) D&amp;O EXPENSE</t>
  </si>
  <si>
    <t>D&amp;O</t>
  </si>
  <si>
    <t xml:space="preserve">  OTHER</t>
  </si>
  <si>
    <t xml:space="preserve">  UTILITY PLANT IN SERVICE</t>
  </si>
  <si>
    <t>DEFERRED EXPENDITURES TO BE AMORTIZED:</t>
  </si>
  <si>
    <t>REMAINING 2001 GRC DEFERRALS TO BE AMORTIZED</t>
  </si>
  <si>
    <t>LESS TEST YEAR EXPENSE:  2001 GRC AMORTIZATION</t>
  </si>
  <si>
    <t>REMAINING 2004 GRC DEFERRALS TO BE AMORTIZED</t>
  </si>
  <si>
    <t>LESS TEST YEAR EXPENSE:  2004 GRC AMORTIZATION</t>
  </si>
  <si>
    <t>EXPENSES TO BE NORMALIZED:</t>
  </si>
  <si>
    <t>TOTAL INCREASE (DECREASE) EXPENSE</t>
  </si>
  <si>
    <t>ESTIMATED GRC EXPENSES TO BE NORMALIZED</t>
  </si>
  <si>
    <t>LESS TEST YEAR EXPENSE:  GRC DIRECT CHARGES TO O&amp;M</t>
  </si>
  <si>
    <t>INTEREST ON</t>
  </si>
  <si>
    <t>CUSTOMER DEPOSITS</t>
  </si>
  <si>
    <t>INTEREST ON CUSTOMER DEPOSITS</t>
  </si>
  <si>
    <t>INTEREST EXPENSE FOR TEST YEAR</t>
  </si>
  <si>
    <t>DEFERRED GAINS/LOSSES ON PROPERTY SALES</t>
  </si>
  <si>
    <t>INCREASE (DECREASE) FIT @ 35%</t>
  </si>
  <si>
    <t>INCREASE (DECREASE) EXPENSE  (Line 5 - Line 7)</t>
  </si>
  <si>
    <t>INCREASE (DECREASE) IN OPERATING EXPENSE</t>
  </si>
  <si>
    <t>LESS INTEREST ON CUSTOMER DEPOSITS</t>
  </si>
  <si>
    <t>IBEW</t>
  </si>
  <si>
    <t>INVESTMENT PLAN APPLICABLE TO IBEW</t>
  </si>
  <si>
    <t xml:space="preserve">RATE YEAR IBEW WAGE INCREASE                   </t>
  </si>
  <si>
    <t>TOTAL COMPANY CONTRIBUTION FOR IBEW</t>
  </si>
  <si>
    <t>UA</t>
  </si>
  <si>
    <t>INVESTMENT PLAN APPLICABLE TO UA</t>
  </si>
  <si>
    <t xml:space="preserve">RATE YEAR UA WAGE INCREASE                   </t>
  </si>
  <si>
    <t>TOTAL COMPANY CONTRIBUTION FOR UA</t>
  </si>
  <si>
    <t>TOTAL PROFORMA COSTS (LN 4 + LN 9 + 14)</t>
  </si>
  <si>
    <t>ANNUAL NORMALIZATION (LINE 22 / 2 YEARS)</t>
  </si>
  <si>
    <t>TOTAL INCENTIVE PAY</t>
  </si>
  <si>
    <t>EVERETT DELTA</t>
  </si>
  <si>
    <t>NET RATE BASE</t>
  </si>
  <si>
    <t>PROFORMA INTEREST</t>
  </si>
  <si>
    <t>INCOME TAXES</t>
  </si>
  <si>
    <t>TAXES OTHER THAN INCOME TAXES</t>
  </si>
  <si>
    <t>TOTAL DEFERRED NET (GAIN) LOSS TO AMORTIZE</t>
  </si>
  <si>
    <t>AMORTIZATION OF DEFERRED NET (GAIN) LOSS FOR RATE YEAR (Line 3/3years)</t>
  </si>
  <si>
    <t>AMORTIZATION OF DEFERRED NET (GAIN) LOSS FOR TEST YEAR</t>
  </si>
  <si>
    <t>INTEREST ON PREFERRED STOCK</t>
  </si>
  <si>
    <t xml:space="preserve">OPERATING EXPENSES </t>
  </si>
  <si>
    <t>INCREASE (DECREASE) INCOME</t>
  </si>
  <si>
    <t xml:space="preserve">PROPERTY TAX </t>
  </si>
  <si>
    <t>AFTER TAX PROPOSED for RATE of RETURN</t>
  </si>
  <si>
    <t>OPERATING INCOME REQUIREMENT (Line 46 x Line 47)</t>
  </si>
  <si>
    <t>NET OPERATING INCOME (Line 33)</t>
  </si>
  <si>
    <t>OPERATING INCOME DEFICIENCY (Line 48 - Line 49)</t>
  </si>
  <si>
    <t>LEASE REVENUE ADJUSTMENT (Line 50 / Line  51)</t>
  </si>
  <si>
    <t>FOR THE TWELVE MONTHS ENDED SEPTEMBER 30, 2007</t>
  </si>
  <si>
    <t>12ME Sept. 30, 2007</t>
  </si>
  <si>
    <t>CHARGED TO EXPENSE 09/30/07</t>
  </si>
  <si>
    <t>CHARGED TO EXPENSE FOR YEAR ENDED 9/30/2007</t>
  </si>
  <si>
    <t>TEMPERATURE NORMALIZATION</t>
  </si>
  <si>
    <t>TEMPERATURE</t>
  </si>
  <si>
    <t>NORMALIZATION</t>
  </si>
  <si>
    <t>TEMPERATURE NORMALIZATION ADJUSTMENT:</t>
  </si>
  <si>
    <t>TEMP ADJ</t>
  </si>
  <si>
    <t>CHANGE</t>
  </si>
  <si>
    <t>REVENUE ADJUSTMENT:</t>
  </si>
  <si>
    <t>INCREASE (DECREASE) SALES TO CUSTOMERS</t>
  </si>
  <si>
    <t>UNCOLLECTIBLES @</t>
  </si>
  <si>
    <t>ANNUAL FILING FEE @</t>
  </si>
  <si>
    <t>INCREASE (DECREASE) EXPENSES</t>
  </si>
  <si>
    <t>STATE UTILITY TAX @</t>
  </si>
  <si>
    <t>INCREASE (DECREASE) TAXES OTHER</t>
  </si>
  <si>
    <t>THERMS</t>
  </si>
  <si>
    <t>Residential (23, 53)</t>
  </si>
  <si>
    <t>Residential (16)</t>
  </si>
  <si>
    <t>Interruptible (85)</t>
  </si>
  <si>
    <t>Transportation (57)</t>
  </si>
  <si>
    <t>Commercial &amp; industrial (31,36,51)</t>
  </si>
  <si>
    <t>Large volume (41)</t>
  </si>
  <si>
    <t>Compressed natural gas (50)</t>
  </si>
  <si>
    <t>Limited interruptible (86)</t>
  </si>
  <si>
    <t>Non exclusive interruptible (87)</t>
  </si>
  <si>
    <t>Contracts (99,199,299)</t>
  </si>
  <si>
    <t>ADJUST REVENUE SENSITIVE ITEMS FOR REMOVAL OF REVENUE:</t>
  </si>
  <si>
    <t>PASS THROUGH REVENUE AND EXPENSE</t>
  </si>
  <si>
    <t>PASS THROUGH</t>
  </si>
  <si>
    <t>REVENUE &amp; EXPENSE</t>
  </si>
  <si>
    <t>RATEBASE DETAIL CHECK</t>
  </si>
  <si>
    <t xml:space="preserve">  ACCUMULATED DEFERRED FIT</t>
  </si>
  <si>
    <t>REMOVE PGA DEFERRAL AMORTIZATION EXP - SCHEDULE 106</t>
  </si>
  <si>
    <t>IMMATERIAL</t>
  </si>
  <si>
    <t>REMOVE MUNICIPAL TAXES ASSOC WITH OTHER OPRTG REV</t>
  </si>
  <si>
    <t>REMOVE MUNICIPAL TAXES ASSOC WITH SALES TO CUSTOMERS</t>
  </si>
  <si>
    <t>INCL. ABOVE</t>
  </si>
  <si>
    <t>INTEREST ON DEBT TO ASSOCIATED COMPANIES</t>
  </si>
  <si>
    <t>12 MOS ENDED 09/30/2004</t>
  </si>
  <si>
    <t>12 MOS ENDED 09/30/2005</t>
  </si>
  <si>
    <t>12 MOS ENDED 09/30/2007</t>
  </si>
  <si>
    <t>ADJUSTMENT TO OPERATING EXPENSES</t>
  </si>
  <si>
    <t>403 DEPRECIATION EXPENSE</t>
  </si>
  <si>
    <t>403 GAS PORTION OF COMMON</t>
  </si>
  <si>
    <t>403 DEPR. EXP. ON ASSETS NOT INCLUDED IN STUDY</t>
  </si>
  <si>
    <t>SUBTOTAL DEPRECIATION EXPENSE 403</t>
  </si>
  <si>
    <t>403.1 DEPR. EXP- FAS 143 (RECOVERED IN RATES)</t>
  </si>
  <si>
    <t>403.1 DEPR. EXP - FAS 143 (NOT RECOVERED IN RATES)</t>
  </si>
  <si>
    <t>SUBTOTAL DEPRECIATION EXPENSE 403.1</t>
  </si>
  <si>
    <t>TOTAL DEPRECIATION EXPENSE</t>
  </si>
  <si>
    <t>4111 ACCRETION EXP. - FAS 143 (RECOVERED IN RATES)</t>
  </si>
  <si>
    <t>4111 ACCRETION EXP. - FAS 143 (NOT RECOVERED IN RATES)</t>
  </si>
  <si>
    <t>SUBTOTAL ACCRETION EXPENSE 411.1</t>
  </si>
  <si>
    <t>FLEET DEPR. EXP. ON INC STMNT NOT RECORDED IN 403</t>
  </si>
  <si>
    <t>SALES TO CUSTOMERS:</t>
  </si>
  <si>
    <t>ADD GRC INCREASE DOCKET UG-060267</t>
  </si>
  <si>
    <t>SCHEDULE MIGRATION</t>
  </si>
  <si>
    <t>TRUE UP CHANGE IN UNBILLED</t>
  </si>
  <si>
    <t>OTHER ADJUSTMENTS</t>
  </si>
  <si>
    <t>RESTATING ADJUSTMENTS SALES TO CUSTOMERS</t>
  </si>
  <si>
    <t>TOTAL INCREASE (DECREASE) SALES TO CUSTOMERS</t>
  </si>
  <si>
    <t>RENTALS:</t>
  </si>
  <si>
    <t>ADD GRC INCREASE DOCKET 060266</t>
  </si>
  <si>
    <t>TOTAL INCREASE (DECREASE) OTHER OPERATING REVENUE</t>
  </si>
  <si>
    <t>TOTAL INCREASE (DECREASE) REVENUES</t>
  </si>
  <si>
    <t>RECLASS PENALTIES AND NEW CUSTOMER REVENUE TO</t>
  </si>
  <si>
    <t>OTHER OPERATING</t>
  </si>
  <si>
    <t xml:space="preserve">OCTOBER 2007 PURCHASED GAS </t>
  </si>
  <si>
    <t>ADJUSTMENT, DOCKET UG-071775.</t>
  </si>
  <si>
    <t>RECLASS PENALTIES AND NEW CUSTOMER REVENUE</t>
  </si>
  <si>
    <t>FROM SALES TO CUSTOMERS</t>
  </si>
  <si>
    <t>REVENUE AND EXPENSES</t>
  </si>
  <si>
    <t>OPERATING EXPENSES:</t>
  </si>
  <si>
    <t>PURCHASED GAS COSTS</t>
  </si>
  <si>
    <t>ADJUSTMENT FOR ONE-TIME FAS 106 CURTAILMENT GAIN</t>
  </si>
  <si>
    <t>INCREASE IN SERVICE CONTRACT BASELINE CHARGES TSM</t>
  </si>
  <si>
    <t>INCREASE IN SERVICE CONTRACT BASELINE CHARGES DIST</t>
  </si>
  <si>
    <t>LEASE</t>
  </si>
  <si>
    <t>ADJUST ACCUM DEPR FOR ADDITIONAL DEPR EXP (50% OF LINE 19)</t>
  </si>
  <si>
    <t>ADJUST ACCUMULATED DFIT FOR ADDITIONAL EXPENSE (50% OF LINE 21)</t>
  </si>
  <si>
    <t>REMOVE REVENUES ASSOCIATED WITH RIDERS:</t>
  </si>
  <si>
    <t>TOTAL (INCREASE) DECREASE REVENUES</t>
  </si>
  <si>
    <t>ANNUAL FILING FEE</t>
  </si>
  <si>
    <t>STATE UTILITY TAX</t>
  </si>
  <si>
    <t>REMOVE EXPENSES ASSOCIATED WITH RIDERS</t>
  </si>
  <si>
    <t>REMOVE LOW INCOME - SCHEDULE 129</t>
  </si>
  <si>
    <t>REMOVE CONSERVATION - SCHEDULE 120</t>
  </si>
  <si>
    <t>REMOVE REVENUE ASSOC WITH PGA AMORTIZATION - SCHEDULE 106</t>
  </si>
  <si>
    <t>REMOVE LOW INCOME AMORTIZATION - SCHEDULE 129</t>
  </si>
  <si>
    <t>REMOVE CONSERVATION AMORTIZATION - SCHEDULE 120</t>
  </si>
  <si>
    <t>INCREASE (DECREASE) IN OPERATING INCOME BEFORE TAXES</t>
  </si>
  <si>
    <t>AMORT OF DEFERRED TAXES OF INDIRECT OVERHEADS</t>
  </si>
  <si>
    <t xml:space="preserve">      REGULATORY ASSET (WUTC DOC # UG-051528)</t>
  </si>
  <si>
    <t xml:space="preserve">SUMMIT BUILDING CONTRACTUAL RENT INCREASES </t>
  </si>
  <si>
    <t xml:space="preserve">     PER ACCOUNTING PETITION #UE-071876</t>
  </si>
  <si>
    <t xml:space="preserve">AMORTIZATION OF SUMMIT BUYOUT PURCHASE OPTION </t>
  </si>
  <si>
    <t>STUDY</t>
  </si>
  <si>
    <t>COMPANY STORE - PURCHASE OF MERCHANDISE</t>
  </si>
  <si>
    <t>COMPANY STORE - SALE OF MERCHANDISE</t>
  </si>
  <si>
    <t xml:space="preserve">ADJUSTMENT TO MOVE WAGES FOR OFFICER TIME ON MERGER </t>
  </si>
  <si>
    <t xml:space="preserve">     CHARGED TO PSE:</t>
  </si>
  <si>
    <t xml:space="preserve">     EMPLOYEE BENEFITS, FERC 926</t>
  </si>
  <si>
    <t xml:space="preserve">     PAYROLL TAXES, FERC 408.1</t>
  </si>
  <si>
    <t>MERGER SAVINGS</t>
  </si>
  <si>
    <t xml:space="preserve">     LABOR &amp; LABOR OH, PTO, INCENTIVES, FERC 920</t>
  </si>
  <si>
    <t>Docket Numbers UE-072300, et al</t>
  </si>
  <si>
    <t>CRYSTAL MOUNTAIN DIESEL SPILL</t>
  </si>
  <si>
    <t>LEGAL EXPENSES CHARGED TO GAS O&amp;M</t>
  </si>
  <si>
    <t>DIESEL SPILL</t>
  </si>
  <si>
    <t>CRYSTAL MOUNTAIN</t>
  </si>
  <si>
    <t>DEPRECIATION STUDY</t>
  </si>
  <si>
    <t>INCREASE(DECREASE) DFIT</t>
  </si>
  <si>
    <r>
      <t>DEFERRED GAIN RECORDED SINCE UE-060266,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10/31/2008</t>
    </r>
  </si>
  <si>
    <r>
      <t>DEFERRED LOSS RECORDED SINCE UE-060266,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10/31/2008</t>
    </r>
  </si>
  <si>
    <t>BILLING DISCOUNTS</t>
  </si>
  <si>
    <t>RESIDENTIAL</t>
  </si>
  <si>
    <t>EXPENSES:</t>
  </si>
  <si>
    <t>GENERAL &amp; ADMN</t>
  </si>
  <si>
    <t>TOTAL EXPENSES</t>
  </si>
  <si>
    <t>STATE EXCISE TAX</t>
  </si>
  <si>
    <t>TOTAL TAXES</t>
  </si>
  <si>
    <t>TOTAL EXPENSES &amp; TAXES</t>
  </si>
  <si>
    <t>BILLING</t>
  </si>
  <si>
    <t>DISCOUNTS</t>
  </si>
  <si>
    <t>Attachment E to Bench Request No. 06</t>
  </si>
  <si>
    <t>Summary</t>
  </si>
  <si>
    <t>Attachment F to Bench Request No. 06</t>
  </si>
  <si>
    <t>Adjustment 01</t>
  </si>
  <si>
    <t>Attachment G to Bench Request No. 06</t>
  </si>
  <si>
    <t>Adjustment 02</t>
  </si>
  <si>
    <t>Adjustment 03</t>
  </si>
  <si>
    <t>Adjustment 04</t>
  </si>
  <si>
    <t>Adjustment 05</t>
  </si>
  <si>
    <t>Adjustment 06</t>
  </si>
  <si>
    <t>Adjustment 07</t>
  </si>
  <si>
    <t>Adjustment 08</t>
  </si>
  <si>
    <t>Adjustment 09</t>
  </si>
  <si>
    <t>Adjustment 10</t>
  </si>
  <si>
    <t>Adjustment 11</t>
  </si>
  <si>
    <t>Adjustment 12</t>
  </si>
  <si>
    <t>Adjustment 13</t>
  </si>
  <si>
    <t>Adjustment 14</t>
  </si>
  <si>
    <t>Adjustment 15</t>
  </si>
  <si>
    <t>Adjustment 16</t>
  </si>
  <si>
    <t>Adjustment 17</t>
  </si>
  <si>
    <t>Adjustment 18</t>
  </si>
  <si>
    <t>Adjustment 19</t>
  </si>
  <si>
    <t>Adjustment 20</t>
  </si>
  <si>
    <t>Adjustment 21</t>
  </si>
  <si>
    <t>Adjustment 22</t>
  </si>
  <si>
    <t>Adjustment 23</t>
  </si>
  <si>
    <t>Attachment H to Bench Request No. 06</t>
  </si>
  <si>
    <t>Summary Page 1</t>
  </si>
  <si>
    <t>Summary Page 2</t>
  </si>
  <si>
    <t>Summary Page 3</t>
  </si>
  <si>
    <t>Summary Page 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</si>
</sst>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%"/>
    <numFmt numFmtId="167" formatCode="0.00000%"/>
    <numFmt numFmtId="168" formatCode="0.0000000"/>
    <numFmt numFmtId="169" formatCode="0.000000"/>
    <numFmt numFmtId="170" formatCode="#,##0.0000000;\(#,##0.0000000\)"/>
    <numFmt numFmtId="171" formatCode="#,##0;\(#,##0\)"/>
    <numFmt numFmtId="172" formatCode="yyyy"/>
    <numFmt numFmtId="173" formatCode="0.0000000%"/>
    <numFmt numFmtId="174" formatCode="0."/>
    <numFmt numFmtId="175" formatCode=".0000000"/>
    <numFmt numFmtId="176" formatCode="&quot;$&quot;#,##0_);\(#,##0\)"/>
    <numFmt numFmtId="177" formatCode="#,##0.0_);\(#,##0.0\)"/>
    <numFmt numFmtId="178" formatCode="_(* #,##0_);_(* \(#,##0\);_(* &quot;-&quot;??_);_(@_)"/>
    <numFmt numFmtId="179" formatCode="_(&quot;$&quot;* #,##0_);_(&quot;$&quot;* \(#,##0\);_(&quot;$&quot;* &quot;-&quot;??_);_(@_)"/>
    <numFmt numFmtId="180" formatCode="_(* #,##0_);[Red]_(* \(#,##0\);_(* &quot;-&quot;_);_(@_)"/>
    <numFmt numFmtId="181" formatCode="_(&quot;$&quot;* #,##0_);[Red]_(&quot;$&quot;* \(#,##0\);_(&quot;$&quot;* &quot;-&quot;_);_(@_)"/>
    <numFmt numFmtId="182" formatCode="&quot;$&quot;#,##0.000000_);[Red]\(&quot;$&quot;#,##0.000000\)"/>
    <numFmt numFmtId="183" formatCode="_(&quot;$&quot;* #,##0.000000_);_(&quot;$&quot;* \(#,##0.000000\);_(&quot;$&quot;* &quot;-&quot;_);_(@_)"/>
    <numFmt numFmtId="184" formatCode="_(* #,##0.000000_);_(* \(#,##0.000000\);_(* &quot;-&quot;_);_(@_)"/>
    <numFmt numFmtId="185" formatCode="0.000000%"/>
    <numFmt numFmtId="186" formatCode="_(&quot;$&quot;* #,##0.0000_);_(&quot;$&quot;* \(#,##0.0000\);_(&quot;$&quot;* &quot;-&quot;??_);_(@_)"/>
    <numFmt numFmtId="187" formatCode="#,##0.00000_);\(#,##0.00000\)"/>
    <numFmt numFmtId="188" formatCode="m/d/yy;@"/>
    <numFmt numFmtId="189" formatCode="_(* #,##0.0_);_(* \(#,##0.0\);_(* &quot;-&quot;_);_(@_)"/>
    <numFmt numFmtId="190" formatCode="_(* #,##0.00000_);_(* \(#,##0.00000\);_(* &quot;-&quot;??_);_(@_)"/>
    <numFmt numFmtId="191" formatCode="_(&quot;$&quot;* #,##0.000000_);_(&quot;$&quot;* \(#,##0.000000\);_(&quot;$&quot;* &quot;-&quot;??????_);_(@_)"/>
    <numFmt numFmtId="192" formatCode="_(* ###0_);_(* \(###0\);_(* &quot;-&quot;_);_(@_)"/>
    <numFmt numFmtId="193" formatCode="#,##0.00000"/>
    <numFmt numFmtId="194" formatCode="_(* #,##0.00000_);_(* \(#,##0.00000\);_(* &quot;-&quot;?????_);_(@_)"/>
    <numFmt numFmtId="195" formatCode="_(* #,##0.0_);_(* \(#,##0.0\);_(* &quot;-&quot;?_);_(@_)"/>
    <numFmt numFmtId="196" formatCode="0.00000"/>
    <numFmt numFmtId="197" formatCode="&quot;$&quot;#,##0.0_);[Red]\(&quot;$&quot;#,##0.0\)"/>
    <numFmt numFmtId="198" formatCode="d\.mmm\.yy"/>
    <numFmt numFmtId="199" formatCode="&quot;PAGE&quot;\ 0.00"/>
    <numFmt numFmtId="200" formatCode="_(&quot;$&quot;* #,##0.0_);_(&quot;$&quot;* \(#,##0.0\);_(&quot;$&quot;* &quot;-&quot;_);_(@_)"/>
    <numFmt numFmtId="201" formatCode="_(&quot;$&quot;* #,##0.00_);_(&quot;$&quot;* \(#,##0.00\);_(&quot;$&quot;* &quot;-&quot;_);_(@_)"/>
    <numFmt numFmtId="202" formatCode="0.0000%"/>
    <numFmt numFmtId="203" formatCode="_(* #,##0.0000000_);_(* \(#,##0.0000000\);_(* &quot;-&quot;_);_(@_)"/>
  </numFmts>
  <fonts count="35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b/>
      <sz val="8"/>
      <name val="Helv"/>
      <family val="0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sz val="10"/>
      <name val="Symbol"/>
      <family val="1"/>
    </font>
    <font>
      <b/>
      <sz val="8"/>
      <name val="Times New Roman"/>
      <family val="1"/>
    </font>
    <font>
      <u val="single"/>
      <sz val="7.05"/>
      <color indexed="12"/>
      <name val="Helv"/>
      <family val="0"/>
    </font>
    <font>
      <u val="single"/>
      <sz val="7.05"/>
      <color indexed="36"/>
      <name val="Helv"/>
      <family val="0"/>
    </font>
    <font>
      <sz val="12"/>
      <color indexed="24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sz val="10"/>
      <name val="Helv"/>
      <family val="0"/>
    </font>
    <font>
      <i/>
      <sz val="10"/>
      <name val="Times New Roman"/>
      <family val="1"/>
    </font>
    <font>
      <sz val="10"/>
      <color indexed="8"/>
      <name val="MS Sans Serif"/>
      <family val="0"/>
    </font>
    <font>
      <sz val="10"/>
      <name val="MS Serif"/>
      <family val="0"/>
    </font>
    <font>
      <sz val="10"/>
      <name val="Courier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sz val="7"/>
      <name val="Small Fonts"/>
      <family val="0"/>
    </font>
    <font>
      <b/>
      <sz val="10"/>
      <name val="MS Sans Serif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89">
    <xf numFmtId="169" fontId="11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1" fillId="0" borderId="0">
      <alignment horizontal="left" wrapText="1"/>
      <protection/>
    </xf>
    <xf numFmtId="190" fontId="11" fillId="0" borderId="0">
      <alignment horizontal="left" wrapText="1"/>
      <protection/>
    </xf>
    <xf numFmtId="168" fontId="11" fillId="0" borderId="0">
      <alignment horizontal="left" wrapText="1"/>
      <protection/>
    </xf>
    <xf numFmtId="190" fontId="11" fillId="0" borderId="0">
      <alignment horizontal="left" wrapText="1"/>
      <protection/>
    </xf>
    <xf numFmtId="190" fontId="11" fillId="0" borderId="0">
      <alignment horizontal="left" wrapText="1"/>
      <protection/>
    </xf>
    <xf numFmtId="169" fontId="11" fillId="0" borderId="0">
      <alignment horizontal="left" wrapText="1"/>
      <protection/>
    </xf>
    <xf numFmtId="190" fontId="11" fillId="0" borderId="0">
      <alignment horizontal="left" wrapText="1"/>
      <protection/>
    </xf>
    <xf numFmtId="190" fontId="11" fillId="0" borderId="0">
      <alignment horizontal="left" wrapText="1"/>
      <protection/>
    </xf>
    <xf numFmtId="190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90" fontId="11" fillId="0" borderId="0">
      <alignment horizontal="left" wrapText="1"/>
      <protection/>
    </xf>
    <xf numFmtId="169" fontId="11" fillId="0" borderId="0">
      <alignment horizontal="left" wrapText="1"/>
      <protection/>
    </xf>
    <xf numFmtId="190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90" fontId="11" fillId="0" borderId="0">
      <alignment horizontal="left" wrapText="1"/>
      <protection/>
    </xf>
    <xf numFmtId="190" fontId="11" fillId="0" borderId="0">
      <alignment horizontal="left" wrapText="1"/>
      <protection/>
    </xf>
    <xf numFmtId="190" fontId="11" fillId="0" borderId="0">
      <alignment horizontal="left" wrapText="1"/>
      <protection/>
    </xf>
    <xf numFmtId="190" fontId="11" fillId="0" borderId="0">
      <alignment horizontal="left" wrapText="1"/>
      <protection/>
    </xf>
    <xf numFmtId="198" fontId="26" fillId="0" borderId="0" applyFill="0" applyBorder="0" applyAlignment="0">
      <protection/>
    </xf>
    <xf numFmtId="41" fontId="11" fillId="2" borderId="0">
      <alignment/>
      <protection/>
    </xf>
    <xf numFmtId="4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4" fillId="0" borderId="0">
      <alignment/>
      <protection/>
    </xf>
    <xf numFmtId="0" fontId="27" fillId="0" borderId="0" applyNumberFormat="0" applyAlignment="0">
      <protection/>
    </xf>
    <xf numFmtId="0" fontId="28" fillId="0" borderId="0" applyNumberFormat="0" applyAlignment="0">
      <protection/>
    </xf>
    <xf numFmtId="0" fontId="24" fillId="0" borderId="0">
      <alignment/>
      <protection/>
    </xf>
    <xf numFmtId="0" fontId="24" fillId="0" borderId="0">
      <alignment/>
      <protection/>
    </xf>
    <xf numFmtId="8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11" fillId="0" borderId="0">
      <alignment/>
      <protection/>
    </xf>
    <xf numFmtId="2" fontId="21" fillId="0" borderId="0" applyFont="0" applyFill="0" applyBorder="0" applyAlignment="0" applyProtection="0"/>
    <xf numFmtId="0" fontId="24" fillId="0" borderId="0">
      <alignment/>
      <protection/>
    </xf>
    <xf numFmtId="0" fontId="20" fillId="0" borderId="0" applyNumberFormat="0" applyFill="0" applyBorder="0" applyAlignment="0" applyProtection="0"/>
    <xf numFmtId="38" fontId="13" fillId="3" borderId="0" applyNumberFormat="0" applyBorder="0" applyAlignment="0" applyProtection="0"/>
    <xf numFmtId="0" fontId="29" fillId="0" borderId="1" applyNumberFormat="0" applyAlignment="0" applyProtection="0"/>
    <xf numFmtId="0" fontId="29" fillId="0" borderId="2">
      <alignment horizontal="left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12" fillId="0" borderId="0">
      <alignment/>
      <protection/>
    </xf>
    <xf numFmtId="40" fontId="12" fillId="0" borderId="0">
      <alignment/>
      <protection/>
    </xf>
    <xf numFmtId="0" fontId="19" fillId="0" borderId="0" applyNumberFormat="0" applyFill="0" applyBorder="0" applyAlignment="0" applyProtection="0"/>
    <xf numFmtId="10" fontId="13" fillId="2" borderId="3" applyNumberFormat="0" applyBorder="0" applyAlignment="0" applyProtection="0"/>
    <xf numFmtId="41" fontId="30" fillId="4" borderId="4">
      <alignment horizontal="left"/>
      <protection locked="0"/>
    </xf>
    <xf numFmtId="0" fontId="13" fillId="3" borderId="0">
      <alignment/>
      <protection/>
    </xf>
    <xf numFmtId="44" fontId="22" fillId="0" borderId="5" applyNumberFormat="0" applyFont="0" applyAlignment="0">
      <protection/>
    </xf>
    <xf numFmtId="44" fontId="22" fillId="0" borderId="6" applyNumberFormat="0" applyFont="0" applyAlignment="0">
      <protection/>
    </xf>
    <xf numFmtId="37" fontId="31" fillId="0" borderId="0">
      <alignment/>
      <protection/>
    </xf>
    <xf numFmtId="191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9" fontId="4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32" fillId="0" borderId="7">
      <alignment horizontal="center"/>
      <protection/>
    </xf>
    <xf numFmtId="3" fontId="6" fillId="0" borderId="0" applyFont="0" applyFill="0" applyBorder="0" applyAlignment="0" applyProtection="0"/>
    <xf numFmtId="0" fontId="6" fillId="5" borderId="0" applyNumberFormat="0" applyFont="0" applyBorder="0" applyAlignment="0" applyProtection="0"/>
    <xf numFmtId="14" fontId="0" fillId="0" borderId="0" applyNumberFormat="0" applyFill="0" applyBorder="0" applyAlignment="0" applyProtection="0"/>
    <xf numFmtId="189" fontId="11" fillId="0" borderId="0" applyFont="0" applyFill="0" applyAlignment="0">
      <protection/>
    </xf>
    <xf numFmtId="39" fontId="11" fillId="6" borderId="0">
      <alignment/>
      <protection/>
    </xf>
    <xf numFmtId="38" fontId="13" fillId="0" borderId="8">
      <alignment/>
      <protection/>
    </xf>
    <xf numFmtId="38" fontId="12" fillId="0" borderId="9">
      <alignment/>
      <protection/>
    </xf>
    <xf numFmtId="39" fontId="0" fillId="7" borderId="0">
      <alignment/>
      <protection/>
    </xf>
    <xf numFmtId="40" fontId="33" fillId="0" borderId="0" applyBorder="0">
      <alignment horizontal="right"/>
      <protection/>
    </xf>
    <xf numFmtId="0" fontId="22" fillId="2" borderId="0">
      <alignment horizontal="left" wrapText="1"/>
      <protection/>
    </xf>
    <xf numFmtId="0" fontId="34" fillId="0" borderId="0">
      <alignment horizontal="left" vertical="center"/>
      <protection/>
    </xf>
    <xf numFmtId="0" fontId="21" fillId="0" borderId="10" applyNumberFormat="0" applyFont="0" applyFill="0" applyAlignment="0" applyProtection="0"/>
  </cellStyleXfs>
  <cellXfs count="524">
    <xf numFmtId="0" fontId="0" fillId="0" borderId="0" xfId="0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fill"/>
    </xf>
    <xf numFmtId="0" fontId="8" fillId="0" borderId="0" xfId="0" applyFont="1" applyFill="1" applyAlignment="1">
      <alignment horizontal="centerContinuous"/>
    </xf>
    <xf numFmtId="10" fontId="7" fillId="0" borderId="0" xfId="71" applyNumberFormat="1" applyFont="1" applyFill="1" applyAlignment="1">
      <alignment/>
    </xf>
    <xf numFmtId="41" fontId="7" fillId="0" borderId="0" xfId="37" applyNumberFormat="1" applyFont="1" applyFill="1" applyBorder="1" applyAlignment="1" applyProtection="1">
      <alignment/>
      <protection locked="0"/>
    </xf>
    <xf numFmtId="42" fontId="7" fillId="0" borderId="0" xfId="45" applyNumberFormat="1" applyFont="1" applyFill="1" applyAlignment="1" applyProtection="1">
      <alignment/>
      <protection locked="0"/>
    </xf>
    <xf numFmtId="41" fontId="7" fillId="0" borderId="0" xfId="37" applyNumberFormat="1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37" fontId="7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 horizontal="center"/>
    </xf>
    <xf numFmtId="171" fontId="7" fillId="0" borderId="0" xfId="0" applyNumberFormat="1" applyFont="1" applyFill="1" applyBorder="1" applyAlignment="1">
      <alignment horizontal="left"/>
    </xf>
    <xf numFmtId="171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7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 horizontal="center"/>
    </xf>
    <xf numFmtId="42" fontId="7" fillId="0" borderId="0" xfId="0" applyNumberFormat="1" applyFont="1" applyFill="1" applyBorder="1" applyAlignment="1" applyProtection="1">
      <alignment/>
      <protection locked="0"/>
    </xf>
    <xf numFmtId="171" fontId="7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171" fontId="7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 applyProtection="1">
      <alignment horizontal="center"/>
      <protection locked="0"/>
    </xf>
    <xf numFmtId="42" fontId="7" fillId="0" borderId="0" xfId="45" applyNumberFormat="1" applyFont="1" applyFill="1" applyAlignment="1">
      <alignment/>
    </xf>
    <xf numFmtId="42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left"/>
    </xf>
    <xf numFmtId="38" fontId="7" fillId="0" borderId="0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centerContinuous"/>
      <protection locked="0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5" fontId="8" fillId="0" borderId="0" xfId="0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 applyProtection="1">
      <alignment/>
      <protection locked="0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171" fontId="7" fillId="0" borderId="0" xfId="0" applyNumberFormat="1" applyFont="1" applyFill="1" applyAlignment="1">
      <alignment vertical="top"/>
    </xf>
    <xf numFmtId="171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Alignment="1" applyProtection="1">
      <alignment horizontal="center"/>
      <protection locked="0"/>
    </xf>
    <xf numFmtId="42" fontId="7" fillId="0" borderId="9" xfId="45" applyNumberFormat="1" applyFont="1" applyFill="1" applyBorder="1" applyAlignment="1" applyProtection="1">
      <alignment/>
      <protection locked="0"/>
    </xf>
    <xf numFmtId="42" fontId="7" fillId="0" borderId="9" xfId="45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0" xfId="0" applyNumberFormat="1" applyFont="1" applyFill="1" applyAlignment="1">
      <alignment vertical="center"/>
    </xf>
    <xf numFmtId="42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Border="1" applyAlignment="1" quotePrefix="1">
      <alignment horizontal="right"/>
    </xf>
    <xf numFmtId="42" fontId="7" fillId="0" borderId="0" xfId="45" applyNumberFormat="1" applyFont="1" applyFill="1" applyBorder="1" applyAlignment="1" applyProtection="1">
      <alignment/>
      <protection locked="0"/>
    </xf>
    <xf numFmtId="42" fontId="7" fillId="0" borderId="0" xfId="45" applyNumberFormat="1" applyFont="1" applyFill="1" applyBorder="1" applyAlignment="1">
      <alignment/>
    </xf>
    <xf numFmtId="0" fontId="7" fillId="0" borderId="0" xfId="45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45" applyNumberFormat="1" applyFont="1" applyFill="1" applyBorder="1" applyAlignment="1" applyProtection="1">
      <alignment/>
      <protection locked="0"/>
    </xf>
    <xf numFmtId="0" fontId="7" fillId="0" borderId="0" xfId="45" applyNumberFormat="1" applyFont="1" applyFill="1" applyAlignment="1" applyProtection="1" quotePrefix="1">
      <alignment/>
      <protection locked="0"/>
    </xf>
    <xf numFmtId="0" fontId="7" fillId="0" borderId="0" xfId="45" applyNumberFormat="1" applyFont="1" applyFill="1" applyBorder="1" applyAlignment="1" applyProtection="1" quotePrefix="1">
      <alignment/>
      <protection locked="0"/>
    </xf>
    <xf numFmtId="41" fontId="7" fillId="0" borderId="11" xfId="0" applyNumberFormat="1" applyFont="1" applyFill="1" applyBorder="1" applyAlignment="1" applyProtection="1">
      <alignment/>
      <protection locked="0"/>
    </xf>
    <xf numFmtId="41" fontId="7" fillId="0" borderId="0" xfId="37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45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3" fontId="7" fillId="0" borderId="0" xfId="37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Alignment="1" applyProtection="1">
      <alignment/>
      <protection locked="0"/>
    </xf>
    <xf numFmtId="171" fontId="7" fillId="0" borderId="0" xfId="0" applyNumberFormat="1" applyFont="1" applyFill="1" applyAlignment="1" applyProtection="1">
      <alignment horizontal="center"/>
      <protection locked="0"/>
    </xf>
    <xf numFmtId="171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8" fillId="0" borderId="11" xfId="0" applyFont="1" applyFill="1" applyBorder="1" applyAlignment="1" applyProtection="1">
      <alignment horizontal="right"/>
      <protection locked="0"/>
    </xf>
    <xf numFmtId="17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top"/>
    </xf>
    <xf numFmtId="15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/>
    </xf>
    <xf numFmtId="42" fontId="7" fillId="0" borderId="0" xfId="0" applyNumberFormat="1" applyFont="1" applyFill="1" applyAlignment="1">
      <alignment vertical="top"/>
    </xf>
    <xf numFmtId="42" fontId="7" fillId="0" borderId="0" xfId="45" applyNumberFormat="1" applyFont="1" applyFill="1" applyAlignment="1">
      <alignment horizontal="left"/>
    </xf>
    <xf numFmtId="0" fontId="8" fillId="0" borderId="0" xfId="0" applyFont="1" applyFill="1" applyAlignment="1" quotePrefix="1">
      <alignment horizontal="fill"/>
    </xf>
    <xf numFmtId="42" fontId="7" fillId="0" borderId="0" xfId="45" applyNumberFormat="1" applyFont="1" applyFill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7" fillId="0" borderId="11" xfId="0" applyNumberFormat="1" applyFont="1" applyFill="1" applyBorder="1" applyAlignment="1">
      <alignment horizontal="right"/>
    </xf>
    <xf numFmtId="41" fontId="7" fillId="0" borderId="0" xfId="45" applyNumberFormat="1" applyFont="1" applyFill="1" applyAlignment="1">
      <alignment horizontal="right"/>
    </xf>
    <xf numFmtId="186" fontId="7" fillId="0" borderId="0" xfId="0" applyNumberFormat="1" applyFont="1" applyFill="1" applyAlignment="1">
      <alignment/>
    </xf>
    <xf numFmtId="6" fontId="7" fillId="0" borderId="0" xfId="45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/>
    </xf>
    <xf numFmtId="18" fontId="7" fillId="0" borderId="0" xfId="0" applyNumberFormat="1" applyFont="1" applyFill="1" applyAlignment="1">
      <alignment/>
    </xf>
    <xf numFmtId="171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right"/>
      <protection locked="0"/>
    </xf>
    <xf numFmtId="42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41" fontId="7" fillId="0" borderId="11" xfId="37" applyNumberFormat="1" applyFont="1" applyFill="1" applyBorder="1" applyAlignment="1">
      <alignment/>
    </xf>
    <xf numFmtId="6" fontId="7" fillId="0" borderId="0" xfId="45" applyNumberFormat="1" applyFont="1" applyFill="1" applyAlignment="1">
      <alignment/>
    </xf>
    <xf numFmtId="15" fontId="8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Border="1" applyAlignment="1">
      <alignment/>
    </xf>
    <xf numFmtId="3" fontId="8" fillId="0" borderId="0" xfId="37" applyNumberFormat="1" applyFont="1" applyFill="1" applyAlignment="1">
      <alignment horizontal="centerContinuous"/>
    </xf>
    <xf numFmtId="0" fontId="8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3" fontId="8" fillId="0" borderId="0" xfId="37" applyNumberFormat="1" applyFont="1" applyFill="1" applyAlignment="1">
      <alignment/>
    </xf>
    <xf numFmtId="0" fontId="8" fillId="0" borderId="0" xfId="0" applyFont="1" applyFill="1" applyAlignment="1">
      <alignment horizontal="fill"/>
    </xf>
    <xf numFmtId="3" fontId="8" fillId="0" borderId="11" xfId="37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horizontal="fill"/>
      <protection locked="0"/>
    </xf>
    <xf numFmtId="0" fontId="7" fillId="0" borderId="11" xfId="0" applyFont="1" applyFill="1" applyBorder="1" applyAlignment="1">
      <alignment/>
    </xf>
    <xf numFmtId="164" fontId="7" fillId="0" borderId="0" xfId="0" applyNumberFormat="1" applyFont="1" applyFill="1" applyAlignment="1">
      <alignment horizontal="left"/>
    </xf>
    <xf numFmtId="179" fontId="7" fillId="0" borderId="0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fill"/>
    </xf>
    <xf numFmtId="37" fontId="7" fillId="0" borderId="0" xfId="37" applyNumberFormat="1" applyFont="1" applyFill="1" applyAlignment="1">
      <alignment/>
    </xf>
    <xf numFmtId="0" fontId="7" fillId="0" borderId="0" xfId="0" applyFont="1" applyFill="1" applyAlignment="1" applyProtection="1">
      <alignment horizontal="left"/>
      <protection locked="0"/>
    </xf>
    <xf numFmtId="37" fontId="7" fillId="0" borderId="0" xfId="37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>
      <alignment/>
    </xf>
    <xf numFmtId="1" fontId="7" fillId="0" borderId="0" xfId="0" applyNumberFormat="1" applyFont="1" applyFill="1" applyAlignment="1" quotePrefix="1">
      <alignment horizontal="left"/>
    </xf>
    <xf numFmtId="37" fontId="7" fillId="0" borderId="11" xfId="37" applyNumberFormat="1" applyFont="1" applyFill="1" applyBorder="1" applyAlignment="1">
      <alignment/>
    </xf>
    <xf numFmtId="9" fontId="7" fillId="0" borderId="0" xfId="71" applyFont="1" applyFill="1" applyAlignment="1">
      <alignment horizontal="center"/>
    </xf>
    <xf numFmtId="179" fontId="7" fillId="0" borderId="0" xfId="0" applyNumberFormat="1" applyFont="1" applyFill="1" applyAlignment="1">
      <alignment/>
    </xf>
    <xf numFmtId="41" fontId="7" fillId="0" borderId="0" xfId="45" applyNumberFormat="1" applyFont="1" applyFill="1" applyAlignment="1" applyProtection="1">
      <alignment/>
      <protection locked="0"/>
    </xf>
    <xf numFmtId="37" fontId="7" fillId="0" borderId="0" xfId="37" applyNumberFormat="1" applyFont="1" applyFill="1" applyBorder="1" applyAlignment="1">
      <alignment/>
    </xf>
    <xf numFmtId="0" fontId="7" fillId="0" borderId="0" xfId="0" applyFont="1" applyFill="1" applyAlignment="1">
      <alignment horizontal="left" vertical="top"/>
    </xf>
    <xf numFmtId="42" fontId="7" fillId="0" borderId="0" xfId="45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Alignment="1" applyProtection="1">
      <alignment horizontal="center" vertical="top"/>
      <protection locked="0"/>
    </xf>
    <xf numFmtId="9" fontId="7" fillId="0" borderId="0" xfId="71" applyNumberFormat="1" applyFont="1" applyFill="1" applyAlignment="1">
      <alignment/>
    </xf>
    <xf numFmtId="168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 applyProtection="1">
      <alignment vertical="center"/>
      <protection locked="0"/>
    </xf>
    <xf numFmtId="37" fontId="7" fillId="0" borderId="0" xfId="0" applyNumberFormat="1" applyFont="1" applyFill="1" applyBorder="1" applyAlignment="1">
      <alignment/>
    </xf>
    <xf numFmtId="6" fontId="7" fillId="0" borderId="0" xfId="45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38" fontId="7" fillId="0" borderId="0" xfId="37" applyNumberFormat="1" applyFont="1" applyFill="1" applyBorder="1" applyAlignment="1">
      <alignment/>
    </xf>
    <xf numFmtId="17" fontId="7" fillId="0" borderId="0" xfId="0" applyNumberFormat="1" applyFont="1" applyFill="1" applyAlignment="1">
      <alignment horizontal="right"/>
    </xf>
    <xf numFmtId="10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65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167" fontId="7" fillId="0" borderId="0" xfId="0" applyNumberFormat="1" applyFont="1" applyFill="1" applyAlignment="1">
      <alignment/>
    </xf>
    <xf numFmtId="171" fontId="7" fillId="0" borderId="0" xfId="0" applyNumberFormat="1" applyFont="1" applyFill="1" applyBorder="1" applyAlignment="1">
      <alignment horizontal="center"/>
    </xf>
    <xf numFmtId="0" fontId="7" fillId="0" borderId="0" xfId="68" applyFont="1" applyFill="1" applyAlignment="1">
      <alignment horizontal="centerContinuous"/>
      <protection/>
    </xf>
    <xf numFmtId="0" fontId="8" fillId="0" borderId="0" xfId="68" applyFont="1" applyFill="1" applyAlignment="1">
      <alignment horizontal="centerContinuous"/>
      <protection/>
    </xf>
    <xf numFmtId="0" fontId="7" fillId="0" borderId="0" xfId="68" applyFont="1" applyFill="1" applyAlignment="1">
      <alignment horizontal="center"/>
      <protection/>
    </xf>
    <xf numFmtId="0" fontId="7" fillId="0" borderId="0" xfId="68" applyFont="1" applyFill="1">
      <alignment/>
      <protection/>
    </xf>
    <xf numFmtId="0" fontId="10" fillId="0" borderId="0" xfId="68" applyFont="1" applyFill="1" applyAlignment="1">
      <alignment horizontal="centerContinuous"/>
      <protection/>
    </xf>
    <xf numFmtId="0" fontId="7" fillId="0" borderId="0" xfId="68" applyFont="1" applyFill="1" applyBorder="1" applyAlignment="1">
      <alignment horizontal="center"/>
      <protection/>
    </xf>
    <xf numFmtId="0" fontId="10" fillId="0" borderId="0" xfId="68" applyFont="1" applyFill="1" applyBorder="1" applyAlignment="1">
      <alignment horizontal="centerContinuous"/>
      <protection/>
    </xf>
    <xf numFmtId="0" fontId="7" fillId="0" borderId="0" xfId="68" applyFont="1" applyFill="1" applyBorder="1">
      <alignment/>
      <protection/>
    </xf>
    <xf numFmtId="174" fontId="7" fillId="0" borderId="0" xfId="68" applyNumberFormat="1" applyFont="1" applyFill="1" applyBorder="1" applyAlignment="1">
      <alignment horizontal="center"/>
      <protection/>
    </xf>
    <xf numFmtId="5" fontId="7" fillId="0" borderId="0" xfId="68" applyNumberFormat="1" applyFont="1" applyFill="1" applyBorder="1">
      <alignment/>
      <protection/>
    </xf>
    <xf numFmtId="37" fontId="7" fillId="0" borderId="0" xfId="68" applyNumberFormat="1" applyFont="1" applyFill="1" applyBorder="1">
      <alignment/>
      <protection/>
    </xf>
    <xf numFmtId="177" fontId="7" fillId="0" borderId="0" xfId="68" applyNumberFormat="1" applyFont="1" applyFill="1" applyBorder="1">
      <alignment/>
      <protection/>
    </xf>
    <xf numFmtId="7" fontId="7" fillId="0" borderId="0" xfId="68" applyNumberFormat="1" applyFont="1" applyFill="1" applyBorder="1">
      <alignment/>
      <protection/>
    </xf>
    <xf numFmtId="0" fontId="8" fillId="0" borderId="0" xfId="68" applyFont="1" applyFill="1" applyBorder="1" applyAlignment="1">
      <alignment horizontal="centerContinuous"/>
      <protection/>
    </xf>
    <xf numFmtId="0" fontId="7" fillId="0" borderId="0" xfId="68" applyFont="1" applyFill="1" applyBorder="1" applyAlignment="1">
      <alignment horizontal="centerContinuous"/>
      <protection/>
    </xf>
    <xf numFmtId="5" fontId="7" fillId="0" borderId="0" xfId="68" applyNumberFormat="1" applyFont="1" applyFill="1" applyBorder="1" applyAlignment="1">
      <alignment horizontal="centerContinuous"/>
      <protection/>
    </xf>
    <xf numFmtId="176" fontId="7" fillId="0" borderId="0" xfId="68" applyNumberFormat="1" applyFont="1" applyFill="1" applyBorder="1" applyAlignment="1">
      <alignment horizontal="centerContinuous"/>
      <protection/>
    </xf>
    <xf numFmtId="176" fontId="7" fillId="0" borderId="0" xfId="68" applyNumberFormat="1" applyFont="1" applyFill="1" applyBorder="1">
      <alignment/>
      <protection/>
    </xf>
    <xf numFmtId="169" fontId="7" fillId="0" borderId="0" xfId="68" applyNumberFormat="1" applyFont="1" applyFill="1" applyBorder="1" applyAlignment="1">
      <alignment horizontal="left"/>
      <protection/>
    </xf>
    <xf numFmtId="0" fontId="8" fillId="0" borderId="0" xfId="69" applyFont="1" applyFill="1" applyBorder="1" applyAlignment="1">
      <alignment horizontal="centerContinuous"/>
      <protection/>
    </xf>
    <xf numFmtId="0" fontId="7" fillId="0" borderId="0" xfId="69" applyFont="1" applyFill="1" applyBorder="1" applyAlignment="1">
      <alignment horizontal="centerContinuous"/>
      <protection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7" fillId="0" borderId="0" xfId="69" applyFont="1" applyFill="1" applyBorder="1" applyAlignment="1">
      <alignment horizontal="center"/>
      <protection/>
    </xf>
    <xf numFmtId="0" fontId="7" fillId="0" borderId="0" xfId="69" applyFont="1" applyFill="1" applyBorder="1">
      <alignment/>
      <protection/>
    </xf>
    <xf numFmtId="174" fontId="7" fillId="0" borderId="0" xfId="69" applyNumberFormat="1" applyFont="1" applyFill="1" applyBorder="1" applyAlignment="1">
      <alignment horizontal="center"/>
      <protection/>
    </xf>
    <xf numFmtId="5" fontId="7" fillId="0" borderId="0" xfId="69" applyNumberFormat="1" applyFont="1" applyFill="1" applyBorder="1">
      <alignment/>
      <protection/>
    </xf>
    <xf numFmtId="37" fontId="7" fillId="0" borderId="0" xfId="69" applyNumberFormat="1" applyFont="1" applyFill="1" applyBorder="1">
      <alignment/>
      <protection/>
    </xf>
    <xf numFmtId="175" fontId="7" fillId="0" borderId="0" xfId="69" applyNumberFormat="1" applyFont="1" applyFill="1" applyBorder="1">
      <alignment/>
      <protection/>
    </xf>
    <xf numFmtId="176" fontId="7" fillId="0" borderId="0" xfId="69" applyNumberFormat="1" applyFont="1" applyFill="1" applyBorder="1">
      <alignment/>
      <protection/>
    </xf>
    <xf numFmtId="41" fontId="7" fillId="0" borderId="0" xfId="0" applyNumberFormat="1" applyFont="1" applyFill="1" applyAlignment="1" applyProtection="1">
      <alignment horizontal="left"/>
      <protection locked="0"/>
    </xf>
    <xf numFmtId="4" fontId="7" fillId="0" borderId="0" xfId="37" applyFont="1" applyFill="1" applyAlignment="1">
      <alignment/>
    </xf>
    <xf numFmtId="0" fontId="7" fillId="0" borderId="0" xfId="0" applyFont="1" applyFill="1" applyBorder="1" applyAlignment="1">
      <alignment vertical="center"/>
    </xf>
    <xf numFmtId="14" fontId="15" fillId="0" borderId="0" xfId="0" applyNumberFormat="1" applyFont="1" applyFill="1" applyAlignment="1">
      <alignment/>
    </xf>
    <xf numFmtId="37" fontId="8" fillId="0" borderId="0" xfId="0" applyNumberFormat="1" applyFont="1" applyFill="1" applyAlignment="1">
      <alignment horizontal="centerContinuous"/>
    </xf>
    <xf numFmtId="9" fontId="7" fillId="0" borderId="0" xfId="71" applyFont="1" applyFill="1" applyAlignment="1">
      <alignment horizontal="left"/>
    </xf>
    <xf numFmtId="37" fontId="7" fillId="0" borderId="0" xfId="37" applyNumberFormat="1" applyFont="1" applyFill="1" applyAlignment="1">
      <alignment vertical="top"/>
    </xf>
    <xf numFmtId="9" fontId="7" fillId="0" borderId="0" xfId="0" applyNumberFormat="1" applyFont="1" applyFill="1" applyBorder="1" applyAlignment="1" applyProtection="1">
      <alignment horizontal="left"/>
      <protection locked="0"/>
    </xf>
    <xf numFmtId="41" fontId="7" fillId="0" borderId="0" xfId="0" applyNumberFormat="1" applyFont="1" applyFill="1" applyBorder="1" applyAlignment="1" applyProtection="1">
      <alignment/>
      <protection locked="0"/>
    </xf>
    <xf numFmtId="9" fontId="7" fillId="0" borderId="0" xfId="71" applyFont="1" applyFill="1" applyAlignment="1">
      <alignment/>
    </xf>
    <xf numFmtId="10" fontId="7" fillId="0" borderId="0" xfId="71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 horizontal="right"/>
    </xf>
    <xf numFmtId="10" fontId="7" fillId="0" borderId="14" xfId="71" applyNumberFormat="1" applyFont="1" applyFill="1" applyBorder="1" applyAlignment="1" applyProtection="1">
      <alignment/>
      <protection locked="0"/>
    </xf>
    <xf numFmtId="42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centerContinuous"/>
    </xf>
    <xf numFmtId="0" fontId="8" fillId="0" borderId="11" xfId="0" applyFont="1" applyFill="1" applyBorder="1" applyAlignment="1">
      <alignment/>
    </xf>
    <xf numFmtId="179" fontId="7" fillId="0" borderId="0" xfId="45" applyNumberFormat="1" applyFont="1" applyFill="1" applyBorder="1" applyAlignment="1">
      <alignment/>
    </xf>
    <xf numFmtId="41" fontId="7" fillId="0" borderId="0" xfId="37" applyNumberFormat="1" applyFont="1" applyFill="1" applyBorder="1" applyAlignment="1">
      <alignment/>
    </xf>
    <xf numFmtId="179" fontId="7" fillId="0" borderId="0" xfId="37" applyNumberFormat="1" applyFont="1" applyFill="1" applyBorder="1" applyAlignment="1">
      <alignment/>
    </xf>
    <xf numFmtId="37" fontId="7" fillId="0" borderId="9" xfId="37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42" fontId="7" fillId="0" borderId="0" xfId="45" applyNumberFormat="1" applyFont="1" applyFill="1" applyBorder="1" applyAlignment="1">
      <alignment/>
    </xf>
    <xf numFmtId="42" fontId="8" fillId="0" borderId="0" xfId="0" applyNumberFormat="1" applyFont="1" applyFill="1" applyBorder="1" applyAlignment="1">
      <alignment/>
    </xf>
    <xf numFmtId="37" fontId="7" fillId="0" borderId="0" xfId="0" applyNumberFormat="1" applyFont="1" applyFill="1" applyAlignment="1">
      <alignment horizontal="right"/>
    </xf>
    <xf numFmtId="14" fontId="18" fillId="0" borderId="0" xfId="0" applyNumberFormat="1" applyFont="1" applyFill="1" applyAlignment="1">
      <alignment horizontal="left"/>
    </xf>
    <xf numFmtId="0" fontId="8" fillId="0" borderId="0" xfId="0" applyFont="1" applyFill="1" applyAlignment="1" applyProtection="1">
      <alignment horizontal="centerContinuous" vertical="center"/>
      <protection locked="0"/>
    </xf>
    <xf numFmtId="0" fontId="8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3" fontId="7" fillId="0" borderId="0" xfId="37" applyNumberFormat="1" applyFont="1" applyFill="1" applyAlignment="1">
      <alignment horizontal="centerContinuous" vertical="center"/>
    </xf>
    <xf numFmtId="42" fontId="7" fillId="0" borderId="0" xfId="0" applyNumberFormat="1" applyFont="1" applyFill="1" applyAlignment="1">
      <alignment horizontal="right"/>
    </xf>
    <xf numFmtId="172" fontId="7" fillId="0" borderId="0" xfId="0" applyNumberFormat="1" applyFont="1" applyFill="1" applyAlignment="1" quotePrefix="1">
      <alignment horizontal="left"/>
    </xf>
    <xf numFmtId="172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/>
    </xf>
    <xf numFmtId="185" fontId="7" fillId="0" borderId="0" xfId="71" applyNumberFormat="1" applyFont="1" applyFill="1" applyAlignment="1">
      <alignment/>
    </xf>
    <xf numFmtId="37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/>
      <protection locked="0"/>
    </xf>
    <xf numFmtId="171" fontId="7" fillId="0" borderId="0" xfId="0" applyNumberFormat="1" applyFont="1" applyFill="1" applyAlignment="1" applyProtection="1">
      <alignment horizontal="left"/>
      <protection locked="0"/>
    </xf>
    <xf numFmtId="42" fontId="7" fillId="0" borderId="0" xfId="45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>
      <alignment horizontal="left" indent="1"/>
    </xf>
    <xf numFmtId="0" fontId="7" fillId="0" borderId="0" xfId="0" applyNumberFormat="1" applyFont="1" applyFill="1" applyAlignment="1">
      <alignment horizontal="left" indent="2"/>
    </xf>
    <xf numFmtId="0" fontId="8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22" fontId="7" fillId="0" borderId="0" xfId="0" applyNumberFormat="1" applyFont="1" applyFill="1" applyAlignment="1">
      <alignment/>
    </xf>
    <xf numFmtId="171" fontId="8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 horizontal="centerContinuous"/>
    </xf>
    <xf numFmtId="15" fontId="10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2" fontId="8" fillId="0" borderId="11" xfId="0" applyNumberFormat="1" applyFont="1" applyFill="1" applyBorder="1" applyAlignment="1">
      <alignment horizontal="center"/>
    </xf>
    <xf numFmtId="171" fontId="8" fillId="0" borderId="11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left"/>
    </xf>
    <xf numFmtId="171" fontId="7" fillId="0" borderId="0" xfId="0" applyNumberFormat="1" applyFont="1" applyFill="1" applyAlignment="1" applyProtection="1">
      <alignment horizontal="right"/>
      <protection locked="0"/>
    </xf>
    <xf numFmtId="171" fontId="7" fillId="0" borderId="0" xfId="0" applyNumberFormat="1" applyFont="1" applyFill="1" applyAlignment="1" applyProtection="1">
      <alignment/>
      <protection locked="0"/>
    </xf>
    <xf numFmtId="178" fontId="7" fillId="0" borderId="0" xfId="37" applyNumberFormat="1" applyFont="1" applyFill="1" applyAlignment="1">
      <alignment/>
    </xf>
    <xf numFmtId="3" fontId="7" fillId="0" borderId="0" xfId="37" applyNumberFormat="1" applyFont="1" applyFill="1" applyAlignment="1">
      <alignment horizontal="right"/>
    </xf>
    <xf numFmtId="17" fontId="9" fillId="0" borderId="0" xfId="0" applyNumberFormat="1" applyFont="1" applyFill="1" applyBorder="1" applyAlignment="1">
      <alignment horizontal="left"/>
    </xf>
    <xf numFmtId="3" fontId="7" fillId="0" borderId="0" xfId="37" applyNumberFormat="1" applyFont="1" applyFill="1" applyBorder="1" applyAlignment="1">
      <alignment/>
    </xf>
    <xf numFmtId="178" fontId="7" fillId="0" borderId="11" xfId="37" applyNumberFormat="1" applyFont="1" applyFill="1" applyBorder="1" applyAlignment="1">
      <alignment/>
    </xf>
    <xf numFmtId="9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 vertical="top"/>
    </xf>
    <xf numFmtId="168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1" fontId="7" fillId="0" borderId="0" xfId="0" applyNumberFormat="1" applyFont="1" applyFill="1" applyAlignment="1" applyProtection="1">
      <alignment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10" fontId="7" fillId="0" borderId="0" xfId="0" applyNumberFormat="1" applyFont="1" applyFill="1" applyAlignment="1">
      <alignment/>
    </xf>
    <xf numFmtId="10" fontId="7" fillId="0" borderId="0" xfId="0" applyNumberFormat="1" applyFont="1" applyFill="1" applyBorder="1" applyAlignment="1">
      <alignment/>
    </xf>
    <xf numFmtId="10" fontId="7" fillId="0" borderId="11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171" fontId="8" fillId="0" borderId="0" xfId="0" applyNumberFormat="1" applyFont="1" applyFill="1" applyAlignment="1">
      <alignment/>
    </xf>
    <xf numFmtId="0" fontId="8" fillId="0" borderId="11" xfId="0" applyFont="1" applyFill="1" applyBorder="1" applyAlignment="1" applyProtection="1" quotePrefix="1">
      <alignment horizontal="center"/>
      <protection locked="0"/>
    </xf>
    <xf numFmtId="3" fontId="7" fillId="0" borderId="0" xfId="37" applyNumberFormat="1" applyFont="1" applyFill="1" applyAlignment="1">
      <alignment/>
    </xf>
    <xf numFmtId="42" fontId="7" fillId="0" borderId="0" xfId="0" applyNumberFormat="1" applyFont="1" applyFill="1" applyAlignment="1">
      <alignment/>
    </xf>
    <xf numFmtId="41" fontId="7" fillId="0" borderId="0" xfId="37" applyNumberFormat="1" applyFont="1" applyFill="1" applyAlignment="1">
      <alignment/>
    </xf>
    <xf numFmtId="41" fontId="7" fillId="0" borderId="9" xfId="37" applyNumberFormat="1" applyFont="1" applyFill="1" applyBorder="1" applyAlignment="1">
      <alignment/>
    </xf>
    <xf numFmtId="169" fontId="7" fillId="0" borderId="0" xfId="0" applyFont="1" applyFill="1" applyAlignment="1">
      <alignment horizontal="left"/>
    </xf>
    <xf numFmtId="169" fontId="7" fillId="0" borderId="0" xfId="0" applyFont="1" applyFill="1" applyBorder="1" applyAlignment="1">
      <alignment horizontal="left" wrapText="1"/>
    </xf>
    <xf numFmtId="169" fontId="7" fillId="0" borderId="0" xfId="0" applyFont="1" applyAlignment="1">
      <alignment horizontal="left"/>
    </xf>
    <xf numFmtId="41" fontId="7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 quotePrefix="1">
      <alignment horizontal="left"/>
    </xf>
    <xf numFmtId="169" fontId="8" fillId="0" borderId="0" xfId="0" applyFont="1" applyFill="1" applyAlignment="1">
      <alignment/>
    </xf>
    <xf numFmtId="169" fontId="7" fillId="0" borderId="0" xfId="0" applyFont="1" applyFill="1" applyAlignment="1">
      <alignment/>
    </xf>
    <xf numFmtId="169" fontId="8" fillId="0" borderId="0" xfId="0" applyFont="1" applyFill="1" applyAlignment="1">
      <alignment horizontal="right"/>
    </xf>
    <xf numFmtId="169" fontId="8" fillId="0" borderId="0" xfId="0" applyFont="1" applyFill="1" applyAlignment="1">
      <alignment horizontal="left"/>
    </xf>
    <xf numFmtId="169" fontId="8" fillId="0" borderId="0" xfId="0" applyFont="1" applyFill="1" applyAlignment="1" applyProtection="1">
      <alignment horizontal="centerContinuous"/>
      <protection locked="0"/>
    </xf>
    <xf numFmtId="169" fontId="8" fillId="0" borderId="0" xfId="0" applyFont="1" applyFill="1" applyAlignment="1">
      <alignment horizontal="centerContinuous"/>
    </xf>
    <xf numFmtId="169" fontId="8" fillId="0" borderId="0" xfId="0" applyFont="1" applyFill="1" applyBorder="1" applyAlignment="1">
      <alignment horizontal="centerContinuous"/>
    </xf>
    <xf numFmtId="169" fontId="8" fillId="0" borderId="0" xfId="0" applyFont="1" applyFill="1" applyAlignment="1" applyProtection="1">
      <alignment horizontal="left"/>
      <protection locked="0"/>
    </xf>
    <xf numFmtId="169" fontId="8" fillId="0" borderId="0" xfId="0" applyFont="1" applyFill="1" applyAlignment="1">
      <alignment horizontal="center"/>
    </xf>
    <xf numFmtId="169" fontId="8" fillId="0" borderId="11" xfId="0" applyFont="1" applyFill="1" applyBorder="1" applyAlignment="1">
      <alignment horizontal="center"/>
    </xf>
    <xf numFmtId="169" fontId="8" fillId="0" borderId="11" xfId="0" applyFont="1" applyFill="1" applyBorder="1" applyAlignment="1">
      <alignment horizontal="left"/>
    </xf>
    <xf numFmtId="169" fontId="7" fillId="0" borderId="0" xfId="0" applyFont="1" applyFill="1" applyAlignment="1">
      <alignment horizontal="fill"/>
    </xf>
    <xf numFmtId="42" fontId="7" fillId="0" borderId="0" xfId="0" applyNumberFormat="1" applyFont="1" applyFill="1" applyAlignment="1" applyProtection="1">
      <alignment horizontal="right"/>
      <protection locked="0"/>
    </xf>
    <xf numFmtId="171" fontId="7" fillId="0" borderId="9" xfId="0" applyNumberFormat="1" applyFont="1" applyFill="1" applyBorder="1" applyAlignment="1" applyProtection="1">
      <alignment horizontal="right"/>
      <protection locked="0"/>
    </xf>
    <xf numFmtId="42" fontId="7" fillId="0" borderId="0" xfId="0" applyNumberFormat="1" applyFont="1" applyFill="1" applyBorder="1" applyAlignment="1">
      <alignment horizontal="right"/>
    </xf>
    <xf numFmtId="169" fontId="7" fillId="0" borderId="0" xfId="0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169" fontId="8" fillId="0" borderId="0" xfId="0" applyFont="1" applyFill="1" applyBorder="1" applyAlignment="1" quotePrefix="1">
      <alignment horizontal="right"/>
    </xf>
    <xf numFmtId="169" fontId="8" fillId="0" borderId="11" xfId="0" applyFont="1" applyFill="1" applyBorder="1" applyAlignment="1">
      <alignment/>
    </xf>
    <xf numFmtId="0" fontId="8" fillId="0" borderId="0" xfId="0" applyNumberFormat="1" applyFont="1" applyFill="1" applyAlignment="1">
      <alignment horizontal="left" wrapText="1"/>
    </xf>
    <xf numFmtId="41" fontId="7" fillId="0" borderId="0" xfId="0" applyNumberFormat="1" applyFont="1" applyFill="1" applyAlignment="1">
      <alignment horizontal="left" wrapText="1"/>
    </xf>
    <xf numFmtId="42" fontId="7" fillId="0" borderId="0" xfId="0" applyNumberFormat="1" applyFont="1" applyFill="1" applyBorder="1" applyAlignment="1" applyProtection="1">
      <alignment horizontal="left" wrapText="1"/>
      <protection locked="0"/>
    </xf>
    <xf numFmtId="169" fontId="17" fillId="0" borderId="0" xfId="0" applyFont="1" applyFill="1" applyBorder="1" applyAlignment="1">
      <alignment horizontal="right"/>
    </xf>
    <xf numFmtId="37" fontId="7" fillId="0" borderId="0" xfId="45" applyNumberFormat="1" applyFont="1" applyFill="1" applyBorder="1" applyAlignment="1" applyProtection="1">
      <alignment/>
      <protection locked="0"/>
    </xf>
    <xf numFmtId="37" fontId="7" fillId="0" borderId="11" xfId="45" applyNumberFormat="1" applyFont="1" applyFill="1" applyBorder="1" applyAlignment="1" applyProtection="1">
      <alignment/>
      <protection locked="0"/>
    </xf>
    <xf numFmtId="169" fontId="7" fillId="0" borderId="0" xfId="0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left" vertical="center" indent="2"/>
    </xf>
    <xf numFmtId="169" fontId="7" fillId="0" borderId="0" xfId="0" applyFont="1" applyFill="1" applyAlignment="1">
      <alignment vertical="center"/>
    </xf>
    <xf numFmtId="37" fontId="7" fillId="0" borderId="0" xfId="0" applyNumberFormat="1" applyFont="1" applyFill="1" applyBorder="1" applyAlignment="1" applyProtection="1">
      <alignment horizontal="left" wrapText="1"/>
      <protection locked="0"/>
    </xf>
    <xf numFmtId="169" fontId="7" fillId="0" borderId="0" xfId="0" applyFont="1" applyFill="1" applyAlignment="1">
      <alignment vertical="top"/>
    </xf>
    <xf numFmtId="37" fontId="7" fillId="0" borderId="0" xfId="0" applyNumberFormat="1" applyFont="1" applyFill="1" applyBorder="1" applyAlignment="1">
      <alignment horizontal="left" wrapText="1"/>
    </xf>
    <xf numFmtId="9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37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1" fontId="7" fillId="0" borderId="11" xfId="45" applyNumberFormat="1" applyFont="1" applyFill="1" applyBorder="1" applyAlignment="1" applyProtection="1">
      <alignment/>
      <protection locked="0"/>
    </xf>
    <xf numFmtId="10" fontId="7" fillId="0" borderId="0" xfId="0" applyNumberFormat="1" applyFont="1" applyFill="1" applyAlignment="1">
      <alignment horizontal="center"/>
    </xf>
    <xf numFmtId="41" fontId="7" fillId="0" borderId="11" xfId="37" applyNumberFormat="1" applyFont="1" applyFill="1" applyBorder="1" applyAlignment="1" applyProtection="1">
      <alignment/>
      <protection locked="0"/>
    </xf>
    <xf numFmtId="10" fontId="7" fillId="0" borderId="0" xfId="0" applyNumberFormat="1" applyFont="1" applyFill="1" applyBorder="1" applyAlignment="1">
      <alignment horizontal="center"/>
    </xf>
    <xf numFmtId="42" fontId="7" fillId="0" borderId="0" xfId="37" applyNumberFormat="1" applyFont="1" applyFill="1" applyAlignment="1">
      <alignment horizontal="right"/>
    </xf>
    <xf numFmtId="41" fontId="7" fillId="0" borderId="0" xfId="37" applyNumberFormat="1" applyFont="1" applyFill="1" applyAlignment="1">
      <alignment horizontal="right"/>
    </xf>
    <xf numFmtId="37" fontId="7" fillId="0" borderId="0" xfId="0" applyNumberFormat="1" applyFont="1" applyFill="1" applyAlignment="1" applyProtection="1">
      <alignment horizontal="left"/>
      <protection/>
    </xf>
    <xf numFmtId="10" fontId="0" fillId="0" borderId="0" xfId="71" applyNumberFormat="1" applyFont="1" applyFill="1" applyAlignment="1">
      <alignment/>
    </xf>
    <xf numFmtId="42" fontId="7" fillId="0" borderId="0" xfId="45" applyNumberFormat="1" applyFont="1" applyFill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/>
    </xf>
    <xf numFmtId="41" fontId="7" fillId="0" borderId="0" xfId="0" applyNumberFormat="1" applyFont="1" applyFill="1" applyAlignment="1" applyProtection="1">
      <alignment horizontal="left"/>
      <protection/>
    </xf>
    <xf numFmtId="181" fontId="7" fillId="0" borderId="0" xfId="0" applyNumberFormat="1" applyFont="1" applyFill="1" applyAlignment="1" applyProtection="1">
      <alignment horizontal="left"/>
      <protection/>
    </xf>
    <xf numFmtId="41" fontId="7" fillId="0" borderId="0" xfId="0" applyNumberFormat="1" applyFont="1" applyFill="1" applyBorder="1" applyAlignment="1" applyProtection="1">
      <alignment/>
      <protection/>
    </xf>
    <xf numFmtId="42" fontId="7" fillId="0" borderId="0" xfId="45" applyNumberFormat="1" applyFont="1" applyFill="1" applyBorder="1" applyAlignment="1" applyProtection="1">
      <alignment/>
      <protection/>
    </xf>
    <xf numFmtId="180" fontId="7" fillId="0" borderId="0" xfId="0" applyNumberFormat="1" applyFont="1" applyFill="1" applyAlignment="1" applyProtection="1">
      <alignment horizontal="left"/>
      <protection/>
    </xf>
    <xf numFmtId="10" fontId="7" fillId="0" borderId="0" xfId="0" applyNumberFormat="1" applyFont="1" applyFill="1" applyAlignment="1" applyProtection="1">
      <alignment/>
      <protection/>
    </xf>
    <xf numFmtId="42" fontId="7" fillId="0" borderId="15" xfId="45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>
      <alignment vertical="top"/>
    </xf>
    <xf numFmtId="178" fontId="7" fillId="0" borderId="0" xfId="37" applyNumberFormat="1" applyFont="1" applyFill="1" applyBorder="1" applyAlignment="1">
      <alignment/>
    </xf>
    <xf numFmtId="178" fontId="7" fillId="0" borderId="0" xfId="45" applyNumberFormat="1" applyFont="1" applyFill="1" applyBorder="1" applyAlignment="1">
      <alignment/>
    </xf>
    <xf numFmtId="3" fontId="7" fillId="0" borderId="0" xfId="37" applyNumberFormat="1" applyFont="1" applyFill="1" applyBorder="1" applyAlignment="1">
      <alignment/>
    </xf>
    <xf numFmtId="178" fontId="7" fillId="0" borderId="0" xfId="37" applyNumberFormat="1" applyFont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Alignment="1">
      <alignment/>
    </xf>
    <xf numFmtId="169" fontId="7" fillId="0" borderId="9" xfId="0" applyFont="1" applyFill="1" applyBorder="1" applyAlignment="1">
      <alignment/>
    </xf>
    <xf numFmtId="41" fontId="7" fillId="0" borderId="0" xfId="37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vertical="center"/>
    </xf>
    <xf numFmtId="41" fontId="7" fillId="0" borderId="0" xfId="37" applyNumberFormat="1" applyFont="1" applyFill="1" applyAlignment="1">
      <alignment horizontal="left" vertical="top"/>
    </xf>
    <xf numFmtId="169" fontId="7" fillId="0" borderId="0" xfId="0" applyFont="1" applyFill="1" applyAlignment="1">
      <alignment horizontal="center"/>
    </xf>
    <xf numFmtId="169" fontId="7" fillId="0" borderId="11" xfId="0" applyFont="1" applyFill="1" applyBorder="1" applyAlignment="1">
      <alignment horizontal="center"/>
    </xf>
    <xf numFmtId="169" fontId="7" fillId="0" borderId="0" xfId="0" applyFont="1" applyFill="1" applyAlignment="1">
      <alignment horizontal="left" wrapText="1"/>
    </xf>
    <xf numFmtId="171" fontId="7" fillId="0" borderId="0" xfId="0" applyNumberFormat="1" applyFont="1" applyFill="1" applyAlignment="1">
      <alignment horizontal="left" wrapText="1"/>
    </xf>
    <xf numFmtId="169" fontId="7" fillId="0" borderId="11" xfId="0" applyFont="1" applyFill="1" applyBorder="1" applyAlignment="1">
      <alignment horizontal="center" vertical="top"/>
    </xf>
    <xf numFmtId="169" fontId="7" fillId="0" borderId="0" xfId="0" applyFont="1" applyFill="1" applyAlignment="1">
      <alignment horizontal="center" vertical="top"/>
    </xf>
    <xf numFmtId="15" fontId="7" fillId="0" borderId="0" xfId="0" applyNumberFormat="1" applyFont="1" applyFill="1" applyAlignment="1">
      <alignment horizontal="left" wrapText="1"/>
    </xf>
    <xf numFmtId="169" fontId="7" fillId="0" borderId="0" xfId="0" applyFont="1" applyFill="1" applyAlignment="1">
      <alignment horizontal="left" vertical="center"/>
    </xf>
    <xf numFmtId="169" fontId="7" fillId="0" borderId="0" xfId="0" applyFont="1" applyFill="1" applyAlignment="1">
      <alignment horizontal="center" vertical="center"/>
    </xf>
    <xf numFmtId="178" fontId="7" fillId="0" borderId="0" xfId="45" applyNumberFormat="1" applyFont="1" applyFill="1" applyAlignment="1">
      <alignment/>
    </xf>
    <xf numFmtId="37" fontId="7" fillId="0" borderId="16" xfId="45" applyNumberFormat="1" applyFont="1" applyFill="1" applyBorder="1" applyAlignment="1" applyProtection="1">
      <alignment/>
      <protection locked="0"/>
    </xf>
    <xf numFmtId="179" fontId="7" fillId="0" borderId="0" xfId="45" applyNumberFormat="1" applyFont="1" applyFill="1" applyBorder="1" applyAlignment="1" applyProtection="1">
      <alignment/>
      <protection locked="0"/>
    </xf>
    <xf numFmtId="169" fontId="7" fillId="0" borderId="9" xfId="0" applyFont="1" applyFill="1" applyBorder="1" applyAlignment="1">
      <alignment horizontal="left" wrapText="1"/>
    </xf>
    <xf numFmtId="37" fontId="7" fillId="0" borderId="9" xfId="0" applyNumberFormat="1" applyFont="1" applyFill="1" applyBorder="1" applyAlignment="1">
      <alignment vertical="top"/>
    </xf>
    <xf numFmtId="41" fontId="7" fillId="0" borderId="11" xfId="0" applyNumberFormat="1" applyFont="1" applyFill="1" applyBorder="1" applyAlignment="1">
      <alignment/>
    </xf>
    <xf numFmtId="10" fontId="7" fillId="0" borderId="9" xfId="0" applyNumberFormat="1" applyFont="1" applyFill="1" applyBorder="1" applyAlignment="1">
      <alignment/>
    </xf>
    <xf numFmtId="1" fontId="8" fillId="8" borderId="0" xfId="0" applyNumberFormat="1" applyFont="1" applyFill="1" applyAlignment="1">
      <alignment/>
    </xf>
    <xf numFmtId="42" fontId="7" fillId="0" borderId="16" xfId="0" applyNumberFormat="1" applyFont="1" applyFill="1" applyBorder="1" applyAlignment="1">
      <alignment/>
    </xf>
    <xf numFmtId="0" fontId="23" fillId="0" borderId="0" xfId="0" applyFont="1" applyFill="1" applyAlignment="1">
      <alignment horizontal="left"/>
    </xf>
    <xf numFmtId="169" fontId="8" fillId="0" borderId="0" xfId="0" applyFont="1" applyFill="1" applyBorder="1" applyAlignment="1">
      <alignment horizontal="center"/>
    </xf>
    <xf numFmtId="42" fontId="7" fillId="0" borderId="16" xfId="45" applyNumberFormat="1" applyFont="1" applyFill="1" applyBorder="1" applyAlignment="1">
      <alignment/>
    </xf>
    <xf numFmtId="169" fontId="7" fillId="0" borderId="0" xfId="0" applyFont="1" applyFill="1" applyBorder="1" applyAlignment="1">
      <alignment horizontal="left"/>
    </xf>
    <xf numFmtId="169" fontId="9" fillId="0" borderId="0" xfId="0" applyFont="1" applyFill="1" applyBorder="1" applyAlignment="1">
      <alignment horizontal="left"/>
    </xf>
    <xf numFmtId="169" fontId="7" fillId="0" borderId="0" xfId="0" applyFont="1" applyFill="1" applyAlignment="1">
      <alignment horizontal="left" vertical="top"/>
    </xf>
    <xf numFmtId="169" fontId="8" fillId="0" borderId="0" xfId="0" applyFont="1" applyFill="1" applyAlignment="1">
      <alignment horizontal="left" wrapText="1"/>
    </xf>
    <xf numFmtId="42" fontId="7" fillId="0" borderId="15" xfId="0" applyNumberFormat="1" applyFont="1" applyFill="1" applyBorder="1" applyAlignment="1" applyProtection="1">
      <alignment horizontal="left" wrapText="1"/>
      <protection locked="0"/>
    </xf>
    <xf numFmtId="37" fontId="7" fillId="0" borderId="0" xfId="45" applyNumberFormat="1" applyFont="1" applyFill="1" applyBorder="1" applyAlignment="1">
      <alignment vertical="center"/>
    </xf>
    <xf numFmtId="179" fontId="7" fillId="0" borderId="16" xfId="45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42" fontId="7" fillId="0" borderId="0" xfId="45" applyNumberFormat="1" applyFont="1" applyFill="1" applyBorder="1" applyAlignment="1">
      <alignment horizontal="right"/>
    </xf>
    <xf numFmtId="41" fontId="7" fillId="0" borderId="11" xfId="0" applyNumberFormat="1" applyFont="1" applyFill="1" applyBorder="1" applyAlignment="1">
      <alignment horizontal="left" wrapText="1"/>
    </xf>
    <xf numFmtId="41" fontId="7" fillId="0" borderId="9" xfId="45" applyNumberFormat="1" applyFont="1" applyFill="1" applyBorder="1" applyAlignment="1">
      <alignment/>
    </xf>
    <xf numFmtId="42" fontId="7" fillId="0" borderId="0" xfId="0" applyNumberFormat="1" applyFont="1" applyFill="1" applyAlignment="1">
      <alignment horizontal="left" wrapText="1"/>
    </xf>
    <xf numFmtId="5" fontId="7" fillId="0" borderId="0" xfId="0" applyNumberFormat="1" applyFont="1" applyFill="1" applyAlignment="1">
      <alignment horizontal="right" wrapText="1"/>
    </xf>
    <xf numFmtId="10" fontId="7" fillId="0" borderId="0" xfId="0" applyNumberFormat="1" applyFont="1" applyFill="1" applyAlignment="1">
      <alignment horizontal="right" wrapText="1"/>
    </xf>
    <xf numFmtId="186" fontId="7" fillId="0" borderId="0" xfId="0" applyNumberFormat="1" applyFont="1" applyFill="1" applyAlignment="1">
      <alignment horizontal="left" wrapText="1"/>
    </xf>
    <xf numFmtId="41" fontId="7" fillId="0" borderId="0" xfId="0" applyNumberFormat="1" applyFont="1" applyFill="1" applyAlignment="1" applyProtection="1">
      <alignment horizontal="left" wrapText="1"/>
      <protection locked="0"/>
    </xf>
    <xf numFmtId="41" fontId="7" fillId="0" borderId="11" xfId="0" applyNumberFormat="1" applyFont="1" applyFill="1" applyBorder="1" applyAlignment="1" applyProtection="1">
      <alignment horizontal="left" wrapText="1"/>
      <protection locked="0"/>
    </xf>
    <xf numFmtId="41" fontId="7" fillId="0" borderId="0" xfId="45" applyNumberFormat="1" applyFont="1" applyFill="1" applyAlignment="1" applyProtection="1">
      <alignment/>
      <protection/>
    </xf>
    <xf numFmtId="10" fontId="7" fillId="0" borderId="11" xfId="0" applyNumberFormat="1" applyFont="1" applyFill="1" applyBorder="1" applyAlignment="1">
      <alignment horizontal="right" wrapText="1"/>
    </xf>
    <xf numFmtId="9" fontId="7" fillId="0" borderId="0" xfId="71" applyFont="1" applyFill="1" applyAlignment="1">
      <alignment horizontal="right" wrapText="1"/>
    </xf>
    <xf numFmtId="169" fontId="7" fillId="0" borderId="0" xfId="0" applyFont="1" applyFill="1" applyAlignment="1" quotePrefix="1">
      <alignment horizontal="center"/>
    </xf>
    <xf numFmtId="169" fontId="7" fillId="0" borderId="0" xfId="0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169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17" fontId="7" fillId="0" borderId="0" xfId="0" applyNumberFormat="1" applyFont="1" applyFill="1" applyAlignment="1">
      <alignment/>
    </xf>
    <xf numFmtId="178" fontId="7" fillId="0" borderId="0" xfId="37" applyNumberFormat="1" applyFont="1" applyFill="1" applyAlignment="1">
      <alignment/>
    </xf>
    <xf numFmtId="178" fontId="7" fillId="0" borderId="11" xfId="37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42" fontId="7" fillId="0" borderId="0" xfId="45" applyNumberFormat="1" applyFont="1" applyFill="1" applyAlignment="1">
      <alignment/>
    </xf>
    <xf numFmtId="169" fontId="0" fillId="0" borderId="0" xfId="0" applyFont="1" applyFill="1" applyBorder="1" applyAlignment="1">
      <alignment/>
    </xf>
    <xf numFmtId="37" fontId="7" fillId="0" borderId="0" xfId="37" applyNumberFormat="1" applyFont="1" applyFill="1" applyBorder="1" applyAlignment="1">
      <alignment/>
    </xf>
    <xf numFmtId="169" fontId="7" fillId="0" borderId="0" xfId="0" applyFont="1" applyFill="1" applyAlignment="1" quotePrefix="1">
      <alignment horizontal="left"/>
    </xf>
    <xf numFmtId="169" fontId="9" fillId="0" borderId="0" xfId="0" applyFont="1" applyFill="1" applyAlignment="1">
      <alignment horizontal="center"/>
    </xf>
    <xf numFmtId="169" fontId="7" fillId="0" borderId="0" xfId="0" applyFont="1" applyFill="1" applyBorder="1" applyAlignment="1">
      <alignment/>
    </xf>
    <xf numFmtId="37" fontId="7" fillId="0" borderId="0" xfId="0" applyNumberFormat="1" applyFont="1" applyAlignment="1">
      <alignment horizontal="right"/>
    </xf>
    <xf numFmtId="37" fontId="7" fillId="0" borderId="11" xfId="0" applyNumberFormat="1" applyFont="1" applyBorder="1" applyAlignment="1">
      <alignment horizontal="right"/>
    </xf>
    <xf numFmtId="169" fontId="7" fillId="0" borderId="0" xfId="0" applyFont="1" applyBorder="1" applyAlignment="1">
      <alignment horizontal="left"/>
    </xf>
    <xf numFmtId="169" fontId="8" fillId="0" borderId="0" xfId="0" applyFont="1" applyFill="1" applyAlignment="1" applyProtection="1">
      <alignment horizontal="center"/>
      <protection locked="0"/>
    </xf>
    <xf numFmtId="18" fontId="8" fillId="0" borderId="0" xfId="0" applyNumberFormat="1" applyFont="1" applyFill="1" applyAlignment="1">
      <alignment horizontal="left" wrapText="1"/>
    </xf>
    <xf numFmtId="169" fontId="8" fillId="0" borderId="0" xfId="0" applyFont="1" applyFill="1" applyAlignment="1" applyProtection="1">
      <alignment horizontal="left" wrapText="1"/>
      <protection locked="0"/>
    </xf>
    <xf numFmtId="41" fontId="8" fillId="0" borderId="0" xfId="0" applyNumberFormat="1" applyFont="1" applyFill="1" applyAlignment="1">
      <alignment horizontal="left" wrapText="1"/>
    </xf>
    <xf numFmtId="169" fontId="8" fillId="0" borderId="0" xfId="0" applyFont="1" applyFill="1" applyAlignment="1" applyProtection="1">
      <alignment/>
      <protection locked="0"/>
    </xf>
    <xf numFmtId="169" fontId="8" fillId="0" borderId="11" xfId="0" applyFont="1" applyFill="1" applyBorder="1" applyAlignment="1">
      <alignment horizontal="left" wrapText="1"/>
    </xf>
    <xf numFmtId="169" fontId="8" fillId="0" borderId="11" xfId="0" applyFont="1" applyFill="1" applyBorder="1" applyAlignment="1" applyProtection="1">
      <alignment horizontal="center"/>
      <protection locked="0"/>
    </xf>
    <xf numFmtId="41" fontId="7" fillId="0" borderId="0" xfId="0" applyNumberFormat="1" applyFont="1" applyFill="1" applyBorder="1" applyAlignment="1" applyProtection="1">
      <alignment horizontal="left" wrapText="1"/>
      <protection locked="0"/>
    </xf>
    <xf numFmtId="169" fontId="7" fillId="0" borderId="0" xfId="0" applyFont="1" applyFill="1" applyAlignment="1">
      <alignment horizontal="left" indent="1"/>
    </xf>
    <xf numFmtId="42" fontId="25" fillId="0" borderId="0" xfId="0" applyNumberFormat="1" applyFont="1" applyFill="1" applyAlignment="1">
      <alignment/>
    </xf>
    <xf numFmtId="37" fontId="7" fillId="0" borderId="0" xfId="45" applyNumberFormat="1" applyFont="1" applyFill="1" applyBorder="1" applyAlignment="1" applyProtection="1">
      <alignment horizontal="center"/>
      <protection locked="0"/>
    </xf>
    <xf numFmtId="178" fontId="11" fillId="0" borderId="0" xfId="37" applyNumberFormat="1" applyFont="1" applyFill="1" applyAlignment="1">
      <alignment/>
    </xf>
    <xf numFmtId="169" fontId="10" fillId="0" borderId="0" xfId="0" applyFont="1" applyFill="1" applyAlignment="1">
      <alignment/>
    </xf>
    <xf numFmtId="179" fontId="7" fillId="0" borderId="0" xfId="45" applyNumberFormat="1" applyFont="1" applyFill="1" applyAlignment="1" applyProtection="1">
      <alignment/>
      <protection locked="0"/>
    </xf>
    <xf numFmtId="178" fontId="7" fillId="0" borderId="0" xfId="37" applyNumberFormat="1" applyFont="1" applyFill="1" applyAlignment="1" applyProtection="1">
      <alignment/>
      <protection locked="0"/>
    </xf>
    <xf numFmtId="178" fontId="7" fillId="0" borderId="0" xfId="37" applyNumberFormat="1" applyFont="1" applyFill="1" applyBorder="1" applyAlignment="1" applyProtection="1">
      <alignment/>
      <protection locked="0"/>
    </xf>
    <xf numFmtId="178" fontId="7" fillId="0" borderId="9" xfId="37" applyNumberFormat="1" applyFont="1" applyFill="1" applyBorder="1" applyAlignment="1" applyProtection="1">
      <alignment/>
      <protection locked="0"/>
    </xf>
    <xf numFmtId="42" fontId="7" fillId="0" borderId="9" xfId="45" applyNumberFormat="1" applyFont="1" applyFill="1" applyBorder="1" applyAlignment="1" applyProtection="1">
      <alignment/>
      <protection locked="0"/>
    </xf>
    <xf numFmtId="178" fontId="7" fillId="0" borderId="11" xfId="37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Alignment="1">
      <alignment horizontal="right"/>
    </xf>
    <xf numFmtId="194" fontId="7" fillId="0" borderId="0" xfId="37" applyNumberFormat="1" applyFont="1" applyFill="1" applyAlignment="1">
      <alignment/>
    </xf>
    <xf numFmtId="194" fontId="7" fillId="0" borderId="11" xfId="37" applyNumberFormat="1" applyFont="1" applyFill="1" applyBorder="1" applyAlignment="1">
      <alignment/>
    </xf>
    <xf numFmtId="194" fontId="7" fillId="0" borderId="0" xfId="37" applyNumberFormat="1" applyFont="1" applyFill="1" applyBorder="1" applyAlignment="1">
      <alignment/>
    </xf>
    <xf numFmtId="194" fontId="7" fillId="0" borderId="0" xfId="37" applyNumberFormat="1" applyFont="1" applyFill="1" applyBorder="1" applyAlignment="1" applyProtection="1">
      <alignment/>
      <protection locked="0"/>
    </xf>
    <xf numFmtId="194" fontId="7" fillId="0" borderId="0" xfId="37" applyNumberFormat="1" applyFont="1" applyFill="1" applyBorder="1" applyAlignment="1">
      <alignment vertical="top"/>
    </xf>
    <xf numFmtId="4" fontId="7" fillId="0" borderId="0" xfId="37" applyFont="1" applyFill="1" applyAlignment="1">
      <alignment/>
    </xf>
    <xf numFmtId="193" fontId="7" fillId="0" borderId="0" xfId="37" applyNumberFormat="1" applyFont="1" applyFill="1" applyAlignment="1">
      <alignment/>
    </xf>
    <xf numFmtId="193" fontId="7" fillId="0" borderId="0" xfId="37" applyNumberFormat="1" applyFont="1" applyFill="1" applyAlignment="1">
      <alignment horizontal="left" wrapText="1"/>
    </xf>
    <xf numFmtId="193" fontId="7" fillId="0" borderId="0" xfId="37" applyNumberFormat="1" applyFont="1" applyFill="1" applyAlignment="1">
      <alignment/>
    </xf>
    <xf numFmtId="169" fontId="8" fillId="0" borderId="0" xfId="0" applyFont="1" applyFill="1" applyBorder="1" applyAlignment="1">
      <alignment horizontal="right"/>
    </xf>
    <xf numFmtId="169" fontId="8" fillId="0" borderId="0" xfId="0" applyFont="1" applyFill="1" applyBorder="1" applyAlignment="1">
      <alignment/>
    </xf>
    <xf numFmtId="169" fontId="8" fillId="0" borderId="0" xfId="0" applyFont="1" applyFill="1" applyBorder="1" applyAlignment="1">
      <alignment horizontal="center"/>
    </xf>
    <xf numFmtId="169" fontId="7" fillId="0" borderId="0" xfId="0" applyFont="1" applyFill="1" applyBorder="1" applyAlignment="1">
      <alignment horizontal="left" indent="1"/>
    </xf>
    <xf numFmtId="41" fontId="7" fillId="0" borderId="0" xfId="37" applyNumberFormat="1" applyFont="1" applyAlignment="1">
      <alignment wrapText="1"/>
    </xf>
    <xf numFmtId="169" fontId="7" fillId="0" borderId="0" xfId="0" applyFont="1" applyFill="1" applyAlignment="1">
      <alignment horizontal="left" indent="3"/>
    </xf>
    <xf numFmtId="41" fontId="7" fillId="0" borderId="9" xfId="0" applyNumberFormat="1" applyFont="1" applyFill="1" applyBorder="1" applyAlignment="1">
      <alignment/>
    </xf>
    <xf numFmtId="169" fontId="7" fillId="0" borderId="0" xfId="0" applyFont="1" applyFill="1" applyBorder="1" applyAlignment="1">
      <alignment horizontal="left" indent="2"/>
    </xf>
    <xf numFmtId="169" fontId="7" fillId="0" borderId="0" xfId="0" applyFont="1" applyFill="1" applyAlignment="1">
      <alignment horizontal="left" indent="2"/>
    </xf>
    <xf numFmtId="3" fontId="7" fillId="0" borderId="9" xfId="37" applyNumberFormat="1" applyFont="1" applyFill="1" applyBorder="1" applyAlignment="1">
      <alignment/>
    </xf>
    <xf numFmtId="168" fontId="7" fillId="0" borderId="0" xfId="0" applyNumberFormat="1" applyFont="1" applyFill="1" applyAlignment="1">
      <alignment/>
    </xf>
    <xf numFmtId="37" fontId="7" fillId="0" borderId="9" xfId="0" applyNumberFormat="1" applyFont="1" applyFill="1" applyBorder="1" applyAlignment="1">
      <alignment/>
    </xf>
    <xf numFmtId="196" fontId="7" fillId="0" borderId="0" xfId="0" applyNumberFormat="1" applyFont="1" applyFill="1" applyAlignment="1">
      <alignment/>
    </xf>
    <xf numFmtId="169" fontId="8" fillId="0" borderId="11" xfId="0" applyFont="1" applyFill="1" applyBorder="1" applyAlignment="1">
      <alignment horizontal="centerContinuous"/>
    </xf>
    <xf numFmtId="9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/>
    </xf>
    <xf numFmtId="178" fontId="7" fillId="0" borderId="9" xfId="37" applyNumberFormat="1" applyFont="1" applyFill="1" applyBorder="1" applyAlignment="1">
      <alignment/>
    </xf>
    <xf numFmtId="171" fontId="7" fillId="0" borderId="0" xfId="0" applyNumberFormat="1" applyFont="1" applyFill="1" applyBorder="1" applyAlignment="1" applyProtection="1">
      <alignment horizontal="center"/>
      <protection locked="0"/>
    </xf>
    <xf numFmtId="169" fontId="9" fillId="0" borderId="0" xfId="0" applyFont="1" applyFill="1" applyAlignment="1">
      <alignment horizontal="left"/>
    </xf>
    <xf numFmtId="171" fontId="7" fillId="0" borderId="2" xfId="0" applyNumberFormat="1" applyFont="1" applyFill="1" applyBorder="1" applyAlignment="1" applyProtection="1">
      <alignment/>
      <protection locked="0"/>
    </xf>
    <xf numFmtId="171" fontId="9" fillId="0" borderId="0" xfId="0" applyNumberFormat="1" applyFont="1" applyFill="1" applyBorder="1" applyAlignment="1" applyProtection="1">
      <alignment/>
      <protection locked="0"/>
    </xf>
    <xf numFmtId="171" fontId="7" fillId="0" borderId="9" xfId="0" applyNumberFormat="1" applyFont="1" applyFill="1" applyBorder="1" applyAlignment="1" applyProtection="1">
      <alignment/>
      <protection locked="0"/>
    </xf>
    <xf numFmtId="169" fontId="7" fillId="0" borderId="0" xfId="0" applyFont="1" applyFill="1" applyAlignment="1">
      <alignment horizontal="left" wrapText="1"/>
    </xf>
    <xf numFmtId="41" fontId="7" fillId="0" borderId="17" xfId="0" applyNumberFormat="1" applyFont="1" applyFill="1" applyBorder="1" applyAlignment="1">
      <alignment horizontal="right"/>
    </xf>
    <xf numFmtId="10" fontId="7" fillId="0" borderId="17" xfId="71" applyNumberFormat="1" applyFont="1" applyFill="1" applyBorder="1" applyAlignment="1">
      <alignment/>
    </xf>
    <xf numFmtId="42" fontId="23" fillId="0" borderId="0" xfId="45" applyNumberFormat="1" applyFont="1" applyFill="1" applyAlignment="1" applyProtection="1">
      <alignment/>
      <protection locked="0"/>
    </xf>
    <xf numFmtId="42" fontId="7" fillId="0" borderId="0" xfId="37" applyNumberFormat="1" applyFont="1" applyFill="1" applyAlignment="1">
      <alignment/>
    </xf>
    <xf numFmtId="0" fontId="7" fillId="0" borderId="0" xfId="0" applyFont="1" applyFill="1" applyAlignment="1">
      <alignment horizontal="left" indent="1"/>
    </xf>
    <xf numFmtId="9" fontId="7" fillId="0" borderId="0" xfId="71" applyFont="1" applyFill="1" applyAlignment="1">
      <alignment/>
    </xf>
    <xf numFmtId="41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42" fontId="23" fillId="0" borderId="16" xfId="45" applyNumberFormat="1" applyFont="1" applyFill="1" applyBorder="1" applyAlignment="1">
      <alignment/>
    </xf>
    <xf numFmtId="41" fontId="23" fillId="0" borderId="0" xfId="0" applyNumberFormat="1" applyFont="1" applyFill="1" applyBorder="1" applyAlignment="1" applyProtection="1">
      <alignment/>
      <protection locked="0"/>
    </xf>
    <xf numFmtId="171" fontId="23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/>
    </xf>
    <xf numFmtId="9" fontId="7" fillId="0" borderId="0" xfId="71" applyFont="1" applyFill="1" applyBorder="1" applyAlignment="1">
      <alignment/>
    </xf>
    <xf numFmtId="41" fontId="7" fillId="0" borderId="0" xfId="0" applyNumberFormat="1" applyFont="1" applyFill="1" applyBorder="1" applyAlignment="1">
      <alignment horizontal="left"/>
    </xf>
    <xf numFmtId="41" fontId="7" fillId="0" borderId="0" xfId="37" applyNumberFormat="1" applyFont="1" applyFill="1" applyBorder="1" applyAlignment="1" applyProtection="1">
      <alignment/>
      <protection locked="0"/>
    </xf>
    <xf numFmtId="44" fontId="7" fillId="0" borderId="0" xfId="0" applyNumberFormat="1" applyFont="1" applyFill="1" applyAlignment="1">
      <alignment/>
    </xf>
    <xf numFmtId="178" fontId="7" fillId="0" borderId="0" xfId="37" applyNumberFormat="1" applyFont="1" applyFill="1" applyBorder="1" applyAlignment="1">
      <alignment/>
    </xf>
    <xf numFmtId="42" fontId="7" fillId="0" borderId="16" xfId="0" applyNumberFormat="1" applyFont="1" applyFill="1" applyBorder="1" applyAlignment="1">
      <alignment/>
    </xf>
    <xf numFmtId="169" fontId="11" fillId="0" borderId="0" xfId="0" applyFont="1" applyAlignment="1">
      <alignment horizontal="left" wrapText="1"/>
    </xf>
    <xf numFmtId="42" fontId="7" fillId="0" borderId="0" xfId="0" applyNumberFormat="1" applyFont="1" applyFill="1" applyBorder="1" applyAlignment="1">
      <alignment/>
    </xf>
    <xf numFmtId="41" fontId="7" fillId="0" borderId="0" xfId="45" applyNumberFormat="1" applyFont="1" applyFill="1" applyBorder="1" applyAlignment="1">
      <alignment/>
    </xf>
    <xf numFmtId="42" fontId="7" fillId="0" borderId="16" xfId="45" applyNumberFormat="1" applyFont="1" applyFill="1" applyBorder="1" applyAlignment="1">
      <alignment/>
    </xf>
    <xf numFmtId="41" fontId="7" fillId="0" borderId="0" xfId="45" applyNumberFormat="1" applyFont="1" applyFill="1" applyAlignment="1">
      <alignment/>
    </xf>
    <xf numFmtId="42" fontId="7" fillId="0" borderId="11" xfId="45" applyNumberFormat="1" applyFont="1" applyFill="1" applyBorder="1" applyAlignment="1">
      <alignment/>
    </xf>
    <xf numFmtId="41" fontId="7" fillId="0" borderId="11" xfId="45" applyNumberFormat="1" applyFont="1" applyFill="1" applyBorder="1" applyAlignment="1">
      <alignment/>
    </xf>
    <xf numFmtId="9" fontId="7" fillId="0" borderId="0" xfId="71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85" fontId="7" fillId="0" borderId="2" xfId="0" applyNumberFormat="1" applyFont="1" applyFill="1" applyBorder="1" applyAlignment="1">
      <alignment horizontal="right" wrapText="1"/>
    </xf>
    <xf numFmtId="171" fontId="7" fillId="0" borderId="16" xfId="0" applyNumberFormat="1" applyFont="1" applyFill="1" applyBorder="1" applyAlignment="1">
      <alignment/>
    </xf>
    <xf numFmtId="178" fontId="11" fillId="0" borderId="0" xfId="37" applyNumberFormat="1" applyFont="1" applyFill="1" applyAlignment="1">
      <alignment horizontal="right"/>
    </xf>
    <xf numFmtId="178" fontId="11" fillId="0" borderId="0" xfId="37" applyNumberFormat="1" applyFont="1" applyFill="1" applyAlignment="1">
      <alignment/>
    </xf>
    <xf numFmtId="173" fontId="7" fillId="0" borderId="0" xfId="71" applyNumberFormat="1" applyFont="1" applyFill="1" applyBorder="1" applyAlignment="1">
      <alignment horizontal="right"/>
    </xf>
    <xf numFmtId="173" fontId="7" fillId="0" borderId="11" xfId="71" applyNumberFormat="1" applyFont="1" applyFill="1" applyBorder="1" applyAlignment="1">
      <alignment horizontal="right"/>
    </xf>
    <xf numFmtId="173" fontId="7" fillId="0" borderId="11" xfId="0" applyNumberFormat="1" applyFont="1" applyFill="1" applyBorder="1" applyAlignment="1">
      <alignment/>
    </xf>
    <xf numFmtId="42" fontId="7" fillId="0" borderId="16" xfId="37" applyNumberFormat="1" applyFont="1" applyFill="1" applyBorder="1" applyAlignment="1">
      <alignment/>
    </xf>
    <xf numFmtId="42" fontId="7" fillId="0" borderId="15" xfId="0" applyNumberFormat="1" applyFont="1" applyFill="1" applyBorder="1" applyAlignment="1">
      <alignment/>
    </xf>
    <xf numFmtId="42" fontId="7" fillId="0" borderId="0" xfId="0" applyNumberFormat="1" applyFont="1" applyFill="1" applyAlignment="1" applyProtection="1">
      <alignment vertical="center"/>
      <protection locked="0"/>
    </xf>
    <xf numFmtId="37" fontId="7" fillId="0" borderId="0" xfId="37" applyNumberFormat="1" applyFont="1" applyFill="1" applyAlignment="1" applyProtection="1">
      <alignment vertical="center"/>
      <protection locked="0"/>
    </xf>
    <xf numFmtId="5" fontId="7" fillId="0" borderId="16" xfId="45" applyNumberFormat="1" applyFont="1" applyFill="1" applyBorder="1" applyAlignment="1">
      <alignment/>
    </xf>
    <xf numFmtId="194" fontId="7" fillId="0" borderId="9" xfId="37" applyNumberFormat="1" applyFont="1" applyFill="1" applyBorder="1" applyAlignment="1">
      <alignment/>
    </xf>
    <xf numFmtId="194" fontId="7" fillId="0" borderId="15" xfId="37" applyNumberFormat="1" applyFont="1" applyFill="1" applyBorder="1" applyAlignment="1" applyProtection="1">
      <alignment/>
      <protection locked="0"/>
    </xf>
    <xf numFmtId="169" fontId="7" fillId="0" borderId="11" xfId="0" applyFont="1" applyFill="1" applyBorder="1" applyAlignment="1">
      <alignment horizontal="left" wrapText="1"/>
    </xf>
    <xf numFmtId="37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/>
    </xf>
    <xf numFmtId="179" fontId="7" fillId="0" borderId="16" xfId="0" applyNumberFormat="1" applyFont="1" applyFill="1" applyBorder="1" applyAlignment="1">
      <alignment/>
    </xf>
    <xf numFmtId="202" fontId="7" fillId="0" borderId="0" xfId="71" applyNumberFormat="1" applyFont="1" applyFill="1" applyBorder="1" applyAlignment="1">
      <alignment/>
    </xf>
    <xf numFmtId="179" fontId="7" fillId="0" borderId="0" xfId="45" applyNumberFormat="1" applyFont="1" applyFill="1" applyBorder="1" applyAlignment="1" applyProtection="1">
      <alignment/>
      <protection locked="0"/>
    </xf>
    <xf numFmtId="167" fontId="7" fillId="0" borderId="11" xfId="71" applyNumberFormat="1" applyFont="1" applyFill="1" applyBorder="1" applyAlignment="1" applyProtection="1">
      <alignment/>
      <protection locked="0"/>
    </xf>
    <xf numFmtId="41" fontId="7" fillId="0" borderId="11" xfId="37" applyNumberFormat="1" applyFont="1" applyFill="1" applyBorder="1" applyAlignment="1">
      <alignment horizontal="right"/>
    </xf>
    <xf numFmtId="41" fontId="7" fillId="0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horizontal="left"/>
    </xf>
    <xf numFmtId="42" fontId="23" fillId="0" borderId="0" xfId="37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6" fontId="7" fillId="0" borderId="9" xfId="45" applyNumberFormat="1" applyFont="1" applyFill="1" applyBorder="1" applyAlignment="1" applyProtection="1">
      <alignment/>
      <protection locked="0"/>
    </xf>
    <xf numFmtId="5" fontId="7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 horizontal="left" wrapText="1"/>
    </xf>
    <xf numFmtId="42" fontId="7" fillId="0" borderId="0" xfId="45" applyNumberFormat="1" applyFont="1" applyFill="1" applyBorder="1" applyAlignment="1" applyProtection="1">
      <alignment horizontal="right"/>
      <protection locked="0"/>
    </xf>
    <xf numFmtId="42" fontId="7" fillId="0" borderId="9" xfId="0" applyNumberFormat="1" applyFont="1" applyFill="1" applyBorder="1" applyAlignment="1">
      <alignment/>
    </xf>
    <xf numFmtId="10" fontId="7" fillId="0" borderId="11" xfId="71" applyNumberFormat="1" applyFont="1" applyFill="1" applyBorder="1" applyAlignment="1">
      <alignment horizontal="right"/>
    </xf>
    <xf numFmtId="179" fontId="7" fillId="0" borderId="15" xfId="45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179" fontId="7" fillId="0" borderId="16" xfId="45" applyNumberFormat="1" applyFont="1" applyFill="1" applyBorder="1" applyAlignment="1" applyProtection="1">
      <alignment/>
      <protection locked="0"/>
    </xf>
    <xf numFmtId="42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42" fontId="7" fillId="0" borderId="16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/>
    </xf>
    <xf numFmtId="179" fontId="7" fillId="0" borderId="9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37" fontId="7" fillId="0" borderId="0" xfId="45" applyNumberFormat="1" applyFont="1" applyFill="1" applyAlignment="1" applyProtection="1">
      <alignment/>
      <protection locked="0"/>
    </xf>
    <xf numFmtId="203" fontId="7" fillId="0" borderId="0" xfId="0" applyNumberFormat="1" applyFont="1" applyFill="1" applyAlignment="1">
      <alignment/>
    </xf>
    <xf numFmtId="10" fontId="7" fillId="0" borderId="11" xfId="0" applyNumberFormat="1" applyFont="1" applyFill="1" applyBorder="1" applyAlignment="1">
      <alignment/>
    </xf>
    <xf numFmtId="171" fontId="7" fillId="0" borderId="11" xfId="0" applyNumberFormat="1" applyFont="1" applyFill="1" applyBorder="1" applyAlignment="1">
      <alignment/>
    </xf>
    <xf numFmtId="6" fontId="7" fillId="0" borderId="18" xfId="45" applyNumberFormat="1" applyFont="1" applyFill="1" applyBorder="1" applyAlignment="1">
      <alignment vertical="top"/>
    </xf>
    <xf numFmtId="42" fontId="8" fillId="0" borderId="0" xfId="0" applyNumberFormat="1" applyFont="1" applyFill="1" applyBorder="1" applyAlignment="1">
      <alignment/>
    </xf>
    <xf numFmtId="169" fontId="8" fillId="0" borderId="0" xfId="0" applyFont="1" applyFill="1" applyBorder="1" applyAlignment="1">
      <alignment horizontal="left"/>
    </xf>
    <xf numFmtId="42" fontId="7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 horizontal="center" vertical="top"/>
    </xf>
    <xf numFmtId="167" fontId="7" fillId="0" borderId="0" xfId="0" applyNumberFormat="1" applyFont="1" applyFill="1" applyBorder="1" applyAlignment="1">
      <alignment/>
    </xf>
    <xf numFmtId="169" fontId="8" fillId="0" borderId="18" xfId="0" applyFont="1" applyFill="1" applyBorder="1" applyAlignment="1">
      <alignment horizontal="center"/>
    </xf>
    <xf numFmtId="199" fontId="8" fillId="0" borderId="18" xfId="0" applyNumberFormat="1" applyFont="1" applyFill="1" applyBorder="1" applyAlignment="1">
      <alignment horizontal="right"/>
    </xf>
    <xf numFmtId="169" fontId="8" fillId="0" borderId="12" xfId="0" applyFont="1" applyFill="1" applyBorder="1" applyAlignment="1">
      <alignment horizontal="right"/>
    </xf>
  </cellXfs>
  <cellStyles count="75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(C) Costs not in AURORA 2006GRC" xfId="26"/>
    <cellStyle name="_Fuel Prices 4-14" xfId="27"/>
    <cellStyle name="_Power Cost Value Copy 11.30.05 gas 1.09.06 AURORA at 1.10.06" xfId="28"/>
    <cellStyle name="_Recon to Darrin's 5.11.05 proforma" xfId="29"/>
    <cellStyle name="_Tenaska Comparison" xfId="30"/>
    <cellStyle name="_Value Copy 11 30 05 gas 12 09 05 AURORA at 12 14 05" xfId="31"/>
    <cellStyle name="_VC 6.15.06 update on 06GRC power costs.xls Chart 1" xfId="32"/>
    <cellStyle name="_VC 6.15.06 update on 06GRC power costs.xls Chart 2" xfId="33"/>
    <cellStyle name="_VC 6.15.06 update on 06GRC power costs.xls Chart 3" xfId="34"/>
    <cellStyle name="Calc Currency (0)" xfId="35"/>
    <cellStyle name="Calculation" xfId="36"/>
    <cellStyle name="Comma" xfId="37"/>
    <cellStyle name="Comma [0]" xfId="38"/>
    <cellStyle name="Comma0" xfId="39"/>
    <cellStyle name="Comma0 - Style4" xfId="40"/>
    <cellStyle name="Copied" xfId="41"/>
    <cellStyle name="COST1" xfId="42"/>
    <cellStyle name="Curren - Style1" xfId="43"/>
    <cellStyle name="Curren - Style5" xfId="44"/>
    <cellStyle name="Currency" xfId="45"/>
    <cellStyle name="Currency [0]" xfId="46"/>
    <cellStyle name="Currency0" xfId="47"/>
    <cellStyle name="Date" xfId="48"/>
    <cellStyle name="Entered" xfId="49"/>
    <cellStyle name="Fixed" xfId="50"/>
    <cellStyle name="Fixed3 - Style3" xfId="51"/>
    <cellStyle name="Followed Hyperlink" xfId="52"/>
    <cellStyle name="Grey" xfId="53"/>
    <cellStyle name="Header1" xfId="54"/>
    <cellStyle name="Header2" xfId="55"/>
    <cellStyle name="Heading 1" xfId="56"/>
    <cellStyle name="Heading 2" xfId="57"/>
    <cellStyle name="Heading1" xfId="58"/>
    <cellStyle name="Heading2" xfId="59"/>
    <cellStyle name="Hyperlink" xfId="60"/>
    <cellStyle name="Input [yellow]" xfId="61"/>
    <cellStyle name="Input Cells" xfId="62"/>
    <cellStyle name="Lines" xfId="63"/>
    <cellStyle name="modified border" xfId="64"/>
    <cellStyle name="modified border1" xfId="65"/>
    <cellStyle name="no dec" xfId="66"/>
    <cellStyle name="Normal - Style1" xfId="67"/>
    <cellStyle name="Normal_BASECOST" xfId="68"/>
    <cellStyle name="Normal_RESCOST" xfId="69"/>
    <cellStyle name="Percen - Style2" xfId="70"/>
    <cellStyle name="Percent" xfId="71"/>
    <cellStyle name="Percent [2]" xfId="72"/>
    <cellStyle name="PSChar" xfId="73"/>
    <cellStyle name="PSDate" xfId="74"/>
    <cellStyle name="PSDec" xfId="75"/>
    <cellStyle name="PSHeading" xfId="76"/>
    <cellStyle name="PSInt" xfId="77"/>
    <cellStyle name="PSSpacer" xfId="78"/>
    <cellStyle name="RevList" xfId="79"/>
    <cellStyle name="round100" xfId="80"/>
    <cellStyle name="shade" xfId="81"/>
    <cellStyle name="StmtTtl1" xfId="82"/>
    <cellStyle name="StmtTtl2" xfId="83"/>
    <cellStyle name="STYL1 - Style1" xfId="84"/>
    <cellStyle name="Subtotal" xfId="85"/>
    <cellStyle name="Title: Minor" xfId="86"/>
    <cellStyle name="Title: Worksheet" xfId="87"/>
    <cellStyle name="Total" xfId="88"/>
  </cellStyles>
  <dxfs count="3">
    <dxf>
      <fill>
        <patternFill>
          <bgColor rgb="FF339933"/>
        </patternFill>
      </fill>
      <border/>
    </dxf>
    <dxf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4</xdr:row>
      <xdr:rowOff>0</xdr:rowOff>
    </xdr:from>
    <xdr:to>
      <xdr:col>52</xdr:col>
      <xdr:colOff>0</xdr:colOff>
      <xdr:row>5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70961250" y="704850"/>
          <a:ext cx="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GRC\New%20Plant-093003\FredDispatch%209.3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C0\Aurora%20Prices%20for%20ROR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PCA%20&amp;%20RC%2006_2003%20TY\GRC\LaborInctvOH%200903%20GR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6\Costs%20not%20in%20AURORA%2006GR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CT\ENCOGEN_WBOOK%20(StratPla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Capacity\CAP_WBoo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All-Source%20RFP%202004\Quantitative%20Analysis%20Team\Wind%20RFP%20Analysis\EnXco%20Depr.%20and%20Royalty%20Alts\ASM8W-%20A06%20EnXco%20$3.95%20w%20depr%20clas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71\SOE%20Sept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7%20GRC%20-%20to%20be%20filed%20December%201,%202007\2007%20GRC%20Post%20Filing\Rebuttal2007GRC\2007%20PCORC%20JHS-10%20through%20JHS-12%20(C)%20settlement%2007%2002%202007%20Karl%20TEMP%20WF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Jun_30_99\Electric\cb06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Unbilled%20Rev%20Electric%20-%20Gas%20-%20SOE%20-%20SOG\2006\09-06%20Elec_Unb%20(93%203%%202%20months)final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cct\newgas\2000\Oct00\REVNEW001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%2009%20months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pt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epor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r4432\Local%20Settings\Temporary%20Internet%20Files\OLK9B\request%20for%20informatio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b0422\Local%20Settings\Temporary%20Internet%20Files\OLK181\FW_Feb_FY05_upload_format_accl_wksh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Formulas\vlooku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Jun_30_01\Proforma%20Adj_not%20us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Quarterly%20Reporting\Misc\WC-RB%20Misc\WC-RB%20Overview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5%20PCORC\Update%20Filing%20-%20May%202006\Working%20Files\04.06.06.Transmission%20Rate%20Base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dmurra\Local%20Settings\Temporary%20Internet%20Files\OLK15\Power%20Cost%2050yr%206.15.06%20AURORA%20run%20with%205.23.06%20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ello\Desktop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2F\Due%20Diligence\August%20New%20Model\Fred%20Value%209.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artwri\My%20Documents\Projects\PSE\Projects\BHP\Due%20Diligence\BHP%20IS.BS.CF%20Mode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Forecast Adjustment"/>
      <sheetName val="Prices"/>
      <sheetName val="Pt Roberts"/>
      <sheetName val="DA Wind"/>
      <sheetName val="Fred1"/>
      <sheetName val="Winter Summary"/>
      <sheetName val="Estimate for wheeling"/>
      <sheetName val="Peaking Capacity"/>
      <sheetName val="Winter Peak 2005-2006"/>
      <sheetName val="MiDC Capacity Calc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Douglas Stlmt"/>
      <sheetName val="557 TYE 9.30.05"/>
      <sheetName val="CPP_Payments 8.02.05"/>
      <sheetName val="BEP TYE9.30.05"/>
      <sheetName val="Wild Horse GRC"/>
      <sheetName val="Hopkins Ridge GRC"/>
      <sheetName val="Hopkins Ridge"/>
      <sheetName val="Mid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6">
        <row r="42">
          <cell r="B42">
            <v>0.16153846153846152</v>
          </cell>
        </row>
        <row r="45">
          <cell r="B45">
            <v>0.07316875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11">
        <row r="8">
          <cell r="B8">
            <v>2000</v>
          </cell>
          <cell r="C8">
            <v>335</v>
          </cell>
          <cell r="D8">
            <v>10000</v>
          </cell>
          <cell r="E8">
            <v>2.4451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2.5673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2.8305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2.32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3.4404</v>
          </cell>
          <cell r="F15">
            <v>2.51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</v>
          </cell>
          <cell r="F16">
            <v>2.62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</sheetNames>
    <sheetDataSet>
      <sheetData sheetId="20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2731.651198560922</v>
          </cell>
          <cell r="Q6">
            <v>2598.580745404891</v>
          </cell>
          <cell r="R6">
            <v>2863.0480052799267</v>
          </cell>
          <cell r="S6">
            <v>2897.854541147841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</v>
          </cell>
          <cell r="AA6">
            <v>2951.1749854031737</v>
          </cell>
          <cell r="AB6">
            <v>2694.341173628677</v>
          </cell>
          <cell r="AC6">
            <v>2654.6271180480226</v>
          </cell>
          <cell r="AD6">
            <v>2924.798426421484</v>
          </cell>
        </row>
        <row r="7">
          <cell r="E7">
            <v>4282.433400379121</v>
          </cell>
          <cell r="F7">
            <v>4577.405770967726</v>
          </cell>
          <cell r="G7">
            <v>4772.959700280023</v>
          </cell>
          <cell r="H7">
            <v>4469.69611558058</v>
          </cell>
          <cell r="I7">
            <v>3810.072688136017</v>
          </cell>
          <cell r="J7">
            <v>4244.981134794863</v>
          </cell>
          <cell r="K7">
            <v>4481.230658938673</v>
          </cell>
          <cell r="L7">
            <v>4206.065495821458</v>
          </cell>
          <cell r="M7">
            <v>3868.1146177557475</v>
          </cell>
          <cell r="N7">
            <v>4281.70803455401</v>
          </cell>
          <cell r="O7">
            <v>4492.932719117589</v>
          </cell>
          <cell r="P7">
            <v>4216.599445258531</v>
          </cell>
          <cell r="Q7">
            <v>3876.043062951786</v>
          </cell>
          <cell r="R7">
            <v>4289.398422168053</v>
          </cell>
          <cell r="S7">
            <v>4500.323439480319</v>
          </cell>
          <cell r="T7">
            <v>4223.690759941377</v>
          </cell>
          <cell r="U7">
            <v>3888.8888126531047</v>
          </cell>
          <cell r="V7">
            <v>4320.882401320715</v>
          </cell>
          <cell r="W7">
            <v>4548.435974237509</v>
          </cell>
          <cell r="X7">
            <v>4268.584323194256</v>
          </cell>
          <cell r="Y7">
            <v>3931.213907449665</v>
          </cell>
          <cell r="Z7">
            <v>4359.586883365779</v>
          </cell>
          <cell r="AA7">
            <v>4580.996546290193</v>
          </cell>
          <cell r="AB7">
            <v>4299.370897079217</v>
          </cell>
          <cell r="AC7">
            <v>3962.5999427177253</v>
          </cell>
          <cell r="AD7">
            <v>4383.171070759184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4709.225516572272</v>
          </cell>
          <cell r="J8">
            <v>5230.360428629186</v>
          </cell>
          <cell r="K8">
            <v>5042.3685241009025</v>
          </cell>
          <cell r="L8">
            <v>4972.6884739654115</v>
          </cell>
          <cell r="M8">
            <v>4711.845304979873</v>
          </cell>
          <cell r="N8">
            <v>5198.281304575285</v>
          </cell>
          <cell r="O8">
            <v>5054.726708119966</v>
          </cell>
          <cell r="P8">
            <v>5009.199672276751</v>
          </cell>
          <cell r="Q8">
            <v>4735.676099610732</v>
          </cell>
          <cell r="R8">
            <v>5208.365892670384</v>
          </cell>
          <cell r="S8">
            <v>5070.45124580907</v>
          </cell>
          <cell r="T8">
            <v>5024.782581816139</v>
          </cell>
          <cell r="U8">
            <v>4750.408116119576</v>
          </cell>
          <cell r="V8">
            <v>5224.5683800662655</v>
          </cell>
          <cell r="W8">
            <v>5115.302173393147</v>
          </cell>
          <cell r="X8">
            <v>5069.22954497135</v>
          </cell>
          <cell r="Y8">
            <v>4792.428086351416</v>
          </cell>
          <cell r="Z8">
            <v>5270.782558393311</v>
          </cell>
          <cell r="AA8">
            <v>5163.747409975564</v>
          </cell>
          <cell r="AB8">
            <v>4940.781945752334</v>
          </cell>
          <cell r="AC8">
            <v>4837.815495457983</v>
          </cell>
          <cell r="AD8">
            <v>5320.700295285569</v>
          </cell>
        </row>
      </sheetData>
      <sheetData sheetId="26">
        <row r="5">
          <cell r="C5">
            <v>35764</v>
          </cell>
          <cell r="D5">
            <v>4791.984572573432</v>
          </cell>
          <cell r="E5">
            <v>5272.915942744875</v>
          </cell>
        </row>
        <row r="6">
          <cell r="C6">
            <v>35795</v>
          </cell>
          <cell r="D6">
            <v>5002.338779691071</v>
          </cell>
          <cell r="E6">
            <v>5505.6985356050645</v>
          </cell>
        </row>
        <row r="7">
          <cell r="C7">
            <v>35826</v>
          </cell>
          <cell r="D7">
            <v>4630.24056411978</v>
          </cell>
          <cell r="E7">
            <v>5101.010993257303</v>
          </cell>
        </row>
        <row r="8">
          <cell r="C8">
            <v>35854</v>
          </cell>
          <cell r="D8">
            <v>3848.1866035800076</v>
          </cell>
          <cell r="E8" t="str">
            <v> </v>
          </cell>
        </row>
        <row r="9">
          <cell r="C9">
            <v>35885</v>
          </cell>
          <cell r="D9">
            <v>3456.2425731958638</v>
          </cell>
          <cell r="E9" t="str">
            <v> </v>
          </cell>
        </row>
        <row r="10">
          <cell r="C10">
            <v>35915</v>
          </cell>
          <cell r="D10">
            <v>3191.496407255295</v>
          </cell>
          <cell r="E10" t="str">
            <v> </v>
          </cell>
        </row>
        <row r="11">
          <cell r="C11">
            <v>35946</v>
          </cell>
          <cell r="D11">
            <v>3017.289513443111</v>
          </cell>
          <cell r="E11" t="str">
            <v> </v>
          </cell>
        </row>
        <row r="12">
          <cell r="C12">
            <v>35976</v>
          </cell>
          <cell r="D12">
            <v>2885.615105995001</v>
          </cell>
          <cell r="E12" t="str">
            <v> </v>
          </cell>
        </row>
        <row r="13">
          <cell r="C13">
            <v>36007</v>
          </cell>
          <cell r="D13">
            <v>3004.5443369656596</v>
          </cell>
          <cell r="E13" t="str">
            <v> </v>
          </cell>
        </row>
        <row r="14">
          <cell r="C14">
            <v>36038</v>
          </cell>
          <cell r="D14">
            <v>3079.148536872436</v>
          </cell>
          <cell r="E14" t="str">
            <v> </v>
          </cell>
        </row>
        <row r="15">
          <cell r="C15">
            <v>36068</v>
          </cell>
          <cell r="D15">
            <v>3395.3565016883094</v>
          </cell>
          <cell r="E15" t="str">
            <v> </v>
          </cell>
        </row>
        <row r="16">
          <cell r="C16">
            <v>36099</v>
          </cell>
          <cell r="D16">
            <v>4543.581225805189</v>
          </cell>
          <cell r="E16">
            <v>4979.894553505774</v>
          </cell>
        </row>
        <row r="17">
          <cell r="C17">
            <v>36129</v>
          </cell>
          <cell r="D17">
            <v>4860.478037525136</v>
          </cell>
          <cell r="E17">
            <v>5350.783847631804</v>
          </cell>
        </row>
        <row r="18">
          <cell r="C18">
            <v>36160</v>
          </cell>
          <cell r="D18">
            <v>5086.005139710512</v>
          </cell>
          <cell r="E18">
            <v>5599.835964018407</v>
          </cell>
        </row>
        <row r="19">
          <cell r="C19">
            <v>36191</v>
          </cell>
          <cell r="D19">
            <v>4694.654383993196</v>
          </cell>
          <cell r="E19">
            <v>5173.727313286403</v>
          </cell>
        </row>
        <row r="20">
          <cell r="C20">
            <v>36219</v>
          </cell>
          <cell r="D20">
            <v>3908.4453631732185</v>
          </cell>
          <cell r="E20" t="str">
            <v> </v>
          </cell>
        </row>
        <row r="21">
          <cell r="C21">
            <v>36250</v>
          </cell>
          <cell r="D21">
            <v>3509.483008759442</v>
          </cell>
          <cell r="E21" t="str">
            <v> </v>
          </cell>
        </row>
        <row r="22">
          <cell r="C22">
            <v>36280</v>
          </cell>
          <cell r="D22">
            <v>3244.138753452001</v>
          </cell>
          <cell r="E22" t="str">
            <v> </v>
          </cell>
        </row>
        <row r="23">
          <cell r="C23">
            <v>36311</v>
          </cell>
          <cell r="D23">
            <v>3089.278229547045</v>
          </cell>
          <cell r="E23" t="str">
            <v> </v>
          </cell>
        </row>
        <row r="24">
          <cell r="C24">
            <v>36341</v>
          </cell>
          <cell r="D24">
            <v>2948.7824225700238</v>
          </cell>
          <cell r="E24" t="str">
            <v> </v>
          </cell>
        </row>
        <row r="25">
          <cell r="C25">
            <v>36372</v>
          </cell>
          <cell r="D25">
            <v>3049.078643556767</v>
          </cell>
          <cell r="E25" t="str">
            <v> </v>
          </cell>
        </row>
        <row r="26">
          <cell r="C26">
            <v>36403</v>
          </cell>
          <cell r="D26">
            <v>3117.505469546186</v>
          </cell>
          <cell r="E26" t="str">
            <v> </v>
          </cell>
        </row>
        <row r="27">
          <cell r="C27">
            <v>36433</v>
          </cell>
          <cell r="D27">
            <v>3430.093808597693</v>
          </cell>
          <cell r="E27" t="str">
            <v> </v>
          </cell>
        </row>
        <row r="28">
          <cell r="C28">
            <v>36464</v>
          </cell>
          <cell r="D28">
            <v>4586.969145158289</v>
          </cell>
          <cell r="E28">
            <v>5027.970195508526</v>
          </cell>
        </row>
        <row r="29">
          <cell r="C29">
            <v>36494</v>
          </cell>
          <cell r="D29">
            <v>4895.128839154065</v>
          </cell>
          <cell r="E29">
            <v>5389.344836478814</v>
          </cell>
        </row>
        <row r="30">
          <cell r="C30">
            <v>36525</v>
          </cell>
          <cell r="D30">
            <v>5094.819612753385</v>
          </cell>
          <cell r="E30">
            <v>5610.870985547523</v>
          </cell>
        </row>
        <row r="31">
          <cell r="C31">
            <v>36556</v>
          </cell>
          <cell r="D31">
            <v>4690.9664471310625</v>
          </cell>
          <cell r="E31">
            <v>5170.841125886148</v>
          </cell>
        </row>
        <row r="32">
          <cell r="C32">
            <v>36585</v>
          </cell>
          <cell r="D32">
            <v>3892.914969746017</v>
          </cell>
          <cell r="E32" t="str">
            <v> </v>
          </cell>
        </row>
        <row r="33">
          <cell r="C33">
            <v>36616</v>
          </cell>
          <cell r="D33">
            <v>3485.6734371256944</v>
          </cell>
          <cell r="E33" t="str">
            <v> </v>
          </cell>
        </row>
        <row r="34">
          <cell r="C34">
            <v>36646</v>
          </cell>
          <cell r="D34">
            <v>3224.222516541163</v>
          </cell>
          <cell r="E34" t="str">
            <v> </v>
          </cell>
        </row>
        <row r="35">
          <cell r="C35">
            <v>36677</v>
          </cell>
          <cell r="D35">
            <v>3092.0265597984235</v>
          </cell>
          <cell r="E35" t="str">
            <v> </v>
          </cell>
        </row>
        <row r="36">
          <cell r="C36">
            <v>36707</v>
          </cell>
          <cell r="D36">
            <v>2954.8600909287843</v>
          </cell>
          <cell r="E36" t="str">
            <v> </v>
          </cell>
        </row>
        <row r="37">
          <cell r="C37">
            <v>36738</v>
          </cell>
          <cell r="D37">
            <v>3044.4536412716193</v>
          </cell>
          <cell r="E37" t="str">
            <v> </v>
          </cell>
        </row>
        <row r="38">
          <cell r="C38">
            <v>36769</v>
          </cell>
          <cell r="D38">
            <v>3120.1062164393743</v>
          </cell>
          <cell r="E38" t="str">
            <v> </v>
          </cell>
        </row>
        <row r="39">
          <cell r="C39">
            <v>36799</v>
          </cell>
          <cell r="D39">
            <v>3441.963510035178</v>
          </cell>
          <cell r="E39" t="str">
            <v> </v>
          </cell>
        </row>
        <row r="40">
          <cell r="C40">
            <v>36830</v>
          </cell>
          <cell r="D40">
            <v>4617.854096184604</v>
          </cell>
          <cell r="E40">
            <v>5061.744123792956</v>
          </cell>
        </row>
        <row r="41">
          <cell r="C41">
            <v>36860</v>
          </cell>
          <cell r="D41">
            <v>4952.402875100348</v>
          </cell>
          <cell r="E41">
            <v>5451.791230348574</v>
          </cell>
        </row>
        <row r="42">
          <cell r="C42">
            <v>36891</v>
          </cell>
          <cell r="D42">
            <v>5150.333346016141</v>
          </cell>
          <cell r="E42">
            <v>5672.213393758503</v>
          </cell>
        </row>
        <row r="43">
          <cell r="C43">
            <v>36922</v>
          </cell>
          <cell r="D43">
            <v>4736.921406464677</v>
          </cell>
          <cell r="E43">
            <v>5221.976984141101</v>
          </cell>
        </row>
        <row r="44">
          <cell r="C44">
            <v>36950</v>
          </cell>
          <cell r="D44">
            <v>3931.407543382769</v>
          </cell>
          <cell r="E44" t="str">
            <v> </v>
          </cell>
        </row>
        <row r="45">
          <cell r="C45">
            <v>36981</v>
          </cell>
          <cell r="D45">
            <v>3524.4932288957366</v>
          </cell>
          <cell r="E45" t="str">
            <v> </v>
          </cell>
        </row>
        <row r="46">
          <cell r="C46">
            <v>37011</v>
          </cell>
          <cell r="D46">
            <v>3278.4362222626396</v>
          </cell>
          <cell r="E46" t="str">
            <v> </v>
          </cell>
        </row>
        <row r="47">
          <cell r="C47">
            <v>37042</v>
          </cell>
          <cell r="D47">
            <v>3158.8728586341867</v>
          </cell>
          <cell r="E47" t="str">
            <v> </v>
          </cell>
        </row>
        <row r="48">
          <cell r="C48">
            <v>37072</v>
          </cell>
          <cell r="D48">
            <v>3026.596433035548</v>
          </cell>
          <cell r="E48" t="str">
            <v> </v>
          </cell>
        </row>
        <row r="49">
          <cell r="C49">
            <v>37103</v>
          </cell>
          <cell r="D49">
            <v>3122.9065540047113</v>
          </cell>
          <cell r="E49" t="str">
            <v> </v>
          </cell>
        </row>
        <row r="50">
          <cell r="C50">
            <v>37134</v>
          </cell>
          <cell r="D50">
            <v>3202.332794266113</v>
          </cell>
          <cell r="E50" t="str">
            <v> </v>
          </cell>
        </row>
        <row r="51">
          <cell r="C51">
            <v>37164</v>
          </cell>
          <cell r="D51">
            <v>3532.3048166289173</v>
          </cell>
          <cell r="E51" t="str">
            <v> </v>
          </cell>
        </row>
        <row r="52">
          <cell r="C52">
            <v>37195</v>
          </cell>
          <cell r="D52">
            <v>4736.338964415764</v>
          </cell>
          <cell r="E52">
            <v>5192.633934281655</v>
          </cell>
        </row>
        <row r="53">
          <cell r="C53">
            <v>37225</v>
          </cell>
          <cell r="D53">
            <v>5070.755341826331</v>
          </cell>
          <cell r="E53">
            <v>5583.113609802609</v>
          </cell>
        </row>
        <row r="54">
          <cell r="C54">
            <v>37256</v>
          </cell>
          <cell r="D54">
            <v>5257.744237593143</v>
          </cell>
          <cell r="E54">
            <v>5791.347716761518</v>
          </cell>
        </row>
        <row r="55">
          <cell r="C55">
            <v>37287</v>
          </cell>
          <cell r="D55">
            <v>4821.106417583597</v>
          </cell>
          <cell r="E55">
            <v>5315.513899920733</v>
          </cell>
        </row>
        <row r="56">
          <cell r="C56">
            <v>37315</v>
          </cell>
          <cell r="D56">
            <v>3996.539828468379</v>
          </cell>
          <cell r="E56" t="str">
            <v> </v>
          </cell>
        </row>
        <row r="57">
          <cell r="C57">
            <v>37346</v>
          </cell>
          <cell r="D57">
            <v>3580.9975804480337</v>
          </cell>
          <cell r="E57" t="str">
            <v> </v>
          </cell>
        </row>
        <row r="58">
          <cell r="C58">
            <v>37376</v>
          </cell>
          <cell r="D58">
            <v>3335.561121063245</v>
          </cell>
          <cell r="E58" t="str">
            <v> </v>
          </cell>
        </row>
        <row r="59">
          <cell r="C59">
            <v>37407</v>
          </cell>
          <cell r="D59">
            <v>3222.201807972774</v>
          </cell>
          <cell r="E59" t="str">
            <v> </v>
          </cell>
        </row>
        <row r="60">
          <cell r="C60">
            <v>37437</v>
          </cell>
          <cell r="D60">
            <v>3089.545090560198</v>
          </cell>
          <cell r="E60" t="str">
            <v> </v>
          </cell>
        </row>
        <row r="61">
          <cell r="C61">
            <v>37468</v>
          </cell>
          <cell r="D61">
            <v>3188.559743045419</v>
          </cell>
          <cell r="E61" t="str">
            <v> </v>
          </cell>
        </row>
        <row r="62">
          <cell r="C62">
            <v>37499</v>
          </cell>
          <cell r="D62">
            <v>3268.7253042150187</v>
          </cell>
          <cell r="E62" t="str">
            <v> </v>
          </cell>
        </row>
        <row r="63">
          <cell r="C63">
            <v>37529</v>
          </cell>
          <cell r="D63">
            <v>3603.9523197377816</v>
          </cell>
          <cell r="E63" t="str">
            <v> </v>
          </cell>
        </row>
        <row r="64">
          <cell r="C64">
            <v>37560</v>
          </cell>
          <cell r="D64">
            <v>4832.059497682859</v>
          </cell>
          <cell r="E64">
            <v>5297.921262836409</v>
          </cell>
        </row>
        <row r="65">
          <cell r="C65">
            <v>37590</v>
          </cell>
          <cell r="D65">
            <v>5168.0172212516745</v>
          </cell>
          <cell r="E65">
            <v>5690.508200321485</v>
          </cell>
        </row>
        <row r="66">
          <cell r="C66">
            <v>37621</v>
          </cell>
          <cell r="D66">
            <v>5348.342948010832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5398.178425014472</v>
          </cell>
        </row>
        <row r="68">
          <cell r="C68">
            <v>37680</v>
          </cell>
          <cell r="D68">
            <v>4051.9045393586603</v>
          </cell>
          <cell r="E68" t="str">
            <v> </v>
          </cell>
        </row>
        <row r="69">
          <cell r="C69">
            <v>37711</v>
          </cell>
          <cell r="D69">
            <v>3629.04808957197</v>
          </cell>
          <cell r="E69" t="str">
            <v> </v>
          </cell>
        </row>
        <row r="70">
          <cell r="C70">
            <v>37741</v>
          </cell>
          <cell r="D70">
            <v>3390.461171296055</v>
          </cell>
          <cell r="E70" t="str">
            <v> </v>
          </cell>
        </row>
        <row r="71">
          <cell r="C71">
            <v>37772</v>
          </cell>
          <cell r="D71">
            <v>3285.297430900314</v>
          </cell>
          <cell r="E71" t="str">
            <v> </v>
          </cell>
        </row>
        <row r="72">
          <cell r="C72">
            <v>37802</v>
          </cell>
          <cell r="D72">
            <v>3153.4483546713554</v>
          </cell>
          <cell r="E72" t="str">
            <v> </v>
          </cell>
        </row>
        <row r="73">
          <cell r="C73">
            <v>37833</v>
          </cell>
          <cell r="D73">
            <v>3254.764268206686</v>
          </cell>
          <cell r="E73" t="str">
            <v> </v>
          </cell>
        </row>
        <row r="74">
          <cell r="C74">
            <v>37864</v>
          </cell>
          <cell r="D74">
            <v>3336.6527554859263</v>
          </cell>
          <cell r="E74" t="str">
            <v> </v>
          </cell>
        </row>
        <row r="75">
          <cell r="C75">
            <v>37894</v>
          </cell>
          <cell r="D75">
            <v>3678.3992141496983</v>
          </cell>
          <cell r="E75" t="str">
            <v> </v>
          </cell>
        </row>
        <row r="76">
          <cell r="C76">
            <v>37925</v>
          </cell>
          <cell r="D76">
            <v>4929.349705487788</v>
          </cell>
          <cell r="E76">
            <v>5404.952759779079</v>
          </cell>
        </row>
        <row r="77">
          <cell r="C77">
            <v>37955</v>
          </cell>
          <cell r="D77">
            <v>5270.323471518547</v>
          </cell>
          <cell r="E77">
            <v>5803.5550917620185</v>
          </cell>
        </row>
        <row r="78">
          <cell r="C78">
            <v>37986</v>
          </cell>
          <cell r="D78">
            <v>5443.892636830163</v>
          </cell>
          <cell r="E78">
            <v>5997.310447529363</v>
          </cell>
        </row>
        <row r="79">
          <cell r="C79">
            <v>38017</v>
          </cell>
          <cell r="D79">
            <v>4971.977578136203</v>
          </cell>
          <cell r="E79">
            <v>5482.943141777243</v>
          </cell>
        </row>
        <row r="80">
          <cell r="C80">
            <v>38046</v>
          </cell>
          <cell r="D80">
            <v>4111.123556488503</v>
          </cell>
          <cell r="E80" t="str">
            <v> </v>
          </cell>
        </row>
        <row r="81">
          <cell r="C81">
            <v>38077</v>
          </cell>
          <cell r="D81">
            <v>3680.2643124329916</v>
          </cell>
          <cell r="E81" t="str">
            <v> </v>
          </cell>
        </row>
        <row r="82">
          <cell r="C82">
            <v>38107</v>
          </cell>
          <cell r="D82">
            <v>3446.9032424867833</v>
          </cell>
          <cell r="E82" t="str">
            <v> </v>
          </cell>
        </row>
        <row r="83">
          <cell r="C83">
            <v>38138</v>
          </cell>
          <cell r="D83">
            <v>3346.9376670202896</v>
          </cell>
          <cell r="E83" t="str">
            <v> </v>
          </cell>
        </row>
        <row r="84">
          <cell r="C84">
            <v>38168</v>
          </cell>
          <cell r="D84">
            <v>3215.129422703349</v>
          </cell>
          <cell r="E84" t="str">
            <v> </v>
          </cell>
        </row>
        <row r="85">
          <cell r="C85">
            <v>38199</v>
          </cell>
          <cell r="D85">
            <v>3322.833918438797</v>
          </cell>
          <cell r="E85" t="str">
            <v> </v>
          </cell>
        </row>
        <row r="86">
          <cell r="C86">
            <v>38230</v>
          </cell>
          <cell r="D86">
            <v>3404.4063854815586</v>
          </cell>
          <cell r="E86" t="str">
            <v> </v>
          </cell>
        </row>
        <row r="87">
          <cell r="C87">
            <v>38260</v>
          </cell>
          <cell r="D87">
            <v>3752.0122867601076</v>
          </cell>
          <cell r="E87" t="str">
            <v> </v>
          </cell>
        </row>
        <row r="88">
          <cell r="C88">
            <v>38291</v>
          </cell>
          <cell r="D88">
            <v>5029.109541807531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5918.724353716798</v>
          </cell>
        </row>
        <row r="90">
          <cell r="C90">
            <v>38352</v>
          </cell>
          <cell r="D90">
            <v>5541.973680962666</v>
          </cell>
          <cell r="E90">
            <v>6105.918264477324</v>
          </cell>
        </row>
        <row r="91">
          <cell r="C91">
            <v>38383</v>
          </cell>
          <cell r="D91">
            <v>5049.5427163693375</v>
          </cell>
          <cell r="E91">
            <v>5569.053367557348</v>
          </cell>
        </row>
        <row r="92">
          <cell r="C92">
            <v>38411</v>
          </cell>
          <cell r="D92">
            <v>4173.138365479623</v>
          </cell>
          <cell r="E92" t="str">
            <v> </v>
          </cell>
        </row>
        <row r="93">
          <cell r="C93">
            <v>38442</v>
          </cell>
          <cell r="D93">
            <v>3735.0252943992023</v>
          </cell>
          <cell r="E93" t="str">
            <v> </v>
          </cell>
        </row>
        <row r="94">
          <cell r="C94">
            <v>38472</v>
          </cell>
          <cell r="D94">
            <v>3504.340971880303</v>
          </cell>
          <cell r="E94" t="str">
            <v> </v>
          </cell>
        </row>
        <row r="95">
          <cell r="C95">
            <v>38503</v>
          </cell>
          <cell r="D95">
            <v>3418.0825271444546</v>
          </cell>
          <cell r="E95" t="str">
            <v> </v>
          </cell>
        </row>
        <row r="96">
          <cell r="C96">
            <v>38533</v>
          </cell>
          <cell r="D96">
            <v>3286.0035227415465</v>
          </cell>
          <cell r="E96" t="str">
            <v> </v>
          </cell>
        </row>
        <row r="97">
          <cell r="C97">
            <v>38564</v>
          </cell>
          <cell r="D97">
            <v>3392.2031430927345</v>
          </cell>
          <cell r="E97" t="str">
            <v> </v>
          </cell>
        </row>
        <row r="98">
          <cell r="C98">
            <v>38595</v>
          </cell>
          <cell r="D98">
            <v>3478.8183261197246</v>
          </cell>
          <cell r="E98" t="str">
            <v> </v>
          </cell>
        </row>
        <row r="99">
          <cell r="C99">
            <v>38625</v>
          </cell>
          <cell r="D99">
            <v>3831.5406422918686</v>
          </cell>
          <cell r="E99" t="str">
            <v> </v>
          </cell>
        </row>
        <row r="100">
          <cell r="C100">
            <v>38656</v>
          </cell>
          <cell r="D100">
            <v>5129.969228673135</v>
          </cell>
          <cell r="E100">
            <v>5625.658906490225</v>
          </cell>
        </row>
        <row r="101">
          <cell r="C101">
            <v>38686</v>
          </cell>
          <cell r="D101">
            <v>5480.218626320242</v>
          </cell>
          <cell r="E101">
            <v>6035.47113406991</v>
          </cell>
        </row>
        <row r="102">
          <cell r="C102">
            <v>38717</v>
          </cell>
          <cell r="D102">
            <v>5638.859923989001</v>
          </cell>
          <cell r="E102">
            <v>6213.105733679037</v>
          </cell>
        </row>
        <row r="103">
          <cell r="C103">
            <v>38748</v>
          </cell>
          <cell r="D103">
            <v>5127.1248386715915</v>
          </cell>
          <cell r="E103">
            <v>5655.136407923541</v>
          </cell>
        </row>
        <row r="104">
          <cell r="C104">
            <v>38776</v>
          </cell>
          <cell r="D104">
            <v>4233.057031883804</v>
          </cell>
          <cell r="E104" t="str">
            <v> </v>
          </cell>
        </row>
        <row r="105">
          <cell r="C105">
            <v>38807</v>
          </cell>
          <cell r="D105">
            <v>3786.0980891916147</v>
          </cell>
          <cell r="E105" t="str">
            <v> </v>
          </cell>
        </row>
        <row r="106">
          <cell r="C106">
            <v>38837</v>
          </cell>
          <cell r="D106">
            <v>3562.3393032018166</v>
          </cell>
          <cell r="E106" t="str">
            <v> </v>
          </cell>
        </row>
        <row r="107">
          <cell r="C107">
            <v>38868</v>
          </cell>
          <cell r="D107">
            <v>3482.9554977432435</v>
          </cell>
          <cell r="E107" t="str">
            <v> </v>
          </cell>
        </row>
        <row r="108">
          <cell r="C108">
            <v>38898</v>
          </cell>
          <cell r="D108">
            <v>3351.1208402722414</v>
          </cell>
          <cell r="E108" t="str">
            <v> </v>
          </cell>
        </row>
        <row r="109">
          <cell r="C109">
            <v>38929</v>
          </cell>
          <cell r="D109">
            <v>3462.843722631442</v>
          </cell>
          <cell r="E109" t="str">
            <v> </v>
          </cell>
        </row>
        <row r="110">
          <cell r="C110">
            <v>38960</v>
          </cell>
          <cell r="D110">
            <v>3549.733442385483</v>
          </cell>
          <cell r="E110" t="str">
            <v> </v>
          </cell>
        </row>
        <row r="111">
          <cell r="C111">
            <v>38990</v>
          </cell>
          <cell r="D111">
            <v>3908.4066145187944</v>
          </cell>
          <cell r="E111" t="str">
            <v> </v>
          </cell>
        </row>
        <row r="112">
          <cell r="C112">
            <v>39021</v>
          </cell>
          <cell r="D112">
            <v>5232.377635501369</v>
          </cell>
          <cell r="E112">
            <v>5738.281798153608</v>
          </cell>
        </row>
        <row r="113">
          <cell r="C113">
            <v>39051</v>
          </cell>
          <cell r="D113">
            <v>5587.283114242852</v>
          </cell>
          <cell r="E113">
            <v>6153.826778250474</v>
          </cell>
        </row>
        <row r="114">
          <cell r="C114">
            <v>39082</v>
          </cell>
          <cell r="D114">
            <v>5739.21446139929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5743.245306500185</v>
          </cell>
        </row>
        <row r="116">
          <cell r="C116">
            <v>39141</v>
          </cell>
          <cell r="D116">
            <v>4296.767585259746</v>
          </cell>
          <cell r="E116" t="str">
            <v> </v>
          </cell>
        </row>
        <row r="117">
          <cell r="C117">
            <v>39172</v>
          </cell>
          <cell r="D117">
            <v>3842.581222099061</v>
          </cell>
          <cell r="E117" t="str">
            <v> </v>
          </cell>
        </row>
        <row r="118">
          <cell r="C118">
            <v>39202</v>
          </cell>
          <cell r="D118">
            <v>3622.8845837738477</v>
          </cell>
          <cell r="E118" t="str">
            <v> </v>
          </cell>
        </row>
        <row r="119">
          <cell r="C119">
            <v>39233</v>
          </cell>
          <cell r="D119">
            <v>3554.919735128303</v>
          </cell>
          <cell r="E119" t="str">
            <v> </v>
          </cell>
        </row>
        <row r="120">
          <cell r="C120">
            <v>39263</v>
          </cell>
          <cell r="D120">
            <v>3423.2444762495934</v>
          </cell>
          <cell r="E120" t="str">
            <v> </v>
          </cell>
        </row>
        <row r="121">
          <cell r="C121">
            <v>39294</v>
          </cell>
          <cell r="D121">
            <v>3537.0553843690323</v>
          </cell>
          <cell r="E121" t="str">
            <v> </v>
          </cell>
        </row>
        <row r="122">
          <cell r="C122">
            <v>39325</v>
          </cell>
          <cell r="D122">
            <v>3626.2318190956485</v>
          </cell>
          <cell r="E122" t="str">
            <v> </v>
          </cell>
        </row>
        <row r="123">
          <cell r="C123">
            <v>39355</v>
          </cell>
          <cell r="D123">
            <v>3990.6288497481373</v>
          </cell>
          <cell r="E123" t="str">
            <v> </v>
          </cell>
        </row>
        <row r="124">
          <cell r="C124">
            <v>39386</v>
          </cell>
          <cell r="D124">
            <v>5340.259970689416</v>
          </cell>
          <cell r="E124">
            <v>5856.870871351677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6438.119098003704</v>
          </cell>
        </row>
        <row r="127">
          <cell r="C127">
            <v>39478</v>
          </cell>
          <cell r="D127">
            <v>5290.70396074969</v>
          </cell>
          <cell r="E127">
            <v>5836.529395976104</v>
          </cell>
        </row>
        <row r="128">
          <cell r="C128">
            <v>39507</v>
          </cell>
          <cell r="D128">
            <v>4360.79145811993</v>
          </cell>
          <cell r="E128" t="str">
            <v> </v>
          </cell>
        </row>
        <row r="129">
          <cell r="C129">
            <v>39538</v>
          </cell>
          <cell r="D129">
            <v>3898.431716063465</v>
          </cell>
          <cell r="E129" t="str">
            <v> </v>
          </cell>
        </row>
        <row r="130">
          <cell r="C130">
            <v>39568</v>
          </cell>
          <cell r="D130">
            <v>3686.7570383777784</v>
          </cell>
          <cell r="E130" t="str">
            <v> </v>
          </cell>
        </row>
        <row r="131">
          <cell r="C131">
            <v>39599</v>
          </cell>
          <cell r="D131">
            <v>3627.4636326885993</v>
          </cell>
          <cell r="E131" t="str">
            <v> </v>
          </cell>
        </row>
        <row r="132">
          <cell r="C132">
            <v>39629</v>
          </cell>
          <cell r="D132">
            <v>3496.4548647786287</v>
          </cell>
          <cell r="E132" t="str">
            <v> </v>
          </cell>
        </row>
        <row r="133">
          <cell r="C133">
            <v>39660</v>
          </cell>
          <cell r="D133">
            <v>3614.3921940646915</v>
          </cell>
          <cell r="E133" t="str">
            <v> </v>
          </cell>
        </row>
        <row r="134">
          <cell r="C134">
            <v>39691</v>
          </cell>
          <cell r="D134">
            <v>3704.1244936934845</v>
          </cell>
          <cell r="E134" t="str">
            <v> </v>
          </cell>
        </row>
        <row r="135">
          <cell r="C135">
            <v>39721</v>
          </cell>
          <cell r="D135">
            <v>4075.3524900208254</v>
          </cell>
          <cell r="E135" t="str">
            <v> </v>
          </cell>
        </row>
        <row r="136">
          <cell r="C136">
            <v>39752</v>
          </cell>
          <cell r="D136">
            <v>5451.7670237161565</v>
          </cell>
          <cell r="E136">
            <v>5979.434889151593</v>
          </cell>
        </row>
        <row r="137">
          <cell r="C137">
            <v>39782</v>
          </cell>
          <cell r="D137">
            <v>5814.248278545049</v>
          </cell>
          <cell r="E137">
            <v>6404.352127552735</v>
          </cell>
        </row>
        <row r="138">
          <cell r="C138">
            <v>39813</v>
          </cell>
          <cell r="D138">
            <v>5951.082475365272</v>
          </cell>
          <cell r="E138">
            <v>6558.323899909485</v>
          </cell>
        </row>
        <row r="139">
          <cell r="C139">
            <v>39844</v>
          </cell>
          <cell r="D139">
            <v>5378.079841375002</v>
          </cell>
          <cell r="E139">
            <v>5933.352084824389</v>
          </cell>
        </row>
        <row r="140">
          <cell r="C140">
            <v>39872</v>
          </cell>
          <cell r="D140">
            <v>4430.020508844457</v>
          </cell>
          <cell r="E140" t="str">
            <v> </v>
          </cell>
        </row>
        <row r="141">
          <cell r="C141">
            <v>39903</v>
          </cell>
          <cell r="D141">
            <v>3959.8612072536935</v>
          </cell>
          <cell r="E141" t="str">
            <v> </v>
          </cell>
        </row>
        <row r="142">
          <cell r="C142">
            <v>39933</v>
          </cell>
          <cell r="D142">
            <v>3754.234587611426</v>
          </cell>
          <cell r="E142" t="str">
            <v> </v>
          </cell>
        </row>
        <row r="143">
          <cell r="C143">
            <v>39964</v>
          </cell>
          <cell r="D143">
            <v>3705.965054369726</v>
          </cell>
          <cell r="E143" t="str">
            <v> </v>
          </cell>
        </row>
        <row r="144">
          <cell r="C144">
            <v>39994</v>
          </cell>
          <cell r="D144">
            <v>3575.6201311010773</v>
          </cell>
          <cell r="E144" t="str">
            <v> </v>
          </cell>
        </row>
        <row r="145">
          <cell r="C145">
            <v>40025</v>
          </cell>
          <cell r="D145">
            <v>3697.047831334342</v>
          </cell>
          <cell r="E145" t="str">
            <v> </v>
          </cell>
        </row>
        <row r="146">
          <cell r="C146">
            <v>40056</v>
          </cell>
          <cell r="D146">
            <v>3789.2351612375405</v>
          </cell>
          <cell r="E146" t="str">
            <v> </v>
          </cell>
        </row>
        <row r="147">
          <cell r="C147">
            <v>40086</v>
          </cell>
          <cell r="D147">
            <v>4167.194951008108</v>
          </cell>
          <cell r="E147" t="str">
            <v> </v>
          </cell>
        </row>
        <row r="148">
          <cell r="C148">
            <v>40117</v>
          </cell>
          <cell r="D148">
            <v>5571.353482465622</v>
          </cell>
          <cell r="E148">
            <v>6110.75163841601</v>
          </cell>
        </row>
        <row r="149">
          <cell r="C149">
            <v>40147</v>
          </cell>
          <cell r="D149">
            <v>5938.98949621171</v>
          </cell>
          <cell r="E149">
            <v>6541.914422558591</v>
          </cell>
        </row>
        <row r="150">
          <cell r="C150">
            <v>40178</v>
          </cell>
          <cell r="D150">
            <v>6067.58029342657</v>
          </cell>
          <cell r="E150">
            <v>6686.965065006208</v>
          </cell>
        </row>
        <row r="151">
          <cell r="C151">
            <v>40209</v>
          </cell>
          <cell r="D151">
            <v>5471.615487256536</v>
          </cell>
          <cell r="E151">
            <v>6036.895218004838</v>
          </cell>
        </row>
        <row r="152">
          <cell r="C152">
            <v>40237</v>
          </cell>
          <cell r="D152">
            <v>4504.120002987686</v>
          </cell>
          <cell r="E152" t="str">
            <v> </v>
          </cell>
        </row>
        <row r="153">
          <cell r="C153">
            <v>40268</v>
          </cell>
          <cell r="D153">
            <v>4024.9817504300845</v>
          </cell>
          <cell r="E153" t="str">
            <v> </v>
          </cell>
        </row>
        <row r="154">
          <cell r="C154">
            <v>40298</v>
          </cell>
          <cell r="D154">
            <v>3825.3386317210116</v>
          </cell>
          <cell r="E154" t="str">
            <v> </v>
          </cell>
        </row>
        <row r="155">
          <cell r="C155">
            <v>40329</v>
          </cell>
          <cell r="D155">
            <v>3788.3476892800854</v>
          </cell>
          <cell r="E155" t="str">
            <v> </v>
          </cell>
        </row>
        <row r="156">
          <cell r="C156">
            <v>40359</v>
          </cell>
          <cell r="D156">
            <v>3657.9054062850937</v>
          </cell>
          <cell r="E156" t="str">
            <v> </v>
          </cell>
        </row>
        <row r="157">
          <cell r="C157">
            <v>40390</v>
          </cell>
          <cell r="D157">
            <v>3781.790714450078</v>
          </cell>
          <cell r="E157" t="str">
            <v> </v>
          </cell>
        </row>
        <row r="158">
          <cell r="C158">
            <v>40421</v>
          </cell>
          <cell r="D158">
            <v>3875.8224032180087</v>
          </cell>
          <cell r="E158" t="str">
            <v> </v>
          </cell>
        </row>
        <row r="159">
          <cell r="C159">
            <v>40451</v>
          </cell>
          <cell r="D159">
            <v>4259.845898272373</v>
          </cell>
          <cell r="E159" t="str">
            <v> </v>
          </cell>
        </row>
        <row r="160">
          <cell r="C160">
            <v>40482</v>
          </cell>
          <cell r="D160">
            <v>5690.945085425337</v>
          </cell>
          <cell r="E160">
            <v>6242.0916166439065</v>
          </cell>
        </row>
        <row r="161">
          <cell r="C161">
            <v>40512</v>
          </cell>
          <cell r="D161">
            <v>6062.6099032083</v>
          </cell>
          <cell r="E161">
            <v>6678.2371389811</v>
          </cell>
        </row>
        <row r="162">
          <cell r="C162">
            <v>40543</v>
          </cell>
          <cell r="D162">
            <v>6182.129414555358</v>
          </cell>
          <cell r="E162">
            <v>6813.4731868393865</v>
          </cell>
        </row>
        <row r="163">
          <cell r="C163">
            <v>40574</v>
          </cell>
          <cell r="D163">
            <v>5563.417190505795</v>
          </cell>
          <cell r="E163">
            <v>6138.554208478368</v>
          </cell>
        </row>
        <row r="164">
          <cell r="C164">
            <v>40602</v>
          </cell>
          <cell r="D164">
            <v>4576.036014081023</v>
          </cell>
          <cell r="E164" t="str">
            <v> </v>
          </cell>
        </row>
        <row r="165">
          <cell r="C165">
            <v>40633</v>
          </cell>
          <cell r="D165">
            <v>4087.9742001485056</v>
          </cell>
          <cell r="E165" t="str">
            <v> </v>
          </cell>
        </row>
        <row r="166">
          <cell r="C166">
            <v>40663</v>
          </cell>
          <cell r="D166">
            <v>3895.254641963568</v>
          </cell>
          <cell r="E166" t="str">
            <v> </v>
          </cell>
        </row>
        <row r="167">
          <cell r="C167">
            <v>40694</v>
          </cell>
          <cell r="D167">
            <v>3868.513361071731</v>
          </cell>
          <cell r="E167" t="str">
            <v> </v>
          </cell>
        </row>
        <row r="168">
          <cell r="C168">
            <v>40724</v>
          </cell>
          <cell r="D168">
            <v>3738.322060050458</v>
          </cell>
          <cell r="E168" t="str">
            <v> </v>
          </cell>
        </row>
        <row r="169">
          <cell r="C169">
            <v>40755</v>
          </cell>
          <cell r="D169">
            <v>3866.03982880944</v>
          </cell>
          <cell r="E169" t="str">
            <v> </v>
          </cell>
        </row>
        <row r="170">
          <cell r="C170">
            <v>40786</v>
          </cell>
          <cell r="D170">
            <v>3961.253973732756</v>
          </cell>
          <cell r="E170" t="str">
            <v> </v>
          </cell>
        </row>
        <row r="171">
          <cell r="C171">
            <v>40816</v>
          </cell>
          <cell r="D171">
            <v>4351.610854708243</v>
          </cell>
          <cell r="E171" t="str">
            <v> </v>
          </cell>
        </row>
        <row r="172">
          <cell r="C172">
            <v>40847</v>
          </cell>
          <cell r="D172">
            <v>5810.440887569766</v>
          </cell>
          <cell r="E172">
            <v>6373.348355455457</v>
          </cell>
        </row>
        <row r="173">
          <cell r="C173">
            <v>40877</v>
          </cell>
          <cell r="D173">
            <v>6186.348039196886</v>
          </cell>
          <cell r="E173">
            <v>6814.76289528029</v>
          </cell>
        </row>
        <row r="174">
          <cell r="C174">
            <v>40908</v>
          </cell>
          <cell r="D174">
            <v>6297.03290308418</v>
          </cell>
          <cell r="E174">
            <v>6940.407394429028</v>
          </cell>
        </row>
        <row r="175">
          <cell r="C175">
            <v>40939</v>
          </cell>
          <cell r="D175">
            <v>5654.884998423505</v>
          </cell>
          <cell r="E175">
            <v>6239.86762662432</v>
          </cell>
        </row>
        <row r="176">
          <cell r="C176">
            <v>40968</v>
          </cell>
          <cell r="D176">
            <v>4648.143190031024</v>
          </cell>
          <cell r="E176" t="str">
            <v> </v>
          </cell>
        </row>
        <row r="177">
          <cell r="C177">
            <v>40999</v>
          </cell>
          <cell r="D177">
            <v>4151.397102829196</v>
          </cell>
          <cell r="E177" t="str">
            <v> </v>
          </cell>
        </row>
        <row r="178">
          <cell r="C178">
            <v>41029</v>
          </cell>
          <cell r="D178">
            <v>3965.175139294849</v>
          </cell>
          <cell r="E178" t="str">
            <v> </v>
          </cell>
        </row>
        <row r="179">
          <cell r="C179">
            <v>41060</v>
          </cell>
          <cell r="D179">
            <v>3950.064765091919</v>
          </cell>
          <cell r="E179" t="str">
            <v> </v>
          </cell>
        </row>
        <row r="180">
          <cell r="C180">
            <v>41090</v>
          </cell>
          <cell r="D180">
            <v>3820.1464041164363</v>
          </cell>
          <cell r="E180" t="str">
            <v> </v>
          </cell>
        </row>
        <row r="181">
          <cell r="C181">
            <v>41121</v>
          </cell>
          <cell r="D181">
            <v>3950.949970221169</v>
          </cell>
          <cell r="E181" t="str">
            <v> </v>
          </cell>
        </row>
        <row r="182">
          <cell r="C182">
            <v>41152</v>
          </cell>
          <cell r="D182">
            <v>4048.200770094949</v>
          </cell>
          <cell r="E182" t="str">
            <v> </v>
          </cell>
        </row>
        <row r="183">
          <cell r="C183">
            <v>41182</v>
          </cell>
          <cell r="D183">
            <v>4444.858883257228</v>
          </cell>
          <cell r="E183" t="str">
            <v> </v>
          </cell>
        </row>
        <row r="184">
          <cell r="C184">
            <v>41213</v>
          </cell>
          <cell r="D184">
            <v>5931.153963986199</v>
          </cell>
          <cell r="E184">
            <v>6505.954924027162</v>
          </cell>
        </row>
        <row r="185">
          <cell r="C185">
            <v>41243</v>
          </cell>
          <cell r="D185">
            <v>6311.89761492343</v>
          </cell>
          <cell r="E185">
            <v>6953.287350766596</v>
          </cell>
        </row>
        <row r="186">
          <cell r="C186">
            <v>41274</v>
          </cell>
          <cell r="D186">
            <v>6413.064014172318</v>
          </cell>
          <cell r="E186">
            <v>7068.61369430019</v>
          </cell>
        </row>
        <row r="187">
          <cell r="C187">
            <v>41305</v>
          </cell>
          <cell r="D187">
            <v>5746.499548169068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> </v>
          </cell>
        </row>
        <row r="189">
          <cell r="C189">
            <v>41364</v>
          </cell>
          <cell r="D189">
            <v>4214.519155087309</v>
          </cell>
          <cell r="E189" t="str">
            <v> </v>
          </cell>
        </row>
        <row r="190">
          <cell r="C190">
            <v>41394</v>
          </cell>
          <cell r="D190">
            <v>4035.0605007900085</v>
          </cell>
          <cell r="E190" t="str">
            <v> </v>
          </cell>
        </row>
        <row r="191">
          <cell r="C191">
            <v>41425</v>
          </cell>
          <cell r="D191">
            <v>4033.1461279019077</v>
          </cell>
          <cell r="E191" t="str">
            <v> </v>
          </cell>
        </row>
        <row r="192">
          <cell r="C192">
            <v>41455</v>
          </cell>
          <cell r="D192">
            <v>3903.3590466219785</v>
          </cell>
          <cell r="E192" t="str">
            <v> </v>
          </cell>
        </row>
        <row r="193">
          <cell r="C193">
            <v>41486</v>
          </cell>
          <cell r="D193">
            <v>4036.141465794533</v>
          </cell>
          <cell r="E193" t="str">
            <v> </v>
          </cell>
        </row>
        <row r="194">
          <cell r="C194">
            <v>41517</v>
          </cell>
          <cell r="D194">
            <v>4135.643819146087</v>
          </cell>
          <cell r="E194" t="str">
            <v> </v>
          </cell>
        </row>
        <row r="195">
          <cell r="C195">
            <v>41547</v>
          </cell>
          <cell r="D195">
            <v>4538.544651996597</v>
          </cell>
          <cell r="E195" t="str">
            <v> </v>
          </cell>
        </row>
        <row r="196">
          <cell r="C196">
            <v>41578</v>
          </cell>
          <cell r="D196">
            <v>6052.082529155622</v>
          </cell>
          <cell r="E196">
            <v>6638.798532145293</v>
          </cell>
        </row>
        <row r="197">
          <cell r="C197">
            <v>41608</v>
          </cell>
          <cell r="D197">
            <v>6436.164734388439</v>
          </cell>
          <cell r="E197">
            <v>7090.316995244128</v>
          </cell>
        </row>
        <row r="198">
          <cell r="C198">
            <v>41639</v>
          </cell>
          <cell r="D198">
            <v>6527.107092498725</v>
          </cell>
          <cell r="E198">
            <v>7194.585997473734</v>
          </cell>
        </row>
        <row r="199">
          <cell r="C199">
            <v>41670</v>
          </cell>
          <cell r="D199">
            <v>5837.516792279889</v>
          </cell>
          <cell r="E199">
            <v>6442.203508306424</v>
          </cell>
        </row>
        <row r="200">
          <cell r="C200">
            <v>41698</v>
          </cell>
          <cell r="D200">
            <v>4789.962934612433</v>
          </cell>
          <cell r="E200" t="str">
            <v> </v>
          </cell>
        </row>
        <row r="201">
          <cell r="C201">
            <v>41729</v>
          </cell>
          <cell r="D201">
            <v>4275.034293613742</v>
          </cell>
          <cell r="E201" t="str">
            <v> </v>
          </cell>
        </row>
        <row r="202">
          <cell r="C202">
            <v>41759</v>
          </cell>
          <cell r="D202">
            <v>4104.573949428823</v>
          </cell>
          <cell r="E202" t="str">
            <v> </v>
          </cell>
        </row>
        <row r="203">
          <cell r="C203">
            <v>41790</v>
          </cell>
          <cell r="D203">
            <v>4111.9257342574565</v>
          </cell>
          <cell r="E203" t="str">
            <v> </v>
          </cell>
        </row>
        <row r="204">
          <cell r="C204">
            <v>41820</v>
          </cell>
          <cell r="D204">
            <v>3982.895835469213</v>
          </cell>
          <cell r="E204" t="str">
            <v> </v>
          </cell>
        </row>
        <row r="205">
          <cell r="C205">
            <v>41851</v>
          </cell>
          <cell r="D205">
            <v>4121.501515292211</v>
          </cell>
          <cell r="E205" t="str">
            <v> </v>
          </cell>
        </row>
        <row r="206">
          <cell r="C206">
            <v>41882</v>
          </cell>
          <cell r="D206">
            <v>4220.839241966115</v>
          </cell>
          <cell r="E206" t="str">
            <v> </v>
          </cell>
        </row>
        <row r="207">
          <cell r="C207">
            <v>41912</v>
          </cell>
          <cell r="D207">
            <v>4630.60214235666</v>
          </cell>
          <cell r="E207" t="str">
            <v> </v>
          </cell>
        </row>
        <row r="208">
          <cell r="C208">
            <v>41943</v>
          </cell>
          <cell r="D208">
            <v>6173.55737329439</v>
          </cell>
          <cell r="E208">
            <v>6772.256624958764</v>
          </cell>
        </row>
        <row r="209">
          <cell r="C209">
            <v>41973</v>
          </cell>
          <cell r="D209">
            <v>6561.912133016438</v>
          </cell>
          <cell r="E209">
            <v>7229.16129076142</v>
          </cell>
        </row>
        <row r="210">
          <cell r="C210">
            <v>42004</v>
          </cell>
          <cell r="D210">
            <v>6643.384008514225</v>
          </cell>
          <cell r="E210">
            <v>7323.090035531546</v>
          </cell>
        </row>
        <row r="211">
          <cell r="C211">
            <v>42035</v>
          </cell>
          <cell r="D211">
            <v>5928.2404911407175</v>
          </cell>
          <cell r="E211">
            <v>6542.73681958485</v>
          </cell>
        </row>
        <row r="212">
          <cell r="C212">
            <v>42063</v>
          </cell>
          <cell r="D212">
            <v>4861.573119100263</v>
          </cell>
          <cell r="E212" t="str">
            <v> </v>
          </cell>
        </row>
        <row r="213">
          <cell r="C213">
            <v>42094</v>
          </cell>
          <cell r="D213">
            <v>4338.13934003586</v>
          </cell>
          <cell r="E213" t="str">
            <v> </v>
          </cell>
        </row>
        <row r="214">
          <cell r="C214">
            <v>42124</v>
          </cell>
          <cell r="D214">
            <v>4173.890807957299</v>
          </cell>
          <cell r="E214" t="str">
            <v> </v>
          </cell>
        </row>
        <row r="215">
          <cell r="C215">
            <v>42155</v>
          </cell>
          <cell r="D215">
            <v>4195.425605971675</v>
          </cell>
          <cell r="E215" t="str">
            <v> </v>
          </cell>
        </row>
        <row r="216">
          <cell r="C216">
            <v>42185</v>
          </cell>
          <cell r="D216">
            <v>4066.71917856049</v>
          </cell>
          <cell r="E216" t="str">
            <v> </v>
          </cell>
        </row>
        <row r="217">
          <cell r="C217">
            <v>42216</v>
          </cell>
          <cell r="D217">
            <v>4207.109274919061</v>
          </cell>
          <cell r="E217" t="str">
            <v> </v>
          </cell>
        </row>
        <row r="218">
          <cell r="C218">
            <v>42247</v>
          </cell>
          <cell r="D218">
            <v>4309.562593805772</v>
          </cell>
          <cell r="E218" t="str">
            <v> </v>
          </cell>
        </row>
        <row r="219">
          <cell r="C219">
            <v>42277</v>
          </cell>
          <cell r="D219">
            <v>4725.430302691473</v>
          </cell>
          <cell r="E219" t="str">
            <v> </v>
          </cell>
        </row>
        <row r="220">
          <cell r="C220">
            <v>42308</v>
          </cell>
          <cell r="D220">
            <v>6295.096179840701</v>
          </cell>
          <cell r="E220">
            <v>6905.773840507877</v>
          </cell>
        </row>
        <row r="221">
          <cell r="C221">
            <v>42338</v>
          </cell>
          <cell r="D221">
            <v>6688.60971955589</v>
          </cell>
          <cell r="E221">
            <v>7368.924251464617</v>
          </cell>
        </row>
        <row r="222">
          <cell r="C222">
            <v>42369</v>
          </cell>
          <cell r="D222">
            <v>6759.012458259497</v>
          </cell>
          <cell r="E222">
            <v>7450.867583060673</v>
          </cell>
        </row>
        <row r="223">
          <cell r="C223">
            <v>42400</v>
          </cell>
          <cell r="D223">
            <v>6017.926472506192</v>
          </cell>
          <cell r="E223">
            <v>6642.119845512801</v>
          </cell>
        </row>
        <row r="224">
          <cell r="C224">
            <v>42429</v>
          </cell>
          <cell r="D224">
            <v>4931.757012802076</v>
          </cell>
          <cell r="E224" t="str">
            <v> </v>
          </cell>
        </row>
        <row r="225">
          <cell r="C225">
            <v>42460</v>
          </cell>
          <cell r="D225">
            <v>4398.945763302221</v>
          </cell>
          <cell r="E225" t="str">
            <v> </v>
          </cell>
        </row>
        <row r="226">
          <cell r="C226">
            <v>42490</v>
          </cell>
          <cell r="D226">
            <v>4242.527056513591</v>
          </cell>
          <cell r="E226" t="str">
            <v> </v>
          </cell>
        </row>
        <row r="227">
          <cell r="C227">
            <v>42521</v>
          </cell>
          <cell r="D227">
            <v>4278.521582643312</v>
          </cell>
          <cell r="E227" t="str">
            <v> </v>
          </cell>
        </row>
        <row r="228">
          <cell r="C228">
            <v>42551</v>
          </cell>
          <cell r="D228">
            <v>4150.091478153201</v>
          </cell>
          <cell r="E228" t="str">
            <v> </v>
          </cell>
        </row>
        <row r="229">
          <cell r="C229">
            <v>42582</v>
          </cell>
          <cell r="D229">
            <v>4292.525783848345</v>
          </cell>
          <cell r="E229" t="str">
            <v> </v>
          </cell>
        </row>
        <row r="230">
          <cell r="C230">
            <v>42613</v>
          </cell>
          <cell r="D230">
            <v>4397.4726058878805</v>
          </cell>
          <cell r="E230" t="str">
            <v> </v>
          </cell>
        </row>
        <row r="231">
          <cell r="C231">
            <v>42643</v>
          </cell>
          <cell r="D231">
            <v>4819.539329128037</v>
          </cell>
          <cell r="E231" t="str">
            <v> </v>
          </cell>
        </row>
        <row r="232">
          <cell r="C232">
            <v>42674</v>
          </cell>
          <cell r="D232">
            <v>6416.171208275944</v>
          </cell>
          <cell r="E232">
            <v>7038.787275905621</v>
          </cell>
        </row>
        <row r="233">
          <cell r="C233">
            <v>42704</v>
          </cell>
          <cell r="D233">
            <v>6813.242432599137</v>
          </cell>
          <cell r="E233">
            <v>7506.3754975285165</v>
          </cell>
        </row>
        <row r="234">
          <cell r="C234">
            <v>42735</v>
          </cell>
          <cell r="D234">
            <v>6872.298113129523</v>
          </cell>
          <cell r="E234">
            <v>7576.036338191334</v>
          </cell>
        </row>
        <row r="235">
          <cell r="C235">
            <v>42766</v>
          </cell>
          <cell r="D235">
            <v>6106.693680502409</v>
          </cell>
          <cell r="E235">
            <v>6740.50936181851</v>
          </cell>
        </row>
        <row r="236">
          <cell r="C236">
            <v>42794</v>
          </cell>
          <cell r="D236">
            <v>4999.758397008351</v>
          </cell>
          <cell r="E236" t="str">
            <v> </v>
          </cell>
        </row>
        <row r="237">
          <cell r="C237">
            <v>42825</v>
          </cell>
          <cell r="D237">
            <v>4457.7999916015615</v>
          </cell>
          <cell r="E237" t="str">
            <v> </v>
          </cell>
        </row>
        <row r="238">
          <cell r="C238">
            <v>42855</v>
          </cell>
          <cell r="D238">
            <v>4310.879491727171</v>
          </cell>
          <cell r="E238" t="str">
            <v> </v>
          </cell>
        </row>
        <row r="239">
          <cell r="C239">
            <v>42886</v>
          </cell>
          <cell r="D239">
            <v>4357.876021018501</v>
          </cell>
          <cell r="E239" t="str">
            <v> </v>
          </cell>
        </row>
        <row r="240">
          <cell r="C240">
            <v>42916</v>
          </cell>
          <cell r="D240">
            <v>4230.413901005728</v>
          </cell>
          <cell r="E240" t="str">
            <v> </v>
          </cell>
        </row>
        <row r="241">
          <cell r="C241">
            <v>42947</v>
          </cell>
          <cell r="D241">
            <v>4378.426372967808</v>
          </cell>
          <cell r="E241" t="str">
            <v> </v>
          </cell>
        </row>
        <row r="242">
          <cell r="C242">
            <v>42978</v>
          </cell>
          <cell r="D242">
            <v>4483.95197702071</v>
          </cell>
          <cell r="E242" t="str">
            <v> </v>
          </cell>
        </row>
        <row r="243">
          <cell r="C243">
            <v>43008</v>
          </cell>
          <cell r="D243">
            <v>4912.843998198582</v>
          </cell>
          <cell r="E243" t="str">
            <v>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15">
        <row r="5">
          <cell r="D5" t="str">
            <v>Yes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>
        <row r="11">
          <cell r="B11">
            <v>38315912.89</v>
          </cell>
          <cell r="D11">
            <v>38617570.92</v>
          </cell>
        </row>
        <row r="35">
          <cell r="B35">
            <v>3291140.23</v>
          </cell>
          <cell r="D35">
            <v>2850009.59</v>
          </cell>
        </row>
      </sheetData>
      <sheetData sheetId="2">
        <row r="11">
          <cell r="B11">
            <v>114544123.58</v>
          </cell>
          <cell r="D11">
            <v>115427962.81</v>
          </cell>
        </row>
        <row r="35">
          <cell r="B35">
            <v>9477596.22</v>
          </cell>
          <cell r="D35">
            <v>8390085.57</v>
          </cell>
        </row>
      </sheetData>
      <sheetData sheetId="4">
        <row r="13">
          <cell r="B13">
            <v>442274679.98</v>
          </cell>
          <cell r="D13">
            <v>456053669.91</v>
          </cell>
        </row>
        <row r="36">
          <cell r="B36">
            <v>30680704.5</v>
          </cell>
          <cell r="D36">
            <v>28211360.78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JHS-10"/>
      <sheetName val="JHS-10 Adjstmts"/>
      <sheetName val="JHS-11 compare"/>
      <sheetName val="JHS-11 Ex A-1"/>
      <sheetName val="JHS-11 Ex A-2"/>
      <sheetName val="JHS-11 Ex A-3 (C)"/>
      <sheetName val="JHS-11 Ex A-4"/>
      <sheetName val="JHS-11 Ex A-5"/>
      <sheetName val="JHS-11 Ex D"/>
      <sheetName val="JHS-12"/>
      <sheetName val="Golden-RevReq"/>
      <sheetName val="Pro Rev"/>
      <sheetName val="DWH-4"/>
      <sheetName val="Pwr Csts"/>
      <sheetName val="RY Pwr Cst"/>
      <sheetName val="PC TY"/>
      <sheetName val="Production OM (C)"/>
      <sheetName val="PC Recon"/>
      <sheetName val="Beg Prod Plant"/>
      <sheetName val="Beg Prod Ratebase"/>
      <sheetName val="EB&amp;Taxes"/>
      <sheetName val="557"/>
      <sheetName val="ProdFctr"/>
      <sheetName val="Rlfwd"/>
      <sheetName val="Diff"/>
      <sheetName val="JHS-10 Orig"/>
      <sheetName val="JHS-12 Change"/>
      <sheetName val="Chang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ctual"/>
      <sheetName val="ROR"/>
      <sheetName val="Common Allocation"/>
      <sheetName val="Adjust Explanation"/>
      <sheetName val="model"/>
      <sheetName val="cost of debt"/>
      <sheetName val="Restating Print Macros"/>
      <sheetName val="Module13"/>
      <sheetName val="Module14"/>
      <sheetName val="Module15"/>
      <sheetName val="Module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</sheetNames>
    <sheetDataSet>
      <sheetData sheetId="27">
        <row r="11">
          <cell r="B11">
            <v>11862537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11">
        <row r="7">
          <cell r="A7" t="str">
            <v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41877.2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70764.9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33811.2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91955.2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294159.6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25292.8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19498.1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22635.6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144.2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ata Reques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n0003b_contractstatus"/>
      <sheetName val="Sheet1"/>
      <sheetName val="Sheet2"/>
    </sheetNames>
    <sheetDataSet>
      <sheetData sheetId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rans RB Exh. A-2"/>
      <sheetName val="Plant Balances"/>
      <sheetName val="Accum. Deprec."/>
      <sheetName val="FERCAdj.line 48"/>
      <sheetName val="DFIT"/>
      <sheetName val="DFIT.Colstrip T &amp; D.Mike"/>
      <sheetName val="Transmission 2005"/>
      <sheetName val="Transmission 2004"/>
      <sheetName val="BS"/>
      <sheetName val="Sheet1"/>
      <sheetName val="DWNLD"/>
      <sheetName val="3_2005 Colstrip T&amp;D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18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2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</v>
          </cell>
          <cell r="H3">
            <v>27569.4659116951</v>
          </cell>
          <cell r="I3">
            <v>53077.8881573025</v>
          </cell>
          <cell r="J3">
            <v>214677.050683852</v>
          </cell>
          <cell r="K3">
            <v>809096.63523382</v>
          </cell>
          <cell r="L3">
            <v>2029492.19614232</v>
          </cell>
          <cell r="M3">
            <v>1312661.97559335</v>
          </cell>
          <cell r="N3">
            <v>907588.105074792</v>
          </cell>
          <cell r="O3">
            <v>764518.71465521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</v>
          </cell>
          <cell r="H6">
            <v>3442125.57782035</v>
          </cell>
          <cell r="I6">
            <v>2518481.39349017</v>
          </cell>
          <cell r="J6">
            <v>2931341.02229607</v>
          </cell>
          <cell r="K6">
            <v>3432449.72530822</v>
          </cell>
          <cell r="L6">
            <v>3715174.19670905</v>
          </cell>
          <cell r="M6">
            <v>3514962.96497305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11502084.78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149222.4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4640209.02</v>
          </cell>
          <cell r="F13">
            <v>4732709.29</v>
          </cell>
          <cell r="G13">
            <v>4559964.9</v>
          </cell>
          <cell r="H13">
            <v>5694487.2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5489525.6</v>
          </cell>
          <cell r="M13">
            <v>5676120.9</v>
          </cell>
          <cell r="N13">
            <v>6158769.2</v>
          </cell>
          <cell r="O13">
            <v>6158769.2</v>
          </cell>
          <cell r="P13">
            <v>15140172</v>
          </cell>
        </row>
        <row r="14">
          <cell r="D14" t="str">
            <v>MPC Firm Contract</v>
          </cell>
          <cell r="E14">
            <v>2568482.3</v>
          </cell>
          <cell r="F14">
            <v>2582370.9</v>
          </cell>
          <cell r="G14">
            <v>2598497.8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</v>
          </cell>
          <cell r="I18">
            <v>419287.1</v>
          </cell>
          <cell r="J18">
            <v>583347.3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5217.9</v>
          </cell>
          <cell r="I22">
            <v>4543.1</v>
          </cell>
          <cell r="J22">
            <v>5180.9</v>
          </cell>
          <cell r="K22">
            <v>6704.4</v>
          </cell>
          <cell r="L22">
            <v>7187.6</v>
          </cell>
          <cell r="M22">
            <v>5616</v>
          </cell>
          <cell r="N22">
            <v>5171.6</v>
          </cell>
          <cell r="O22">
            <v>3495</v>
          </cell>
          <cell r="P22">
            <v>4275.6</v>
          </cell>
        </row>
        <row r="23">
          <cell r="D23" t="str">
            <v>QF Shipp Hutch Creek</v>
          </cell>
          <cell r="F23">
            <v>-0.07</v>
          </cell>
          <cell r="G23">
            <v>3622.9</v>
          </cell>
          <cell r="H23">
            <v>2803.2</v>
          </cell>
          <cell r="I23">
            <v>4248.7</v>
          </cell>
          <cell r="J23">
            <v>8237.7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</v>
          </cell>
          <cell r="M24">
            <v>67936.3</v>
          </cell>
          <cell r="N24">
            <v>72340</v>
          </cell>
          <cell r="O24">
            <v>67997</v>
          </cell>
          <cell r="P24">
            <v>72771.6</v>
          </cell>
        </row>
        <row r="25">
          <cell r="D25" t="str">
            <v>QF Spokane MSW</v>
          </cell>
          <cell r="E25">
            <v>1289937.6</v>
          </cell>
          <cell r="F25">
            <v>827369.6</v>
          </cell>
          <cell r="G25">
            <v>1243152.4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</v>
          </cell>
          <cell r="F26">
            <v>7210950.57</v>
          </cell>
          <cell r="G26">
            <v>7946502.4</v>
          </cell>
          <cell r="H26">
            <v>4971531.3</v>
          </cell>
          <cell r="I26">
            <v>4965193.1</v>
          </cell>
          <cell r="J26">
            <v>4029615.3</v>
          </cell>
          <cell r="K26">
            <v>5396484.2</v>
          </cell>
          <cell r="L26">
            <v>5536933.2</v>
          </cell>
          <cell r="M26">
            <v>7506756.6</v>
          </cell>
          <cell r="N26">
            <v>7584124.1</v>
          </cell>
          <cell r="O26">
            <v>7171850.5</v>
          </cell>
          <cell r="P26">
            <v>7382332.8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</v>
          </cell>
          <cell r="I27">
            <v>3968</v>
          </cell>
          <cell r="J27">
            <v>1736</v>
          </cell>
          <cell r="K27">
            <v>644.8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9526760.79</v>
          </cell>
          <cell r="F28">
            <v>9103545.43</v>
          </cell>
          <cell r="G28">
            <v>10976058.9</v>
          </cell>
          <cell r="H28">
            <v>8534090.7</v>
          </cell>
          <cell r="I28">
            <v>1770019.9</v>
          </cell>
          <cell r="J28">
            <v>9059685.4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</v>
          </cell>
          <cell r="M29">
            <v>14175</v>
          </cell>
          <cell r="N29">
            <v>145002.3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68860.9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</v>
          </cell>
          <cell r="G34">
            <v>428056.6</v>
          </cell>
          <cell r="H34">
            <v>572544.8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</v>
          </cell>
          <cell r="F36">
            <v>13888070.575</v>
          </cell>
          <cell r="G36">
            <v>8195084.06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</v>
          </cell>
          <cell r="G37">
            <v>-4892268.8</v>
          </cell>
          <cell r="H37">
            <v>-5717742.70000001</v>
          </cell>
          <cell r="I37">
            <v>-2437888.94</v>
          </cell>
          <cell r="J37">
            <v>-6003885.61</v>
          </cell>
          <cell r="K37">
            <v>-12206586.67</v>
          </cell>
          <cell r="L37">
            <v>-7344071.45</v>
          </cell>
          <cell r="M37">
            <v>-1606725.15</v>
          </cell>
          <cell r="N37">
            <v>-1606417.44</v>
          </cell>
          <cell r="O37">
            <v>-3902278.36000001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</v>
          </cell>
          <cell r="H38">
            <v>27768.9166666667</v>
          </cell>
          <cell r="I38">
            <v>27768.9166666667</v>
          </cell>
          <cell r="J38">
            <v>27768.9166666667</v>
          </cell>
          <cell r="K38">
            <v>27768.9166666667</v>
          </cell>
          <cell r="L38">
            <v>27768.9166666667</v>
          </cell>
          <cell r="M38">
            <v>27768.9166666667</v>
          </cell>
          <cell r="N38">
            <v>27768.9166666667</v>
          </cell>
          <cell r="O38">
            <v>27768.9166666667</v>
          </cell>
          <cell r="P38">
            <v>27768.9166666667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</v>
          </cell>
          <cell r="H42">
            <v>274940.4</v>
          </cell>
          <cell r="I42">
            <v>274940.4</v>
          </cell>
          <cell r="J42">
            <v>274940.4</v>
          </cell>
          <cell r="K42">
            <v>274940.4</v>
          </cell>
          <cell r="L42">
            <v>274940.4</v>
          </cell>
          <cell r="M42">
            <v>274940.4</v>
          </cell>
          <cell r="N42">
            <v>274940.4</v>
          </cell>
          <cell r="O42">
            <v>274940.4</v>
          </cell>
          <cell r="P42">
            <v>274940.4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</v>
          </cell>
          <cell r="G53">
            <v>616104.1425000001</v>
          </cell>
          <cell r="H53">
            <v>616104.1425000001</v>
          </cell>
          <cell r="I53">
            <v>616104.1425000001</v>
          </cell>
          <cell r="J53">
            <v>616104.1425000001</v>
          </cell>
          <cell r="K53">
            <v>616104.1425000001</v>
          </cell>
          <cell r="L53">
            <v>616104.1425000001</v>
          </cell>
          <cell r="M53">
            <v>616104.1425000001</v>
          </cell>
          <cell r="N53">
            <v>616104.1425000001</v>
          </cell>
          <cell r="O53">
            <v>616104.1425000001</v>
          </cell>
          <cell r="P53">
            <v>616104.1425000001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plain"/>
      <sheetName val="Gas Unit cost"/>
      <sheetName val="Rlfw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58">
          <cell r="I58">
            <v>0.5757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H328"/>
  <sheetViews>
    <sheetView tabSelected="1" zoomScale="88" zoomScaleNormal="88" workbookViewId="0" topLeftCell="EW1">
      <pane ySplit="15" topLeftCell="BM16" activePane="bottomLeft" state="frozen"/>
      <selection pane="topLeft" activeCell="DF1" sqref="DF1"/>
      <selection pane="bottomLeft" activeCell="EP2" sqref="EP2:EX61"/>
    </sheetView>
  </sheetViews>
  <sheetFormatPr defaultColWidth="9.33203125" defaultRowHeight="12.75" customHeight="1"/>
  <cols>
    <col min="1" max="1" width="6.83203125" style="3" customWidth="1"/>
    <col min="2" max="2" width="45.16015625" style="3" customWidth="1"/>
    <col min="3" max="3" width="16" style="3" customWidth="1"/>
    <col min="4" max="4" width="22.16015625" style="3" customWidth="1"/>
    <col min="5" max="5" width="20.16015625" style="3" customWidth="1"/>
    <col min="6" max="6" width="21.33203125" style="3" customWidth="1"/>
    <col min="7" max="7" width="7.16015625" style="3" bestFit="1" customWidth="1"/>
    <col min="8" max="8" width="74.16015625" style="3" bestFit="1" customWidth="1"/>
    <col min="9" max="9" width="9.5" style="3" bestFit="1" customWidth="1"/>
    <col min="10" max="10" width="17" style="3" bestFit="1" customWidth="1"/>
    <col min="11" max="11" width="17.83203125" style="3" bestFit="1" customWidth="1"/>
    <col min="12" max="12" width="6.83203125" style="3" customWidth="1"/>
    <col min="13" max="13" width="44.5" style="3" bestFit="1" customWidth="1"/>
    <col min="14" max="16" width="21.33203125" style="3" customWidth="1"/>
    <col min="17" max="17" width="6.83203125" style="3" customWidth="1"/>
    <col min="18" max="20" width="23" style="3" customWidth="1"/>
    <col min="21" max="21" width="20" style="3" customWidth="1"/>
    <col min="22" max="22" width="6.83203125" style="3" customWidth="1"/>
    <col min="23" max="23" width="60" style="3" bestFit="1" customWidth="1"/>
    <col min="24" max="24" width="21.5" style="3" customWidth="1"/>
    <col min="25" max="25" width="22.16015625" style="3" customWidth="1"/>
    <col min="26" max="26" width="7.5" style="3" customWidth="1"/>
    <col min="27" max="27" width="73.16015625" style="3" bestFit="1" customWidth="1"/>
    <col min="28" max="30" width="20.66015625" style="3" customWidth="1"/>
    <col min="31" max="31" width="6.83203125" style="3" customWidth="1"/>
    <col min="32" max="32" width="66.5" style="3" customWidth="1"/>
    <col min="33" max="36" width="17.83203125" style="3" customWidth="1"/>
    <col min="37" max="37" width="6.83203125" style="3" customWidth="1"/>
    <col min="38" max="38" width="51.16015625" style="3" customWidth="1"/>
    <col min="39" max="39" width="15.83203125" style="3" customWidth="1"/>
    <col min="40" max="40" width="17.5" style="3" customWidth="1"/>
    <col min="41" max="41" width="17" style="3" customWidth="1"/>
    <col min="42" max="42" width="17.83203125" style="3" customWidth="1"/>
    <col min="43" max="43" width="6.83203125" style="3" customWidth="1"/>
    <col min="44" max="44" width="72.5" style="3" customWidth="1"/>
    <col min="45" max="45" width="18.16015625" style="3" customWidth="1"/>
    <col min="46" max="47" width="18.5" style="3" customWidth="1"/>
    <col min="48" max="48" width="6.83203125" style="3" customWidth="1"/>
    <col min="49" max="49" width="45.5" style="3" customWidth="1"/>
    <col min="50" max="50" width="19.66015625" style="3" customWidth="1"/>
    <col min="51" max="51" width="7.33203125" style="3" customWidth="1"/>
    <col min="52" max="52" width="35.33203125" style="3" customWidth="1"/>
    <col min="53" max="53" width="5.83203125" style="3" customWidth="1"/>
    <col min="54" max="54" width="54.5" style="3" bestFit="1" customWidth="1"/>
    <col min="55" max="55" width="14" style="3" customWidth="1"/>
    <col min="56" max="56" width="17.83203125" style="52" customWidth="1"/>
    <col min="57" max="57" width="7.33203125" style="3" customWidth="1"/>
    <col min="58" max="58" width="46.5" style="3" bestFit="1" customWidth="1"/>
    <col min="59" max="59" width="15.83203125" style="3" customWidth="1"/>
    <col min="60" max="60" width="16.83203125" style="3" customWidth="1"/>
    <col min="61" max="61" width="20" style="3" customWidth="1"/>
    <col min="62" max="62" width="7.16015625" style="3" bestFit="1" customWidth="1"/>
    <col min="63" max="63" width="41.16015625" style="3" customWidth="1"/>
    <col min="64" max="66" width="18.33203125" style="3" customWidth="1"/>
    <col min="67" max="67" width="5.83203125" style="52" customWidth="1"/>
    <col min="68" max="68" width="93.33203125" style="52" customWidth="1"/>
    <col min="69" max="70" width="20.16015625" style="52" customWidth="1"/>
    <col min="71" max="71" width="5.83203125" style="3" customWidth="1"/>
    <col min="72" max="72" width="91.5" style="3" customWidth="1"/>
    <col min="73" max="73" width="26.66015625" style="3" customWidth="1"/>
    <col min="74" max="74" width="5.83203125" style="3" customWidth="1"/>
    <col min="75" max="75" width="43.83203125" style="3" customWidth="1"/>
    <col min="76" max="76" width="17.33203125" style="3" customWidth="1"/>
    <col min="77" max="77" width="18.83203125" style="3" customWidth="1"/>
    <col min="78" max="78" width="17.33203125" style="3" customWidth="1"/>
    <col min="79" max="79" width="5.83203125" style="3" customWidth="1"/>
    <col min="80" max="80" width="43.83203125" style="3" customWidth="1"/>
    <col min="81" max="82" width="17.33203125" style="3" customWidth="1"/>
    <col min="83" max="83" width="19.16015625" style="3" customWidth="1"/>
    <col min="84" max="84" width="6.83203125" style="3" customWidth="1"/>
    <col min="85" max="85" width="42.83203125" style="3" customWidth="1"/>
    <col min="86" max="86" width="4.83203125" style="3" customWidth="1"/>
    <col min="87" max="87" width="15.66015625" style="3" customWidth="1"/>
    <col min="88" max="90" width="18" style="3" customWidth="1"/>
    <col min="91" max="91" width="5.83203125" style="3" customWidth="1"/>
    <col min="92" max="92" width="67.5" style="3" customWidth="1"/>
    <col min="93" max="95" width="18" style="3" customWidth="1"/>
    <col min="96" max="96" width="6.83203125" style="3" customWidth="1"/>
    <col min="97" max="97" width="75.5" style="3" customWidth="1"/>
    <col min="98" max="98" width="13.66015625" style="3" customWidth="1"/>
    <col min="99" max="99" width="25.5" style="3" customWidth="1"/>
    <col min="100" max="100" width="7.33203125" style="3" customWidth="1"/>
    <col min="101" max="101" width="55.16015625" style="3" bestFit="1" customWidth="1"/>
    <col min="102" max="102" width="17.33203125" style="3" customWidth="1"/>
    <col min="103" max="104" width="18.33203125" style="3" customWidth="1"/>
    <col min="105" max="105" width="7.33203125" style="3" customWidth="1"/>
    <col min="106" max="106" width="55.16015625" style="3" bestFit="1" customWidth="1"/>
    <col min="107" max="107" width="17.33203125" style="3" customWidth="1"/>
    <col min="108" max="109" width="18.33203125" style="3" customWidth="1"/>
    <col min="110" max="110" width="7.33203125" style="3" customWidth="1"/>
    <col min="111" max="111" width="55.16015625" style="3" bestFit="1" customWidth="1"/>
    <col min="112" max="112" width="17.33203125" style="3" customWidth="1"/>
    <col min="113" max="114" width="18.33203125" style="3" customWidth="1"/>
    <col min="115" max="115" width="6.83203125" style="3" customWidth="1"/>
    <col min="116" max="116" width="42.66015625" style="3" customWidth="1"/>
    <col min="117" max="117" width="17.66015625" style="3" customWidth="1"/>
    <col min="118" max="118" width="22.33203125" style="3" customWidth="1"/>
    <col min="119" max="119" width="19.16015625" style="3" customWidth="1"/>
    <col min="120" max="120" width="15.16015625" style="3" customWidth="1"/>
    <col min="121" max="121" width="7.16015625" style="3" bestFit="1" customWidth="1"/>
    <col min="122" max="122" width="48" style="3" customWidth="1"/>
    <col min="123" max="123" width="30.83203125" style="3" customWidth="1"/>
    <col min="124" max="125" width="26.33203125" style="3" customWidth="1"/>
    <col min="126" max="126" width="22.5" style="3" bestFit="1" customWidth="1"/>
    <col min="127" max="127" width="18.66015625" style="3" customWidth="1"/>
    <col min="128" max="128" width="32.33203125" style="3" customWidth="1"/>
    <col min="129" max="129" width="7.16015625" style="3" bestFit="1" customWidth="1"/>
    <col min="130" max="130" width="56.5" style="3" customWidth="1"/>
    <col min="131" max="131" width="18.66015625" style="3" bestFit="1" customWidth="1"/>
    <col min="132" max="132" width="28" style="3" bestFit="1" customWidth="1"/>
    <col min="133" max="133" width="15.5" style="3" bestFit="1" customWidth="1"/>
    <col min="134" max="134" width="31.33203125" style="3" customWidth="1"/>
    <col min="135" max="135" width="15.33203125" style="3" bestFit="1" customWidth="1"/>
    <col min="136" max="136" width="21.83203125" style="3" customWidth="1"/>
    <col min="137" max="137" width="17.66015625" style="3" customWidth="1"/>
    <col min="138" max="138" width="7.16015625" style="3" bestFit="1" customWidth="1"/>
    <col min="139" max="139" width="56.5" style="3" customWidth="1"/>
    <col min="140" max="140" width="27.5" style="3" customWidth="1"/>
    <col min="141" max="141" width="20.66015625" style="3" customWidth="1"/>
    <col min="142" max="142" width="26.5" style="3" bestFit="1" customWidth="1"/>
    <col min="143" max="143" width="24.83203125" style="3" customWidth="1"/>
    <col min="144" max="144" width="22.33203125" style="3" customWidth="1"/>
    <col min="145" max="145" width="23.66015625" style="3" customWidth="1"/>
    <col min="146" max="146" width="7.16015625" style="3" bestFit="1" customWidth="1"/>
    <col min="147" max="147" width="59.83203125" style="3" bestFit="1" customWidth="1"/>
    <col min="148" max="152" width="23.66015625" style="3" customWidth="1"/>
    <col min="153" max="153" width="24.83203125" style="3" bestFit="1" customWidth="1"/>
    <col min="154" max="154" width="20.5" style="3" bestFit="1" customWidth="1"/>
    <col min="155" max="155" width="10.83203125" style="3" customWidth="1"/>
    <col min="156" max="156" width="56.5" style="3" bestFit="1" customWidth="1"/>
    <col min="157" max="157" width="19.83203125" style="3" bestFit="1" customWidth="1"/>
    <col min="158" max="158" width="22" style="3" bestFit="1" customWidth="1"/>
    <col min="159" max="159" width="20.5" style="3" bestFit="1" customWidth="1"/>
    <col min="160" max="160" width="24.83203125" style="3" customWidth="1"/>
    <col min="161" max="161" width="23.33203125" style="3" customWidth="1"/>
    <col min="162" max="162" width="2.83203125" style="3" customWidth="1"/>
    <col min="163" max="163" width="16.16015625" style="3" customWidth="1"/>
    <col min="164" max="164" width="21.16015625" style="3" customWidth="1"/>
    <col min="165" max="16384" width="9.16015625" style="3" customWidth="1"/>
  </cols>
  <sheetData>
    <row r="1" spans="1:114" s="348" customFormat="1" ht="12.75" customHeight="1">
      <c r="A1" s="348">
        <f>ROUND(SUM(B1:CZ1),0)</f>
        <v>0</v>
      </c>
      <c r="B1" s="348">
        <f>EX64</f>
        <v>0</v>
      </c>
      <c r="F1" s="348">
        <f>ROUND(F53-DT48,0)</f>
        <v>0</v>
      </c>
      <c r="K1" s="348">
        <f>K50+K55-DU48</f>
        <v>0</v>
      </c>
      <c r="P1" s="348">
        <f>O46-DV48</f>
        <v>0</v>
      </c>
      <c r="U1" s="348">
        <f>ROUND(U34-DW48,0)</f>
        <v>0</v>
      </c>
      <c r="Y1" s="348">
        <f>ROUND(Y33-DX48,0)</f>
        <v>0</v>
      </c>
      <c r="AB1" s="348">
        <f>ROUND(AD42-EA50,0)</f>
        <v>0</v>
      </c>
      <c r="AD1" s="348">
        <f>ROUND(AD36-EA48,0)</f>
        <v>0</v>
      </c>
      <c r="AJ1" s="348">
        <f>ROUND(AI38-EB48,0)</f>
        <v>0</v>
      </c>
      <c r="AP1" s="348">
        <f>ROUND(AP28-EC48,0)</f>
        <v>0</v>
      </c>
      <c r="AT1" s="348">
        <f>ROUND(AU45-ED50,0)</f>
        <v>0</v>
      </c>
      <c r="AU1" s="348">
        <f>ROUND(AU37-ED48,0)</f>
        <v>0</v>
      </c>
      <c r="AZ1" s="348">
        <f>ROUND(AZ19-EE48,0)</f>
        <v>0</v>
      </c>
      <c r="BD1" s="348">
        <f>ROUND(BD25-EF48,0)</f>
        <v>0</v>
      </c>
      <c r="BI1" s="348">
        <f>ROUND(BI21-EG48,0)</f>
        <v>0</v>
      </c>
      <c r="BN1" s="348">
        <f>ROUND(BN16-EJ48,0)</f>
        <v>0</v>
      </c>
      <c r="BR1" s="348">
        <f>ROUND(BR39-EK48,0)</f>
        <v>0</v>
      </c>
      <c r="BU1" s="348">
        <f>ROUND(BU26-EL48,0)</f>
        <v>0</v>
      </c>
      <c r="BZ1" s="348">
        <f>ROUND(BZ20-EM48,0)</f>
        <v>0</v>
      </c>
      <c r="CE1" s="348">
        <f>ROUND(CE21-EN48,0)</f>
        <v>0</v>
      </c>
      <c r="CL1" s="348">
        <f>ROUND(CL31-EO48,0)</f>
        <v>0</v>
      </c>
      <c r="CQ1" s="348">
        <f>ROUND(CQ36-ER48,0)</f>
        <v>0</v>
      </c>
      <c r="CU1" s="348">
        <f>ROUND(CU25-ES48,0)</f>
        <v>0</v>
      </c>
      <c r="CZ1" s="348">
        <f>ROUND(CZ32-ET48,0)</f>
        <v>0</v>
      </c>
      <c r="DE1" s="348">
        <f>ROUND(DE22-EU48,0)</f>
        <v>0</v>
      </c>
      <c r="DJ1" s="348">
        <f>ROUND(DJ34-EV48,0)</f>
        <v>0</v>
      </c>
    </row>
    <row r="2" spans="1:161" ht="14.25" customHeight="1">
      <c r="A2" s="37"/>
      <c r="F2" s="268" t="s">
        <v>382</v>
      </c>
      <c r="G2" s="266"/>
      <c r="H2" s="267"/>
      <c r="I2" s="267"/>
      <c r="K2" s="268" t="s">
        <v>382</v>
      </c>
      <c r="P2" s="268" t="s">
        <v>382</v>
      </c>
      <c r="Q2" s="37"/>
      <c r="U2" s="268" t="s">
        <v>382</v>
      </c>
      <c r="V2" s="37"/>
      <c r="Y2" s="268" t="s">
        <v>382</v>
      </c>
      <c r="AD2" s="268" t="s">
        <v>382</v>
      </c>
      <c r="AE2" s="268"/>
      <c r="AF2" s="268"/>
      <c r="AG2" s="268"/>
      <c r="AH2" s="268"/>
      <c r="AI2" s="268"/>
      <c r="AJ2" s="268" t="s">
        <v>382</v>
      </c>
      <c r="AP2" s="268" t="s">
        <v>382</v>
      </c>
      <c r="AU2" s="268" t="s">
        <v>382</v>
      </c>
      <c r="AZ2" s="268" t="s">
        <v>382</v>
      </c>
      <c r="BD2" s="268" t="s">
        <v>382</v>
      </c>
      <c r="BI2" s="268" t="s">
        <v>382</v>
      </c>
      <c r="BN2" s="268" t="s">
        <v>382</v>
      </c>
      <c r="BR2" s="268" t="s">
        <v>382</v>
      </c>
      <c r="BU2" s="268" t="s">
        <v>382</v>
      </c>
      <c r="BZ2" s="268" t="s">
        <v>382</v>
      </c>
      <c r="CE2" s="268" t="s">
        <v>382</v>
      </c>
      <c r="CL2" s="268" t="s">
        <v>382</v>
      </c>
      <c r="CQ2" s="268" t="s">
        <v>382</v>
      </c>
      <c r="CU2" s="268" t="s">
        <v>382</v>
      </c>
      <c r="CW2" s="37"/>
      <c r="CZ2" s="268" t="s">
        <v>382</v>
      </c>
      <c r="DB2" s="37"/>
      <c r="DE2" s="268" t="s">
        <v>382</v>
      </c>
      <c r="DG2" s="37"/>
      <c r="DJ2" s="268" t="s">
        <v>382</v>
      </c>
      <c r="DO2" s="268" t="s">
        <v>382</v>
      </c>
      <c r="DQ2" s="266"/>
      <c r="DS2" s="8"/>
      <c r="DX2" s="268" t="s">
        <v>382</v>
      </c>
      <c r="DY2" s="266"/>
      <c r="EG2" s="268" t="s">
        <v>382</v>
      </c>
      <c r="EH2" s="266"/>
      <c r="EL2" s="198"/>
      <c r="EO2" s="268" t="s">
        <v>382</v>
      </c>
      <c r="EP2" s="266"/>
      <c r="EX2" s="268" t="s">
        <v>382</v>
      </c>
      <c r="EY2" s="266"/>
      <c r="FC2" s="198"/>
      <c r="FD2" s="187"/>
      <c r="FE2" s="268" t="s">
        <v>382</v>
      </c>
    </row>
    <row r="3" spans="1:162" ht="14.25" customHeight="1" thickBot="1">
      <c r="A3" s="37"/>
      <c r="F3" s="268" t="s">
        <v>405</v>
      </c>
      <c r="G3" s="267"/>
      <c r="H3" s="267"/>
      <c r="I3" s="267"/>
      <c r="K3" s="268" t="s">
        <v>405</v>
      </c>
      <c r="L3" s="37"/>
      <c r="M3" s="268"/>
      <c r="N3" s="268"/>
      <c r="O3" s="268"/>
      <c r="P3" s="268" t="s">
        <v>405</v>
      </c>
      <c r="Q3" s="106"/>
      <c r="U3" s="268" t="s">
        <v>405</v>
      </c>
      <c r="V3" s="106"/>
      <c r="Y3" s="268" t="s">
        <v>405</v>
      </c>
      <c r="Z3" s="37"/>
      <c r="AA3" s="1"/>
      <c r="AB3" s="209"/>
      <c r="AC3" s="209"/>
      <c r="AD3" s="268" t="s">
        <v>405</v>
      </c>
      <c r="AE3" s="273"/>
      <c r="AF3" s="273"/>
      <c r="AG3" s="273"/>
      <c r="AH3" s="273"/>
      <c r="AI3" s="273"/>
      <c r="AJ3" s="268" t="s">
        <v>405</v>
      </c>
      <c r="AK3" s="37"/>
      <c r="AL3" s="88"/>
      <c r="AM3" s="88"/>
      <c r="AN3" s="88"/>
      <c r="AO3" s="88"/>
      <c r="AP3" s="268" t="s">
        <v>405</v>
      </c>
      <c r="AQ3" s="37"/>
      <c r="AS3" s="20"/>
      <c r="AU3" s="268" t="s">
        <v>405</v>
      </c>
      <c r="AV3" s="37"/>
      <c r="AZ3" s="268" t="s">
        <v>405</v>
      </c>
      <c r="BA3" s="37"/>
      <c r="BD3" s="268" t="s">
        <v>405</v>
      </c>
      <c r="BE3" s="37"/>
      <c r="BF3" s="267"/>
      <c r="BG3" s="267"/>
      <c r="BH3" s="267"/>
      <c r="BI3" s="268" t="s">
        <v>405</v>
      </c>
      <c r="BJ3" s="37"/>
      <c r="BK3" s="187"/>
      <c r="BL3" s="187"/>
      <c r="BM3" s="187"/>
      <c r="BN3" s="268" t="s">
        <v>405</v>
      </c>
      <c r="BO3" s="37"/>
      <c r="BP3" s="356"/>
      <c r="BR3" s="268" t="s">
        <v>405</v>
      </c>
      <c r="BS3" s="37"/>
      <c r="BT3" s="1"/>
      <c r="BU3" s="268" t="s">
        <v>405</v>
      </c>
      <c r="BV3" s="37"/>
      <c r="BZ3" s="268" t="s">
        <v>405</v>
      </c>
      <c r="CA3" s="37"/>
      <c r="CB3" s="37"/>
      <c r="CE3" s="268" t="s">
        <v>405</v>
      </c>
      <c r="CF3" s="37"/>
      <c r="CG3" s="37"/>
      <c r="CL3" s="268" t="s">
        <v>405</v>
      </c>
      <c r="CM3" s="37"/>
      <c r="CN3" s="37"/>
      <c r="CQ3" s="268" t="s">
        <v>405</v>
      </c>
      <c r="CR3" s="37"/>
      <c r="CS3" s="37"/>
      <c r="CU3" s="268" t="s">
        <v>405</v>
      </c>
      <c r="CV3" s="37"/>
      <c r="CW3" s="37"/>
      <c r="CZ3" s="268" t="s">
        <v>405</v>
      </c>
      <c r="DA3" s="37"/>
      <c r="DB3" s="37"/>
      <c r="DE3" s="268" t="s">
        <v>405</v>
      </c>
      <c r="DF3" s="37"/>
      <c r="DG3" s="37"/>
      <c r="DJ3" s="268" t="s">
        <v>405</v>
      </c>
      <c r="DK3" s="37"/>
      <c r="DL3" s="1"/>
      <c r="DM3" s="209"/>
      <c r="DO3" s="268" t="s">
        <v>428</v>
      </c>
      <c r="DQ3" s="106"/>
      <c r="DR3" s="8"/>
      <c r="DS3" s="56"/>
      <c r="DV3" s="37"/>
      <c r="DX3" s="268" t="s">
        <v>403</v>
      </c>
      <c r="EG3" s="268" t="s">
        <v>403</v>
      </c>
      <c r="EL3" s="10"/>
      <c r="EO3" s="268" t="s">
        <v>403</v>
      </c>
      <c r="EP3" s="135"/>
      <c r="EQ3" s="135"/>
      <c r="ER3" s="135"/>
      <c r="ES3" s="135"/>
      <c r="ET3" s="135"/>
      <c r="EU3" s="135"/>
      <c r="EV3" s="135"/>
      <c r="EW3" s="135"/>
      <c r="EX3" s="268" t="s">
        <v>403</v>
      </c>
      <c r="FC3" s="76"/>
      <c r="FE3" s="268" t="s">
        <v>401</v>
      </c>
      <c r="FF3" s="187"/>
    </row>
    <row r="4" spans="1:162" ht="14.25" customHeight="1" thickBot="1" thickTop="1">
      <c r="A4" s="37"/>
      <c r="F4" s="522" t="s">
        <v>404</v>
      </c>
      <c r="G4" s="420"/>
      <c r="H4" s="420"/>
      <c r="I4" s="420"/>
      <c r="K4" s="522" t="s">
        <v>406</v>
      </c>
      <c r="L4" s="268"/>
      <c r="M4" s="268"/>
      <c r="N4" s="268"/>
      <c r="O4" s="268"/>
      <c r="P4" s="522" t="s">
        <v>407</v>
      </c>
      <c r="U4" s="522" t="s">
        <v>408</v>
      </c>
      <c r="W4" s="227" t="s">
        <v>19</v>
      </c>
      <c r="Y4" s="522" t="s">
        <v>409</v>
      </c>
      <c r="AD4" s="522" t="s">
        <v>410</v>
      </c>
      <c r="AE4" s="391"/>
      <c r="AF4" s="391"/>
      <c r="AG4" s="391"/>
      <c r="AH4" s="391"/>
      <c r="AJ4" s="522" t="s">
        <v>411</v>
      </c>
      <c r="AL4" s="88"/>
      <c r="AM4" s="88"/>
      <c r="AN4" s="88"/>
      <c r="AO4" s="88"/>
      <c r="AP4" s="522" t="s">
        <v>412</v>
      </c>
      <c r="AS4" s="20"/>
      <c r="AT4" s="37"/>
      <c r="AU4" s="522" t="s">
        <v>413</v>
      </c>
      <c r="AZ4" s="522" t="s">
        <v>414</v>
      </c>
      <c r="BD4" s="522" t="s">
        <v>415</v>
      </c>
      <c r="BE4" s="267"/>
      <c r="BF4" s="257"/>
      <c r="BG4" s="257"/>
      <c r="BH4" s="257"/>
      <c r="BI4" s="522" t="s">
        <v>416</v>
      </c>
      <c r="BK4" s="205"/>
      <c r="BL4" s="205"/>
      <c r="BM4" s="205"/>
      <c r="BN4" s="522" t="s">
        <v>417</v>
      </c>
      <c r="BP4" s="356"/>
      <c r="BR4" s="522" t="s">
        <v>418</v>
      </c>
      <c r="BS4" s="1"/>
      <c r="BT4" s="1"/>
      <c r="BU4" s="522" t="s">
        <v>419</v>
      </c>
      <c r="BZ4" s="522" t="s">
        <v>420</v>
      </c>
      <c r="CE4" s="522" t="s">
        <v>421</v>
      </c>
      <c r="CG4" s="37"/>
      <c r="CL4" s="522" t="s">
        <v>422</v>
      </c>
      <c r="CN4" s="37"/>
      <c r="CQ4" s="522" t="s">
        <v>423</v>
      </c>
      <c r="CU4" s="522" t="s">
        <v>424</v>
      </c>
      <c r="CV4" s="57"/>
      <c r="CW4" s="360"/>
      <c r="CX4" s="57"/>
      <c r="CY4" s="57"/>
      <c r="CZ4" s="522" t="s">
        <v>425</v>
      </c>
      <c r="DA4" s="57"/>
      <c r="DB4" s="360"/>
      <c r="DC4" s="57"/>
      <c r="DD4" s="57"/>
      <c r="DE4" s="522" t="s">
        <v>426</v>
      </c>
      <c r="DF4" s="57"/>
      <c r="DG4" s="360"/>
      <c r="DH4" s="57"/>
      <c r="DJ4" s="522" t="s">
        <v>427</v>
      </c>
      <c r="DO4" s="523" t="s">
        <v>407</v>
      </c>
      <c r="DS4" s="56"/>
      <c r="DX4" s="521" t="s">
        <v>429</v>
      </c>
      <c r="EG4" s="521" t="s">
        <v>430</v>
      </c>
      <c r="EO4" s="521" t="s">
        <v>431</v>
      </c>
      <c r="EX4" s="521" t="s">
        <v>432</v>
      </c>
      <c r="EY4" s="10"/>
      <c r="EZ4" s="10"/>
      <c r="FA4" s="10"/>
      <c r="FB4" s="10"/>
      <c r="FE4" s="36" t="s">
        <v>402</v>
      </c>
      <c r="FF4" s="34"/>
    </row>
    <row r="5" spans="1:163" s="37" customFormat="1" ht="14.25" customHeight="1">
      <c r="A5" s="37" t="s">
        <v>19</v>
      </c>
      <c r="G5" s="270"/>
      <c r="H5" s="271"/>
      <c r="I5" s="271"/>
      <c r="J5" s="271"/>
      <c r="K5" s="271"/>
      <c r="L5" s="283"/>
      <c r="M5" s="283"/>
      <c r="N5" s="283"/>
      <c r="O5" s="283"/>
      <c r="AA5" s="109"/>
      <c r="AB5" s="110"/>
      <c r="AC5" s="110"/>
      <c r="AE5" s="273"/>
      <c r="AF5" s="273"/>
      <c r="AG5" s="273"/>
      <c r="AH5" s="273"/>
      <c r="AI5" s="273"/>
      <c r="AJ5" s="273"/>
      <c r="AK5" s="111"/>
      <c r="AS5" s="228"/>
      <c r="BA5" s="303"/>
      <c r="BB5" s="57"/>
      <c r="BC5" s="57"/>
      <c r="BE5" s="266"/>
      <c r="BF5" s="269"/>
      <c r="BG5" s="269"/>
      <c r="BH5" s="269"/>
      <c r="BK5" s="205"/>
      <c r="BL5" s="198"/>
      <c r="BM5" s="198"/>
      <c r="BP5" s="356"/>
      <c r="BS5" s="57"/>
      <c r="BT5" s="57"/>
      <c r="BV5" s="57"/>
      <c r="BW5" s="57"/>
      <c r="BX5" s="57"/>
      <c r="BY5" s="57"/>
      <c r="CA5" s="57"/>
      <c r="CB5" s="57"/>
      <c r="CC5" s="57"/>
      <c r="CD5" s="57"/>
      <c r="CV5" s="198"/>
      <c r="CW5" s="198"/>
      <c r="CX5" s="198"/>
      <c r="CY5" s="198"/>
      <c r="DA5" s="198"/>
      <c r="DB5" s="198"/>
      <c r="DC5" s="198"/>
      <c r="DD5" s="198"/>
      <c r="DF5" s="198"/>
      <c r="DG5" s="198"/>
      <c r="DH5" s="198"/>
      <c r="DI5" s="198"/>
      <c r="DL5" s="5"/>
      <c r="DP5" s="57"/>
      <c r="DQ5" s="210" t="s">
        <v>20</v>
      </c>
      <c r="DR5" s="211"/>
      <c r="DS5" s="211"/>
      <c r="DT5" s="211"/>
      <c r="DU5" s="211"/>
      <c r="DV5" s="211"/>
      <c r="DW5" s="211"/>
      <c r="DX5" s="211"/>
      <c r="DY5" s="210" t="s">
        <v>20</v>
      </c>
      <c r="DZ5" s="211"/>
      <c r="EA5" s="211"/>
      <c r="EB5" s="211"/>
      <c r="EC5" s="211"/>
      <c r="ED5" s="211"/>
      <c r="EE5" s="211"/>
      <c r="EF5" s="211"/>
      <c r="EG5" s="211"/>
      <c r="EH5" s="210" t="s">
        <v>20</v>
      </c>
      <c r="EI5" s="211"/>
      <c r="EJ5" s="211"/>
      <c r="EK5" s="211"/>
      <c r="EL5" s="211"/>
      <c r="EM5" s="211"/>
      <c r="EN5" s="210"/>
      <c r="EO5" s="211"/>
      <c r="EP5" s="210" t="s">
        <v>20</v>
      </c>
      <c r="EQ5" s="211"/>
      <c r="ER5" s="211"/>
      <c r="ES5" s="211"/>
      <c r="ET5" s="211"/>
      <c r="EU5" s="211"/>
      <c r="EV5" s="211"/>
      <c r="EW5" s="211"/>
      <c r="EX5" s="211"/>
      <c r="EY5" s="35" t="str">
        <f>PSE</f>
        <v>PUGET SOUND ENERGY-GAS </v>
      </c>
      <c r="EZ5" s="211"/>
      <c r="FA5" s="211"/>
      <c r="FB5" s="211"/>
      <c r="FC5" s="213"/>
      <c r="FD5" s="211"/>
      <c r="FE5" s="211"/>
      <c r="FF5" s="5"/>
      <c r="FG5" s="34"/>
    </row>
    <row r="6" spans="1:163" s="37" customFormat="1" ht="14.25" customHeight="1">
      <c r="A6" s="35" t="s">
        <v>21</v>
      </c>
      <c r="B6" s="5"/>
      <c r="C6" s="5"/>
      <c r="D6" s="5"/>
      <c r="E6" s="5"/>
      <c r="F6" s="5"/>
      <c r="G6" s="35" t="str">
        <f>PSE</f>
        <v>PUGET SOUND ENERGY-GAS </v>
      </c>
      <c r="H6" s="5"/>
      <c r="I6" s="5"/>
      <c r="J6" s="5"/>
      <c r="K6" s="112"/>
      <c r="L6" s="35" t="str">
        <f>PSE</f>
        <v>PUGET SOUND ENERGY-GAS </v>
      </c>
      <c r="M6" s="5"/>
      <c r="N6" s="5"/>
      <c r="O6" s="5"/>
      <c r="P6" s="5"/>
      <c r="Q6" s="35" t="str">
        <f>PSE</f>
        <v>PUGET SOUND ENERGY-GAS </v>
      </c>
      <c r="R6" s="5"/>
      <c r="S6" s="5"/>
      <c r="T6" s="5"/>
      <c r="U6" s="112"/>
      <c r="V6" s="35" t="str">
        <f>PSE</f>
        <v>PUGET SOUND ENERGY-GAS </v>
      </c>
      <c r="W6" s="5"/>
      <c r="X6" s="5"/>
      <c r="Y6" s="5"/>
      <c r="Z6" s="35" t="str">
        <f>PSE</f>
        <v>PUGET SOUND ENERGY-GAS </v>
      </c>
      <c r="AA6" s="5"/>
      <c r="AB6" s="5"/>
      <c r="AC6" s="5"/>
      <c r="AD6" s="5"/>
      <c r="AE6" s="270" t="s">
        <v>21</v>
      </c>
      <c r="AF6" s="270"/>
      <c r="AG6" s="270"/>
      <c r="AH6" s="270"/>
      <c r="AI6" s="270"/>
      <c r="AJ6" s="270"/>
      <c r="AK6" s="35" t="str">
        <f>PSE</f>
        <v>PUGET SOUND ENERGY-GAS </v>
      </c>
      <c r="AL6" s="5"/>
      <c r="AM6" s="5"/>
      <c r="AN6" s="5"/>
      <c r="AO6" s="5"/>
      <c r="AP6" s="5"/>
      <c r="AQ6" s="35" t="str">
        <f>PSE</f>
        <v>PUGET SOUND ENERGY-GAS </v>
      </c>
      <c r="AR6" s="5"/>
      <c r="AS6" s="229"/>
      <c r="AT6" s="5"/>
      <c r="AU6" s="5"/>
      <c r="AV6" s="35" t="str">
        <f>PSE</f>
        <v>PUGET SOUND ENERGY-GAS </v>
      </c>
      <c r="AW6" s="5"/>
      <c r="AX6" s="5"/>
      <c r="AY6" s="5"/>
      <c r="AZ6" s="5"/>
      <c r="BA6" s="35" t="str">
        <f>PSE</f>
        <v>PUGET SOUND ENERGY-GAS </v>
      </c>
      <c r="BB6" s="5"/>
      <c r="BC6" s="5"/>
      <c r="BD6" s="5"/>
      <c r="BE6" s="35" t="str">
        <f>PSE</f>
        <v>PUGET SOUND ENERGY-GAS </v>
      </c>
      <c r="BF6" s="271"/>
      <c r="BG6" s="271"/>
      <c r="BH6" s="271"/>
      <c r="BI6" s="272"/>
      <c r="BJ6" s="35" t="str">
        <f>PSE</f>
        <v>PUGET SOUND ENERGY-GAS </v>
      </c>
      <c r="BK6" s="199"/>
      <c r="BL6" s="199"/>
      <c r="BM6" s="199"/>
      <c r="BN6" s="199"/>
      <c r="BO6" s="35" t="str">
        <f>PSE</f>
        <v>PUGET SOUND ENERGY-GAS </v>
      </c>
      <c r="BP6" s="5"/>
      <c r="BQ6" s="5"/>
      <c r="BR6" s="5"/>
      <c r="BS6" s="35" t="str">
        <f>PSE</f>
        <v>PUGET SOUND ENERGY-GAS </v>
      </c>
      <c r="BT6" s="199"/>
      <c r="BU6" s="199"/>
      <c r="BV6" s="35" t="str">
        <f>PSE</f>
        <v>PUGET SOUND ENERGY-GAS </v>
      </c>
      <c r="BW6" s="5"/>
      <c r="BX6" s="5"/>
      <c r="BY6" s="5"/>
      <c r="BZ6" s="5"/>
      <c r="CA6" s="35" t="str">
        <f>PSE</f>
        <v>PUGET SOUND ENERGY-GAS </v>
      </c>
      <c r="CB6" s="5"/>
      <c r="CC6" s="5"/>
      <c r="CD6" s="5"/>
      <c r="CE6" s="5"/>
      <c r="CF6" s="35" t="str">
        <f>PSE</f>
        <v>PUGET SOUND ENERGY-GAS </v>
      </c>
      <c r="CG6" s="5"/>
      <c r="CH6" s="5"/>
      <c r="CI6" s="5"/>
      <c r="CJ6" s="5"/>
      <c r="CK6" s="5"/>
      <c r="CL6" s="5"/>
      <c r="CM6" s="35" t="str">
        <f>PSE</f>
        <v>PUGET SOUND ENERGY-GAS </v>
      </c>
      <c r="CN6" s="35"/>
      <c r="CO6" s="35"/>
      <c r="CP6" s="35"/>
      <c r="CQ6" s="5"/>
      <c r="CR6" s="35" t="str">
        <f>PSE</f>
        <v>PUGET SOUND ENERGY-GAS </v>
      </c>
      <c r="CS6" s="35"/>
      <c r="CT6" s="35"/>
      <c r="CU6" s="35"/>
      <c r="CV6" s="35" t="str">
        <f>PSE</f>
        <v>PUGET SOUND ENERGY-GAS </v>
      </c>
      <c r="CW6" s="199"/>
      <c r="CX6" s="199"/>
      <c r="CY6" s="199"/>
      <c r="CZ6" s="199"/>
      <c r="DA6" s="35" t="str">
        <f>PSE</f>
        <v>PUGET SOUND ENERGY-GAS </v>
      </c>
      <c r="DB6" s="199"/>
      <c r="DC6" s="199"/>
      <c r="DD6" s="199"/>
      <c r="DE6" s="199"/>
      <c r="DF6" s="35" t="str">
        <f>PSE</f>
        <v>PUGET SOUND ENERGY-GAS </v>
      </c>
      <c r="DG6" s="199"/>
      <c r="DH6" s="199"/>
      <c r="DI6" s="199"/>
      <c r="DJ6" s="199"/>
      <c r="DK6" s="35" t="str">
        <f>PSE</f>
        <v>PUGET SOUND ENERGY-GAS </v>
      </c>
      <c r="DL6" s="5"/>
      <c r="DM6" s="5"/>
      <c r="DN6" s="5"/>
      <c r="DO6" s="5"/>
      <c r="DP6" s="198"/>
      <c r="DQ6" s="210" t="s">
        <v>129</v>
      </c>
      <c r="DR6" s="211"/>
      <c r="DS6" s="211"/>
      <c r="DT6" s="212"/>
      <c r="DU6" s="212"/>
      <c r="DV6" s="212"/>
      <c r="DW6" s="211"/>
      <c r="DX6" s="210"/>
      <c r="DY6" s="210" t="s">
        <v>129</v>
      </c>
      <c r="DZ6" s="211"/>
      <c r="EA6" s="210"/>
      <c r="EB6" s="210"/>
      <c r="EC6" s="210"/>
      <c r="ED6" s="211"/>
      <c r="EE6" s="212"/>
      <c r="EF6" s="210"/>
      <c r="EG6" s="211"/>
      <c r="EH6" s="210" t="s">
        <v>129</v>
      </c>
      <c r="EI6" s="211"/>
      <c r="EJ6" s="211"/>
      <c r="EK6" s="210"/>
      <c r="EL6" s="211"/>
      <c r="EM6" s="210"/>
      <c r="EN6" s="210"/>
      <c r="EO6" s="211"/>
      <c r="EP6" s="210" t="s">
        <v>129</v>
      </c>
      <c r="EQ6" s="211"/>
      <c r="ER6" s="211"/>
      <c r="ES6" s="211"/>
      <c r="ET6" s="211"/>
      <c r="EU6" s="211"/>
      <c r="EV6" s="211"/>
      <c r="EW6" s="210"/>
      <c r="EX6" s="211"/>
      <c r="EY6" s="210" t="s">
        <v>24</v>
      </c>
      <c r="EZ6" s="210"/>
      <c r="FA6" s="210"/>
      <c r="FB6" s="210"/>
      <c r="FC6" s="210"/>
      <c r="FD6" s="211"/>
      <c r="FE6" s="211"/>
      <c r="FF6" s="5"/>
      <c r="FG6" s="113" t="s">
        <v>18</v>
      </c>
    </row>
    <row r="7" spans="1:163" s="37" customFormat="1" ht="14.25" customHeight="1">
      <c r="A7" s="35" t="s">
        <v>279</v>
      </c>
      <c r="B7" s="35"/>
      <c r="C7" s="35"/>
      <c r="D7" s="35"/>
      <c r="E7" s="5"/>
      <c r="F7" s="230"/>
      <c r="G7" s="5" t="s">
        <v>348</v>
      </c>
      <c r="H7" s="5"/>
      <c r="I7" s="5"/>
      <c r="J7" s="5"/>
      <c r="K7" s="112"/>
      <c r="L7" s="35" t="s">
        <v>258</v>
      </c>
      <c r="M7" s="5"/>
      <c r="N7" s="5"/>
      <c r="O7" s="5"/>
      <c r="P7" s="5"/>
      <c r="Q7" s="5" t="s">
        <v>106</v>
      </c>
      <c r="R7" s="5"/>
      <c r="S7" s="5"/>
      <c r="T7" s="5"/>
      <c r="U7" s="112"/>
      <c r="V7" s="5" t="s">
        <v>172</v>
      </c>
      <c r="W7" s="5"/>
      <c r="X7" s="5"/>
      <c r="Y7" s="5"/>
      <c r="Z7" s="35" t="s">
        <v>387</v>
      </c>
      <c r="AA7" s="5"/>
      <c r="AB7" s="35"/>
      <c r="AC7" s="35"/>
      <c r="AD7" s="5"/>
      <c r="AE7" s="270" t="s">
        <v>304</v>
      </c>
      <c r="AF7" s="270"/>
      <c r="AG7" s="270"/>
      <c r="AH7" s="270"/>
      <c r="AI7" s="270"/>
      <c r="AJ7" s="270"/>
      <c r="AK7" s="35" t="s">
        <v>173</v>
      </c>
      <c r="AL7" s="5"/>
      <c r="AM7" s="5"/>
      <c r="AN7" s="5"/>
      <c r="AO7" s="5"/>
      <c r="AP7" s="5"/>
      <c r="AQ7" s="5" t="s">
        <v>174</v>
      </c>
      <c r="AR7" s="5"/>
      <c r="AS7" s="229"/>
      <c r="AT7" s="5"/>
      <c r="AU7" s="38"/>
      <c r="AV7" s="5" t="s">
        <v>175</v>
      </c>
      <c r="AW7" s="5"/>
      <c r="AX7" s="5"/>
      <c r="AY7" s="5"/>
      <c r="AZ7" s="38"/>
      <c r="BA7" s="35" t="s">
        <v>180</v>
      </c>
      <c r="BB7" s="38"/>
      <c r="BC7" s="38"/>
      <c r="BD7" s="38"/>
      <c r="BE7" s="270" t="s">
        <v>223</v>
      </c>
      <c r="BF7" s="271"/>
      <c r="BG7" s="271"/>
      <c r="BH7" s="271"/>
      <c r="BI7" s="38"/>
      <c r="BJ7" s="5" t="s">
        <v>240</v>
      </c>
      <c r="BK7" s="199"/>
      <c r="BL7" s="199"/>
      <c r="BM7" s="199"/>
      <c r="BN7" s="199"/>
      <c r="BO7" s="5" t="s">
        <v>178</v>
      </c>
      <c r="BP7" s="5"/>
      <c r="BQ7" s="5"/>
      <c r="BR7" s="38"/>
      <c r="BS7" s="270" t="s">
        <v>242</v>
      </c>
      <c r="BT7" s="199"/>
      <c r="BU7" s="199"/>
      <c r="BV7" s="35" t="s">
        <v>179</v>
      </c>
      <c r="BW7" s="38"/>
      <c r="BX7" s="38"/>
      <c r="BY7" s="38"/>
      <c r="BZ7" s="38"/>
      <c r="CA7" s="35" t="s">
        <v>186</v>
      </c>
      <c r="CB7" s="38"/>
      <c r="CC7" s="38"/>
      <c r="CD7" s="38"/>
      <c r="CE7" s="38"/>
      <c r="CF7" s="5" t="s">
        <v>176</v>
      </c>
      <c r="CG7" s="5"/>
      <c r="CH7" s="5"/>
      <c r="CI7" s="5"/>
      <c r="CJ7" s="5"/>
      <c r="CK7" s="5"/>
      <c r="CL7" s="38"/>
      <c r="CM7" s="5" t="s">
        <v>130</v>
      </c>
      <c r="CN7" s="5"/>
      <c r="CO7" s="5"/>
      <c r="CP7" s="5"/>
      <c r="CQ7" s="5"/>
      <c r="CR7" s="5" t="s">
        <v>177</v>
      </c>
      <c r="CS7" s="5"/>
      <c r="CT7" s="5"/>
      <c r="CU7" s="5"/>
      <c r="CV7" s="5" t="s">
        <v>211</v>
      </c>
      <c r="CW7" s="199"/>
      <c r="CX7" s="199"/>
      <c r="CY7" s="199"/>
      <c r="CZ7" s="199"/>
      <c r="DA7" s="5" t="s">
        <v>383</v>
      </c>
      <c r="DB7" s="199"/>
      <c r="DC7" s="199"/>
      <c r="DD7" s="199"/>
      <c r="DE7" s="199"/>
      <c r="DF7" s="5" t="s">
        <v>391</v>
      </c>
      <c r="DG7" s="199"/>
      <c r="DH7" s="199"/>
      <c r="DI7" s="199"/>
      <c r="DJ7" s="199"/>
      <c r="DK7" s="5" t="s">
        <v>23</v>
      </c>
      <c r="DL7" s="5"/>
      <c r="DM7" s="5"/>
      <c r="DN7" s="5"/>
      <c r="DO7" s="5"/>
      <c r="DP7" s="198"/>
      <c r="DQ7" s="211" t="str">
        <f>TESTYEAR</f>
        <v>FOR THE TWELVE MONTHS ENDED SEPTEMBER 30, 2007</v>
      </c>
      <c r="DR7" s="211"/>
      <c r="DS7" s="211"/>
      <c r="DT7" s="211"/>
      <c r="DU7" s="211"/>
      <c r="DV7" s="211"/>
      <c r="DW7" s="211"/>
      <c r="DX7" s="210"/>
      <c r="DY7" s="211" t="str">
        <f>TESTYEAR</f>
        <v>FOR THE TWELVE MONTHS ENDED SEPTEMBER 30, 2007</v>
      </c>
      <c r="DZ7" s="211"/>
      <c r="EA7" s="210"/>
      <c r="EB7" s="210"/>
      <c r="EC7" s="210"/>
      <c r="ED7" s="211"/>
      <c r="EE7" s="211"/>
      <c r="EF7" s="210"/>
      <c r="EG7" s="211"/>
      <c r="EH7" s="211" t="str">
        <f>TESTYEAR</f>
        <v>FOR THE TWELVE MONTHS ENDED SEPTEMBER 30, 2007</v>
      </c>
      <c r="EI7" s="211"/>
      <c r="EJ7" s="211"/>
      <c r="EK7" s="210"/>
      <c r="EL7" s="211"/>
      <c r="EM7" s="210"/>
      <c r="EN7" s="211"/>
      <c r="EO7" s="211"/>
      <c r="EP7" s="211" t="str">
        <f>TESTYEAR</f>
        <v>FOR THE TWELVE MONTHS ENDED SEPTEMBER 30, 2007</v>
      </c>
      <c r="EQ7" s="211"/>
      <c r="ER7" s="211"/>
      <c r="ES7" s="211"/>
      <c r="ET7" s="211"/>
      <c r="EU7" s="211"/>
      <c r="EV7" s="211"/>
      <c r="EW7" s="210"/>
      <c r="EX7" s="211"/>
      <c r="EY7" s="211" t="str">
        <f>TESTYEAR</f>
        <v>FOR THE TWELVE MONTHS ENDED SEPTEMBER 30, 2007</v>
      </c>
      <c r="EZ7" s="210"/>
      <c r="FA7" s="210"/>
      <c r="FB7" s="210"/>
      <c r="FC7" s="210"/>
      <c r="FD7" s="211"/>
      <c r="FE7" s="211"/>
      <c r="FF7" s="5"/>
      <c r="FG7" s="113" t="s">
        <v>18</v>
      </c>
    </row>
    <row r="8" spans="1:163" s="37" customFormat="1" ht="14.25" customHeight="1">
      <c r="A8" s="5" t="s">
        <v>275</v>
      </c>
      <c r="B8" s="35"/>
      <c r="C8" s="35"/>
      <c r="D8" s="35"/>
      <c r="E8" s="5"/>
      <c r="F8" s="39"/>
      <c r="G8" s="5" t="str">
        <f>TESTYEAR</f>
        <v>FOR THE TWELVE MONTHS ENDED SEPTEMBER 30, 2007</v>
      </c>
      <c r="H8" s="5"/>
      <c r="I8" s="5"/>
      <c r="J8" s="5"/>
      <c r="K8" s="112"/>
      <c r="L8" s="35" t="str">
        <f>TESTYEAR</f>
        <v>FOR THE TWELVE MONTHS ENDED SEPTEMBER 30, 2007</v>
      </c>
      <c r="M8" s="5"/>
      <c r="N8" s="5"/>
      <c r="O8" s="5"/>
      <c r="P8" s="5"/>
      <c r="Q8" s="5" t="str">
        <f>TESTYEAR</f>
        <v>FOR THE TWELVE MONTHS ENDED SEPTEMBER 30, 2007</v>
      </c>
      <c r="R8" s="5"/>
      <c r="S8" s="5"/>
      <c r="T8" s="5"/>
      <c r="U8" s="112"/>
      <c r="V8" s="5" t="str">
        <f>TESTYEAR</f>
        <v>FOR THE TWELVE MONTHS ENDED SEPTEMBER 30, 2007</v>
      </c>
      <c r="W8" s="5"/>
      <c r="X8" s="5"/>
      <c r="Y8" s="39"/>
      <c r="Z8" s="5" t="str">
        <f>TESTYEAR</f>
        <v>FOR THE TWELVE MONTHS ENDED SEPTEMBER 30, 2007</v>
      </c>
      <c r="AA8" s="5"/>
      <c r="AB8" s="35"/>
      <c r="AC8" s="35"/>
      <c r="AD8" s="5"/>
      <c r="AE8" s="5" t="str">
        <f>TESTYEAR</f>
        <v>FOR THE TWELVE MONTHS ENDED SEPTEMBER 30, 2007</v>
      </c>
      <c r="AF8" s="5"/>
      <c r="AG8" s="5"/>
      <c r="AH8" s="5"/>
      <c r="AI8" s="5"/>
      <c r="AJ8" s="5"/>
      <c r="AK8" s="35" t="str">
        <f>TESTYEAR</f>
        <v>FOR THE TWELVE MONTHS ENDED SEPTEMBER 30, 2007</v>
      </c>
      <c r="AL8" s="5"/>
      <c r="AM8" s="5"/>
      <c r="AN8" s="5"/>
      <c r="AO8" s="5"/>
      <c r="AP8" s="5"/>
      <c r="AQ8" s="5" t="str">
        <f>TESTYEAR</f>
        <v>FOR THE TWELVE MONTHS ENDED SEPTEMBER 30, 2007</v>
      </c>
      <c r="AR8" s="5"/>
      <c r="AS8" s="229"/>
      <c r="AT8" s="5"/>
      <c r="AU8" s="39"/>
      <c r="AV8" s="5" t="str">
        <f>TESTYEAR</f>
        <v>FOR THE TWELVE MONTHS ENDED SEPTEMBER 30, 2007</v>
      </c>
      <c r="AW8" s="35"/>
      <c r="AX8" s="5"/>
      <c r="AY8" s="5"/>
      <c r="AZ8" s="188"/>
      <c r="BA8" s="5" t="str">
        <f>TESTYEAR</f>
        <v>FOR THE TWELVE MONTHS ENDED SEPTEMBER 30, 2007</v>
      </c>
      <c r="BB8" s="39"/>
      <c r="BC8" s="39"/>
      <c r="BD8" s="39"/>
      <c r="BE8" s="5" t="str">
        <f>TESTYEAR</f>
        <v>FOR THE TWELVE MONTHS ENDED SEPTEMBER 30, 2007</v>
      </c>
      <c r="BF8" s="271"/>
      <c r="BG8" s="271"/>
      <c r="BH8" s="271"/>
      <c r="BI8" s="39"/>
      <c r="BJ8" s="5" t="str">
        <f>TESTYEAR</f>
        <v>FOR THE TWELVE MONTHS ENDED SEPTEMBER 30, 2007</v>
      </c>
      <c r="BK8" s="199"/>
      <c r="BL8" s="199"/>
      <c r="BM8" s="199"/>
      <c r="BN8" s="199"/>
      <c r="BO8" s="5" t="str">
        <f>TESTYEAR</f>
        <v>FOR THE TWELVE MONTHS ENDED SEPTEMBER 30, 2007</v>
      </c>
      <c r="BP8" s="35"/>
      <c r="BQ8" s="5"/>
      <c r="BR8" s="39"/>
      <c r="BS8" s="5" t="str">
        <f>TESTYEAR</f>
        <v>FOR THE TWELVE MONTHS ENDED SEPTEMBER 30, 2007</v>
      </c>
      <c r="BT8" s="199"/>
      <c r="BU8" s="199"/>
      <c r="BV8" s="5" t="str">
        <f>TESTYEAR</f>
        <v>FOR THE TWELVE MONTHS ENDED SEPTEMBER 30, 2007</v>
      </c>
      <c r="BW8" s="39"/>
      <c r="BX8" s="39"/>
      <c r="BY8" s="39"/>
      <c r="BZ8" s="39"/>
      <c r="CA8" s="5" t="str">
        <f>TESTYEAR</f>
        <v>FOR THE TWELVE MONTHS ENDED SEPTEMBER 30, 2007</v>
      </c>
      <c r="CB8" s="39"/>
      <c r="CC8" s="39"/>
      <c r="CD8" s="39"/>
      <c r="CE8" s="39"/>
      <c r="CF8" s="5" t="str">
        <f>TESTYEAR</f>
        <v>FOR THE TWELVE MONTHS ENDED SEPTEMBER 30, 2007</v>
      </c>
      <c r="CG8" s="5"/>
      <c r="CH8" s="5"/>
      <c r="CI8" s="5"/>
      <c r="CJ8" s="5"/>
      <c r="CK8" s="5"/>
      <c r="CL8" s="39"/>
      <c r="CM8" s="5" t="str">
        <f>TESTYEAR</f>
        <v>FOR THE TWELVE MONTHS ENDED SEPTEMBER 30, 2007</v>
      </c>
      <c r="CN8" s="5"/>
      <c r="CO8" s="5"/>
      <c r="CP8" s="5"/>
      <c r="CQ8" s="5"/>
      <c r="CR8" s="5" t="str">
        <f>TESTYEAR</f>
        <v>FOR THE TWELVE MONTHS ENDED SEPTEMBER 30, 2007</v>
      </c>
      <c r="CS8" s="5"/>
      <c r="CT8" s="5"/>
      <c r="CU8" s="5"/>
      <c r="CV8" s="5" t="str">
        <f>TESTYEAR</f>
        <v>FOR THE TWELVE MONTHS ENDED SEPTEMBER 30, 2007</v>
      </c>
      <c r="CW8" s="199"/>
      <c r="CX8" s="199"/>
      <c r="CY8" s="199"/>
      <c r="CZ8" s="199"/>
      <c r="DA8" s="5" t="str">
        <f>TESTYEAR</f>
        <v>FOR THE TWELVE MONTHS ENDED SEPTEMBER 30, 2007</v>
      </c>
      <c r="DB8" s="199"/>
      <c r="DC8" s="199"/>
      <c r="DD8" s="199"/>
      <c r="DE8" s="199"/>
      <c r="DF8" s="5" t="str">
        <f>TESTYEAR</f>
        <v>FOR THE TWELVE MONTHS ENDED SEPTEMBER 30, 2007</v>
      </c>
      <c r="DG8" s="199"/>
      <c r="DH8" s="199"/>
      <c r="DI8" s="199"/>
      <c r="DJ8" s="199"/>
      <c r="DK8" s="5" t="str">
        <f>TESTYEAR</f>
        <v>FOR THE TWELVE MONTHS ENDED SEPTEMBER 30, 2007</v>
      </c>
      <c r="DL8" s="5"/>
      <c r="DM8" s="5"/>
      <c r="DN8" s="5"/>
      <c r="DO8" s="5"/>
      <c r="DP8" s="198"/>
      <c r="DQ8" s="210" t="s">
        <v>185</v>
      </c>
      <c r="DR8" s="211"/>
      <c r="DS8" s="211"/>
      <c r="DT8" s="211"/>
      <c r="DU8" s="211"/>
      <c r="DV8" s="211"/>
      <c r="DW8" s="211"/>
      <c r="DX8" s="211"/>
      <c r="DY8" s="210" t="s">
        <v>185</v>
      </c>
      <c r="DZ8" s="211"/>
      <c r="EA8" s="211"/>
      <c r="EB8" s="211"/>
      <c r="EC8" s="211"/>
      <c r="ED8" s="211"/>
      <c r="EE8" s="211"/>
      <c r="EF8" s="211"/>
      <c r="EG8" s="211"/>
      <c r="EH8" s="210" t="s">
        <v>185</v>
      </c>
      <c r="EI8" s="211"/>
      <c r="EJ8" s="211"/>
      <c r="EK8" s="211"/>
      <c r="EL8" s="211"/>
      <c r="EM8" s="211"/>
      <c r="EN8" s="210"/>
      <c r="EO8" s="211"/>
      <c r="EP8" s="210" t="s">
        <v>185</v>
      </c>
      <c r="EQ8" s="211"/>
      <c r="ER8" s="211"/>
      <c r="ES8" s="211"/>
      <c r="ET8" s="211"/>
      <c r="EU8" s="211"/>
      <c r="EV8" s="211"/>
      <c r="EW8" s="211"/>
      <c r="EX8" s="211"/>
      <c r="EY8" s="211" t="str">
        <f>DOCKET</f>
        <v>GENERAL RATE INCREASE</v>
      </c>
      <c r="EZ8" s="211"/>
      <c r="FA8" s="211"/>
      <c r="FB8" s="211"/>
      <c r="FC8" s="211"/>
      <c r="FD8" s="211"/>
      <c r="FE8" s="211"/>
      <c r="FF8" s="5"/>
      <c r="FG8" s="113" t="s">
        <v>18</v>
      </c>
    </row>
    <row r="9" spans="1:163" s="37" customFormat="1" ht="14.25" customHeight="1">
      <c r="A9" s="35" t="s">
        <v>125</v>
      </c>
      <c r="B9" s="35"/>
      <c r="C9" s="35"/>
      <c r="D9" s="35"/>
      <c r="E9" s="5"/>
      <c r="F9" s="5"/>
      <c r="G9" s="5" t="str">
        <f>DOCKET</f>
        <v>GENERAL RATE INCREASE</v>
      </c>
      <c r="H9" s="35"/>
      <c r="I9" s="5"/>
      <c r="J9" s="35"/>
      <c r="K9" s="112"/>
      <c r="L9" s="35" t="str">
        <f>DOCKET</f>
        <v>GENERAL RATE INCREASE</v>
      </c>
      <c r="M9" s="5"/>
      <c r="N9" s="5"/>
      <c r="O9" s="5"/>
      <c r="P9" s="5"/>
      <c r="Q9" s="5" t="str">
        <f>DOCKET</f>
        <v>GENERAL RATE INCREASE</v>
      </c>
      <c r="R9" s="35"/>
      <c r="S9" s="5"/>
      <c r="T9" s="35"/>
      <c r="U9" s="112"/>
      <c r="V9" s="35" t="s">
        <v>125</v>
      </c>
      <c r="W9" s="35"/>
      <c r="X9" s="35"/>
      <c r="Y9" s="35"/>
      <c r="Z9" s="35" t="str">
        <f>DOCKET</f>
        <v>GENERAL RATE INCREASE</v>
      </c>
      <c r="AA9" s="5"/>
      <c r="AB9" s="35"/>
      <c r="AC9" s="35"/>
      <c r="AD9" s="35"/>
      <c r="AE9" s="35" t="s">
        <v>125</v>
      </c>
      <c r="AF9" s="35"/>
      <c r="AG9" s="35"/>
      <c r="AH9" s="35"/>
      <c r="AI9" s="35"/>
      <c r="AJ9" s="35"/>
      <c r="AK9" s="35" t="str">
        <f>DOCKET</f>
        <v>GENERAL RATE INCREASE</v>
      </c>
      <c r="AL9" s="5"/>
      <c r="AM9" s="5"/>
      <c r="AN9" s="5"/>
      <c r="AO9" s="5"/>
      <c r="AP9" s="5"/>
      <c r="AQ9" s="5" t="str">
        <f>DOCKET</f>
        <v>GENERAL RATE INCREASE</v>
      </c>
      <c r="AR9" s="5"/>
      <c r="AS9" s="229"/>
      <c r="AT9" s="5"/>
      <c r="AU9" s="5"/>
      <c r="AV9" s="5" t="str">
        <f>DOCKET</f>
        <v>GENERAL RATE INCREASE</v>
      </c>
      <c r="AW9" s="35"/>
      <c r="AX9" s="35"/>
      <c r="AY9" s="5"/>
      <c r="AZ9" s="188"/>
      <c r="BA9" s="35" t="str">
        <f>DOCKET</f>
        <v>GENERAL RATE INCREASE</v>
      </c>
      <c r="BB9" s="5"/>
      <c r="BC9" s="5"/>
      <c r="BD9" s="5"/>
      <c r="BE9" s="35" t="str">
        <f>DOCKET</f>
        <v>GENERAL RATE INCREASE</v>
      </c>
      <c r="BF9" s="271"/>
      <c r="BG9" s="271"/>
      <c r="BH9" s="270"/>
      <c r="BI9" s="39"/>
      <c r="BJ9" s="35" t="str">
        <f>DOCKET</f>
        <v>GENERAL RATE INCREASE</v>
      </c>
      <c r="BK9" s="199"/>
      <c r="BL9" s="199"/>
      <c r="BM9" s="199"/>
      <c r="BN9" s="199"/>
      <c r="BO9" s="35" t="str">
        <f>DOCKET</f>
        <v>GENERAL RATE INCREASE</v>
      </c>
      <c r="BP9" s="35"/>
      <c r="BQ9" s="5"/>
      <c r="BR9" s="5"/>
      <c r="BS9" s="35" t="str">
        <f>DOCKET</f>
        <v>GENERAL RATE INCREASE</v>
      </c>
      <c r="BT9" s="199"/>
      <c r="BU9" s="199"/>
      <c r="BV9" s="35" t="str">
        <f>DOCKET</f>
        <v>GENERAL RATE INCREASE</v>
      </c>
      <c r="BW9" s="5"/>
      <c r="BX9" s="5"/>
      <c r="BY9" s="5"/>
      <c r="BZ9" s="5"/>
      <c r="CA9" s="35" t="str">
        <f>DOCKET</f>
        <v>GENERAL RATE INCREASE</v>
      </c>
      <c r="CB9" s="5"/>
      <c r="CC9" s="5"/>
      <c r="CD9" s="5"/>
      <c r="CE9" s="5"/>
      <c r="CF9" s="35" t="str">
        <f>DOCKET</f>
        <v>GENERAL RATE INCREASE</v>
      </c>
      <c r="CG9" s="5"/>
      <c r="CH9" s="5"/>
      <c r="CI9" s="5"/>
      <c r="CJ9" s="5"/>
      <c r="CK9" s="5"/>
      <c r="CL9" s="39"/>
      <c r="CM9" s="5" t="str">
        <f>DOCKET</f>
        <v>GENERAL RATE INCREASE</v>
      </c>
      <c r="CN9" s="5"/>
      <c r="CO9" s="5"/>
      <c r="CP9" s="5"/>
      <c r="CQ9" s="5"/>
      <c r="CR9" s="35" t="str">
        <f>DOCKET</f>
        <v>GENERAL RATE INCREASE</v>
      </c>
      <c r="CS9" s="35"/>
      <c r="CT9" s="35"/>
      <c r="CU9" s="35"/>
      <c r="CV9" s="35" t="str">
        <f>DOCKET</f>
        <v>GENERAL RATE INCREASE</v>
      </c>
      <c r="CW9" s="199"/>
      <c r="CX9" s="199"/>
      <c r="CY9" s="199"/>
      <c r="CZ9" s="199"/>
      <c r="DA9" s="35" t="str">
        <f>DOCKET</f>
        <v>GENERAL RATE INCREASE</v>
      </c>
      <c r="DB9" s="199"/>
      <c r="DC9" s="199"/>
      <c r="DD9" s="199"/>
      <c r="DE9" s="199"/>
      <c r="DF9" s="35" t="str">
        <f>DOCKET</f>
        <v>GENERAL RATE INCREASE</v>
      </c>
      <c r="DG9" s="199"/>
      <c r="DH9" s="199"/>
      <c r="DI9" s="199"/>
      <c r="DJ9" s="199"/>
      <c r="DK9" s="35" t="str">
        <f>DOCKET</f>
        <v>GENERAL RATE INCREASE</v>
      </c>
      <c r="DL9" s="5"/>
      <c r="DM9" s="5"/>
      <c r="DN9" s="5"/>
      <c r="DO9" s="5"/>
      <c r="DP9" s="198"/>
      <c r="DQ9" s="114"/>
      <c r="DR9" s="5"/>
      <c r="DS9" s="5"/>
      <c r="DT9" s="5"/>
      <c r="DU9" s="5"/>
      <c r="DV9" s="5"/>
      <c r="DW9" s="5"/>
      <c r="DX9" s="5"/>
      <c r="DY9" s="220"/>
      <c r="DZ9" s="220"/>
      <c r="EA9" s="5"/>
      <c r="EB9" s="5"/>
      <c r="EC9" s="5"/>
      <c r="ED9" s="5"/>
      <c r="EE9" s="5"/>
      <c r="EF9" s="5"/>
      <c r="EG9" s="5"/>
      <c r="EH9" s="34"/>
      <c r="EI9" s="34"/>
      <c r="EJ9" s="5"/>
      <c r="EK9" s="5"/>
      <c r="EL9" s="5"/>
      <c r="EM9" s="5"/>
      <c r="EN9" s="5"/>
      <c r="EO9" s="5"/>
      <c r="EP9" s="34"/>
      <c r="EQ9" s="34"/>
      <c r="ER9" s="5"/>
      <c r="ES9" s="5"/>
      <c r="ET9" s="5"/>
      <c r="EU9" s="5"/>
      <c r="EV9" s="5"/>
      <c r="EW9" s="5"/>
      <c r="EX9" s="351"/>
      <c r="EY9" s="34"/>
      <c r="EZ9" s="34"/>
      <c r="FA9" s="34"/>
      <c r="FB9" s="351"/>
      <c r="FC9" s="351"/>
      <c r="FD9" s="351"/>
      <c r="FE9" s="351"/>
      <c r="FF9" s="176"/>
      <c r="FG9" s="265"/>
    </row>
    <row r="10" spans="7:154" s="37" customFormat="1" ht="14.25" customHeight="1">
      <c r="G10" s="391"/>
      <c r="H10" s="274"/>
      <c r="I10" s="274"/>
      <c r="J10" s="274"/>
      <c r="K10" s="274"/>
      <c r="L10" s="266"/>
      <c r="M10" s="266"/>
      <c r="N10" s="266"/>
      <c r="O10" s="266"/>
      <c r="P10" s="266"/>
      <c r="R10" s="40"/>
      <c r="S10" s="40"/>
      <c r="T10" s="40"/>
      <c r="U10" s="115"/>
      <c r="W10" s="40"/>
      <c r="X10" s="34"/>
      <c r="Y10" s="34"/>
      <c r="AE10" s="392"/>
      <c r="AF10" s="393"/>
      <c r="AG10" s="393"/>
      <c r="AH10" s="393"/>
      <c r="AI10" s="356"/>
      <c r="AJ10" s="394"/>
      <c r="AQ10" s="231"/>
      <c r="AS10" s="228"/>
      <c r="AW10" s="40"/>
      <c r="AX10" s="40"/>
      <c r="BE10" s="266"/>
      <c r="BF10" s="273"/>
      <c r="BG10" s="273"/>
      <c r="BH10" s="269"/>
      <c r="BI10" s="269"/>
      <c r="BK10" s="198"/>
      <c r="BL10" s="198"/>
      <c r="BM10" s="198"/>
      <c r="BN10" s="198"/>
      <c r="BS10" s="198"/>
      <c r="BT10" s="198"/>
      <c r="BU10" s="198"/>
      <c r="CG10" s="40"/>
      <c r="CH10" s="40"/>
      <c r="CI10" s="40"/>
      <c r="CJ10" s="40"/>
      <c r="CR10" s="103"/>
      <c r="CS10" s="40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S10" s="11"/>
      <c r="DT10" s="92" t="s">
        <v>25</v>
      </c>
      <c r="DU10" s="92"/>
      <c r="DV10" s="92"/>
      <c r="DW10" s="92"/>
      <c r="DX10" s="92"/>
      <c r="DY10" s="92"/>
      <c r="DZ10" s="116"/>
      <c r="EA10" s="92"/>
      <c r="EB10" s="92"/>
      <c r="EC10" s="92"/>
      <c r="ED10" s="92"/>
      <c r="EE10" s="92"/>
      <c r="EF10" s="92"/>
      <c r="EG10" s="92"/>
      <c r="EH10" s="92" t="s">
        <v>25</v>
      </c>
      <c r="EI10" s="116"/>
      <c r="EJ10" s="92"/>
      <c r="EK10" s="116"/>
      <c r="EL10" s="92"/>
      <c r="EM10" s="92"/>
      <c r="EN10" s="92"/>
      <c r="EO10" s="92"/>
      <c r="EP10" s="92" t="s">
        <v>25</v>
      </c>
      <c r="EQ10" s="116"/>
      <c r="ER10" s="92"/>
      <c r="ES10" s="92"/>
      <c r="ET10" s="92"/>
      <c r="EU10" s="92"/>
      <c r="EV10" s="92"/>
      <c r="EW10" s="92"/>
      <c r="EX10" s="92"/>
    </row>
    <row r="11" spans="1:161" s="37" customFormat="1" ht="14.25" customHeight="1">
      <c r="A11" s="49" t="s">
        <v>26</v>
      </c>
      <c r="B11" s="40"/>
      <c r="E11" s="49"/>
      <c r="F11" s="49"/>
      <c r="G11" s="49" t="s">
        <v>26</v>
      </c>
      <c r="H11" s="274"/>
      <c r="I11" s="274"/>
      <c r="J11" s="274"/>
      <c r="K11" s="274"/>
      <c r="L11" s="266" t="s">
        <v>26</v>
      </c>
      <c r="M11" s="266"/>
      <c r="N11" s="266"/>
      <c r="O11" s="266"/>
      <c r="P11" s="266"/>
      <c r="Q11" s="49" t="s">
        <v>26</v>
      </c>
      <c r="T11" s="198"/>
      <c r="U11" s="115"/>
      <c r="V11" s="49" t="s">
        <v>26</v>
      </c>
      <c r="Y11" s="11" t="s">
        <v>19</v>
      </c>
      <c r="Z11" s="391" t="s">
        <v>26</v>
      </c>
      <c r="AA11" s="266"/>
      <c r="AB11" s="266"/>
      <c r="AC11" s="266"/>
      <c r="AD11" s="266"/>
      <c r="AE11" s="274" t="s">
        <v>26</v>
      </c>
      <c r="AF11" s="356"/>
      <c r="AG11" s="356"/>
      <c r="AH11" s="391"/>
      <c r="AI11" s="391"/>
      <c r="AJ11" s="395"/>
      <c r="AK11" s="49" t="s">
        <v>26</v>
      </c>
      <c r="AL11" s="40"/>
      <c r="AM11" s="49" t="s">
        <v>217</v>
      </c>
      <c r="AN11" s="49" t="s">
        <v>218</v>
      </c>
      <c r="AO11" s="49" t="s">
        <v>217</v>
      </c>
      <c r="AQ11" s="231" t="s">
        <v>28</v>
      </c>
      <c r="AS11" s="228"/>
      <c r="AT11" s="49" t="s">
        <v>195</v>
      </c>
      <c r="AU11" s="49"/>
      <c r="AV11" s="11" t="s">
        <v>26</v>
      </c>
      <c r="BA11" s="49" t="s">
        <v>26</v>
      </c>
      <c r="BE11" s="274" t="s">
        <v>26</v>
      </c>
      <c r="BF11" s="269"/>
      <c r="BG11" s="274"/>
      <c r="BH11" s="269"/>
      <c r="BI11" s="269"/>
      <c r="BJ11" s="11" t="s">
        <v>26</v>
      </c>
      <c r="BK11" s="11"/>
      <c r="BL11" s="11"/>
      <c r="BM11" s="11"/>
      <c r="BN11" s="11"/>
      <c r="BO11" s="11" t="s">
        <v>26</v>
      </c>
      <c r="BS11" s="11"/>
      <c r="BT11" s="11"/>
      <c r="BU11" s="11"/>
      <c r="BV11" s="49" t="s">
        <v>26</v>
      </c>
      <c r="CA11" s="49" t="s">
        <v>26</v>
      </c>
      <c r="CF11" s="11" t="s">
        <v>26</v>
      </c>
      <c r="CJ11" s="11"/>
      <c r="CL11" s="11"/>
      <c r="CM11" s="11" t="s">
        <v>26</v>
      </c>
      <c r="CQ11" s="11"/>
      <c r="CR11" s="11" t="s">
        <v>26</v>
      </c>
      <c r="CV11" s="49" t="s">
        <v>26</v>
      </c>
      <c r="CW11" s="198"/>
      <c r="CX11" s="255"/>
      <c r="CY11" s="49" t="s">
        <v>37</v>
      </c>
      <c r="CZ11" s="49"/>
      <c r="DA11" s="49" t="s">
        <v>26</v>
      </c>
      <c r="DB11" s="198"/>
      <c r="DC11" s="255"/>
      <c r="DD11" s="49" t="s">
        <v>37</v>
      </c>
      <c r="DE11" s="49"/>
      <c r="DF11" s="49" t="s">
        <v>26</v>
      </c>
      <c r="DG11" s="198"/>
      <c r="DH11" s="255"/>
      <c r="DI11" s="49" t="s">
        <v>37</v>
      </c>
      <c r="DJ11" s="49"/>
      <c r="DK11" s="11" t="s">
        <v>26</v>
      </c>
      <c r="DS11" s="11"/>
      <c r="DT11" s="11"/>
      <c r="DU11" s="11"/>
      <c r="DV11" s="11"/>
      <c r="DW11" s="92"/>
      <c r="DX11" s="11"/>
      <c r="DY11" s="92"/>
      <c r="DZ11" s="116"/>
      <c r="EA11" s="11"/>
      <c r="EB11" s="11"/>
      <c r="EC11" s="11"/>
      <c r="ED11" s="11"/>
      <c r="EE11" s="11"/>
      <c r="EF11" s="92"/>
      <c r="EG11" s="11"/>
      <c r="EH11" s="92"/>
      <c r="EI11" s="116"/>
      <c r="EJ11" s="11"/>
      <c r="EK11" s="116"/>
      <c r="EL11" s="11"/>
      <c r="EM11" s="11"/>
      <c r="EN11" s="92"/>
      <c r="EO11" s="11"/>
      <c r="EP11" s="92"/>
      <c r="EQ11" s="116"/>
      <c r="ER11" s="11"/>
      <c r="ES11" s="92"/>
      <c r="ET11" s="11"/>
      <c r="EU11" s="11"/>
      <c r="EV11" s="11"/>
      <c r="EW11" s="92"/>
      <c r="EX11" s="11"/>
      <c r="FA11" s="11"/>
      <c r="FB11" s="11"/>
      <c r="FC11" s="11"/>
      <c r="FD11" s="11"/>
      <c r="FE11" s="11"/>
    </row>
    <row r="12" spans="1:163" s="37" customFormat="1" ht="14.25" customHeight="1">
      <c r="A12" s="72" t="s">
        <v>41</v>
      </c>
      <c r="B12" s="41" t="s">
        <v>42</v>
      </c>
      <c r="C12" s="232" t="s">
        <v>39</v>
      </c>
      <c r="D12" s="232" t="s">
        <v>43</v>
      </c>
      <c r="E12" s="232" t="s">
        <v>45</v>
      </c>
      <c r="F12" s="232"/>
      <c r="G12" s="72" t="s">
        <v>41</v>
      </c>
      <c r="H12" s="284" t="s">
        <v>42</v>
      </c>
      <c r="I12" s="284"/>
      <c r="J12" s="433" t="s">
        <v>45</v>
      </c>
      <c r="K12" s="433"/>
      <c r="L12" s="284" t="s">
        <v>41</v>
      </c>
      <c r="M12" s="284" t="s">
        <v>42</v>
      </c>
      <c r="N12" s="275" t="s">
        <v>39</v>
      </c>
      <c r="O12" s="275" t="s">
        <v>52</v>
      </c>
      <c r="P12" s="275" t="s">
        <v>43</v>
      </c>
      <c r="Q12" s="72" t="s">
        <v>41</v>
      </c>
      <c r="R12" s="44" t="s">
        <v>42</v>
      </c>
      <c r="S12" s="41"/>
      <c r="T12" s="200"/>
      <c r="U12" s="117" t="s">
        <v>44</v>
      </c>
      <c r="V12" s="72" t="s">
        <v>41</v>
      </c>
      <c r="W12" s="44" t="s">
        <v>42</v>
      </c>
      <c r="X12" s="23"/>
      <c r="Y12" s="23" t="s">
        <v>44</v>
      </c>
      <c r="Z12" s="275" t="s">
        <v>41</v>
      </c>
      <c r="AA12" s="276" t="s">
        <v>42</v>
      </c>
      <c r="AB12" s="397" t="s">
        <v>39</v>
      </c>
      <c r="AC12" s="397" t="s">
        <v>43</v>
      </c>
      <c r="AD12" s="397" t="s">
        <v>45</v>
      </c>
      <c r="AE12" s="275" t="s">
        <v>41</v>
      </c>
      <c r="AF12" s="276" t="s">
        <v>42</v>
      </c>
      <c r="AG12" s="396"/>
      <c r="AH12" s="397"/>
      <c r="AI12" s="275" t="s">
        <v>45</v>
      </c>
      <c r="AJ12" s="275"/>
      <c r="AK12" s="72" t="s">
        <v>41</v>
      </c>
      <c r="AL12" s="43" t="s">
        <v>42</v>
      </c>
      <c r="AM12" s="23" t="s">
        <v>219</v>
      </c>
      <c r="AN12" s="23" t="s">
        <v>220</v>
      </c>
      <c r="AO12" s="23" t="s">
        <v>220</v>
      </c>
      <c r="AP12" s="42" t="s">
        <v>44</v>
      </c>
      <c r="AQ12" s="233" t="s">
        <v>41</v>
      </c>
      <c r="AR12" s="44" t="s">
        <v>42</v>
      </c>
      <c r="AS12" s="234" t="s">
        <v>39</v>
      </c>
      <c r="AT12" s="72" t="s">
        <v>37</v>
      </c>
      <c r="AU12" s="72" t="s">
        <v>45</v>
      </c>
      <c r="AV12" s="23" t="s">
        <v>41</v>
      </c>
      <c r="AW12" s="44" t="s">
        <v>42</v>
      </c>
      <c r="AX12" s="42" t="s">
        <v>19</v>
      </c>
      <c r="AY12" s="42"/>
      <c r="AZ12" s="23" t="s">
        <v>44</v>
      </c>
      <c r="BA12" s="23" t="s">
        <v>41</v>
      </c>
      <c r="BB12" s="43" t="s">
        <v>42</v>
      </c>
      <c r="BC12" s="43"/>
      <c r="BD12" s="72" t="s">
        <v>44</v>
      </c>
      <c r="BE12" s="275" t="s">
        <v>41</v>
      </c>
      <c r="BF12" s="276" t="s">
        <v>42</v>
      </c>
      <c r="BG12" s="275" t="s">
        <v>46</v>
      </c>
      <c r="BH12" s="275" t="s">
        <v>43</v>
      </c>
      <c r="BI12" s="275" t="s">
        <v>45</v>
      </c>
      <c r="BJ12" s="23" t="s">
        <v>41</v>
      </c>
      <c r="BK12" s="200" t="s">
        <v>42</v>
      </c>
      <c r="BL12" s="23"/>
      <c r="BM12" s="23"/>
      <c r="BN12" s="23" t="s">
        <v>45</v>
      </c>
      <c r="BO12" s="23" t="s">
        <v>41</v>
      </c>
      <c r="BP12" s="43" t="s">
        <v>42</v>
      </c>
      <c r="BQ12" s="44"/>
      <c r="BR12" s="42" t="s">
        <v>44</v>
      </c>
      <c r="BS12" s="23"/>
      <c r="BT12" s="23"/>
      <c r="BU12" s="23"/>
      <c r="BV12" s="23" t="s">
        <v>41</v>
      </c>
      <c r="BW12" s="43" t="s">
        <v>42</v>
      </c>
      <c r="BX12" s="85" t="s">
        <v>39</v>
      </c>
      <c r="BY12" s="85" t="s">
        <v>37</v>
      </c>
      <c r="BZ12" s="85" t="s">
        <v>45</v>
      </c>
      <c r="CA12" s="23" t="s">
        <v>41</v>
      </c>
      <c r="CB12" s="43" t="s">
        <v>42</v>
      </c>
      <c r="CC12" s="85" t="s">
        <v>39</v>
      </c>
      <c r="CD12" s="85" t="s">
        <v>43</v>
      </c>
      <c r="CE12" s="85" t="s">
        <v>45</v>
      </c>
      <c r="CF12" s="72" t="s">
        <v>41</v>
      </c>
      <c r="CG12" s="41" t="s">
        <v>42</v>
      </c>
      <c r="CH12" s="41"/>
      <c r="CI12" s="41"/>
      <c r="CJ12" s="23" t="s">
        <v>46</v>
      </c>
      <c r="CK12" s="23" t="s">
        <v>47</v>
      </c>
      <c r="CL12" s="23" t="s">
        <v>45</v>
      </c>
      <c r="CM12" s="23" t="s">
        <v>41</v>
      </c>
      <c r="CN12" s="41" t="s">
        <v>42</v>
      </c>
      <c r="CO12" s="23"/>
      <c r="CP12" s="23"/>
      <c r="CQ12" s="85" t="s">
        <v>44</v>
      </c>
      <c r="CR12" s="23" t="s">
        <v>41</v>
      </c>
      <c r="CS12" s="41" t="s">
        <v>42</v>
      </c>
      <c r="CT12" s="23"/>
      <c r="CU12" s="85" t="s">
        <v>44</v>
      </c>
      <c r="CV12" s="23" t="s">
        <v>41</v>
      </c>
      <c r="CW12" s="200" t="s">
        <v>42</v>
      </c>
      <c r="CX12" s="234" t="s">
        <v>39</v>
      </c>
      <c r="CY12" s="256" t="s">
        <v>43</v>
      </c>
      <c r="CZ12" s="72" t="s">
        <v>45</v>
      </c>
      <c r="DA12" s="23" t="s">
        <v>41</v>
      </c>
      <c r="DB12" s="200" t="s">
        <v>42</v>
      </c>
      <c r="DC12" s="234" t="s">
        <v>39</v>
      </c>
      <c r="DD12" s="256" t="s">
        <v>43</v>
      </c>
      <c r="DE12" s="72" t="s">
        <v>45</v>
      </c>
      <c r="DF12" s="23" t="s">
        <v>41</v>
      </c>
      <c r="DG12" s="200" t="s">
        <v>42</v>
      </c>
      <c r="DH12" s="234" t="s">
        <v>39</v>
      </c>
      <c r="DI12" s="256" t="s">
        <v>43</v>
      </c>
      <c r="DJ12" s="72" t="s">
        <v>45</v>
      </c>
      <c r="DK12" s="23" t="s">
        <v>41</v>
      </c>
      <c r="DL12" s="44" t="s">
        <v>42</v>
      </c>
      <c r="DM12" s="23" t="s">
        <v>59</v>
      </c>
      <c r="DN12" s="23" t="s">
        <v>60</v>
      </c>
      <c r="DO12" s="23" t="s">
        <v>44</v>
      </c>
      <c r="DP12" s="34"/>
      <c r="DS12" s="11" t="s">
        <v>29</v>
      </c>
      <c r="DT12" s="34" t="s">
        <v>280</v>
      </c>
      <c r="DU12" s="34" t="s">
        <v>181</v>
      </c>
      <c r="DV12" s="34" t="s">
        <v>258</v>
      </c>
      <c r="DW12" s="34" t="s">
        <v>30</v>
      </c>
      <c r="DX12" s="34" t="s">
        <v>31</v>
      </c>
      <c r="DY12" s="34"/>
      <c r="DZ12" s="34"/>
      <c r="EA12" s="34" t="s">
        <v>203</v>
      </c>
      <c r="EB12" s="11" t="s">
        <v>305</v>
      </c>
      <c r="EC12" s="34" t="s">
        <v>32</v>
      </c>
      <c r="ED12" s="220" t="s">
        <v>33</v>
      </c>
      <c r="EE12" s="34" t="s">
        <v>34</v>
      </c>
      <c r="EF12" s="11" t="s">
        <v>183</v>
      </c>
      <c r="EG12" s="11" t="s">
        <v>226</v>
      </c>
      <c r="EH12" s="11"/>
      <c r="EI12" s="11"/>
      <c r="EJ12" s="11" t="s">
        <v>238</v>
      </c>
      <c r="EK12" s="11" t="s">
        <v>38</v>
      </c>
      <c r="EL12" s="11" t="s">
        <v>221</v>
      </c>
      <c r="EM12" s="11" t="s">
        <v>163</v>
      </c>
      <c r="EN12" s="11" t="s">
        <v>187</v>
      </c>
      <c r="EO12" s="11" t="s">
        <v>149</v>
      </c>
      <c r="EP12" s="11"/>
      <c r="EQ12" s="11"/>
      <c r="ER12" s="11" t="s">
        <v>36</v>
      </c>
      <c r="ES12" s="11" t="s">
        <v>35</v>
      </c>
      <c r="ET12" s="11" t="s">
        <v>211</v>
      </c>
      <c r="EU12" s="11" t="s">
        <v>386</v>
      </c>
      <c r="EV12" s="11" t="s">
        <v>399</v>
      </c>
      <c r="EW12" s="11" t="s">
        <v>40</v>
      </c>
      <c r="EX12" s="11" t="s">
        <v>156</v>
      </c>
      <c r="FA12" s="11" t="s">
        <v>39</v>
      </c>
      <c r="FB12" s="11"/>
      <c r="FC12" s="11" t="s">
        <v>156</v>
      </c>
      <c r="FD12" s="11" t="s">
        <v>157</v>
      </c>
      <c r="FE12" s="11" t="s">
        <v>158</v>
      </c>
      <c r="FF12" s="11"/>
      <c r="FG12" s="11"/>
    </row>
    <row r="13" spans="1:163" ht="14.25" customHeight="1">
      <c r="A13" s="12"/>
      <c r="B13" s="78"/>
      <c r="C13" s="78"/>
      <c r="D13" s="2"/>
      <c r="H13" s="421"/>
      <c r="I13" s="421"/>
      <c r="J13" s="422"/>
      <c r="K13" s="422"/>
      <c r="L13" s="261"/>
      <c r="T13" s="198"/>
      <c r="U13" s="76"/>
      <c r="V13" s="12"/>
      <c r="W13" s="235"/>
      <c r="X13" s="236"/>
      <c r="Y13" s="237"/>
      <c r="Z13" s="267"/>
      <c r="AA13" s="267"/>
      <c r="AB13" s="267"/>
      <c r="AC13" s="267"/>
      <c r="AD13" s="267"/>
      <c r="AE13" s="332"/>
      <c r="AF13" s="191"/>
      <c r="AG13" s="191"/>
      <c r="AH13" s="191"/>
      <c r="AI13" s="295"/>
      <c r="AJ13" s="398"/>
      <c r="AQ13" s="73">
        <v>1</v>
      </c>
      <c r="AR13" s="74" t="s">
        <v>267</v>
      </c>
      <c r="AS13" s="20"/>
      <c r="BD13" s="3"/>
      <c r="BE13" s="277"/>
      <c r="BF13" s="261"/>
      <c r="BG13" s="261"/>
      <c r="BH13" s="261"/>
      <c r="BI13" s="261"/>
      <c r="BK13" s="135"/>
      <c r="BL13" s="135"/>
      <c r="BM13" s="135"/>
      <c r="BN13" s="12"/>
      <c r="BO13" s="3"/>
      <c r="BP13" s="3"/>
      <c r="BQ13" s="3"/>
      <c r="BR13" s="3"/>
      <c r="BS13" s="135"/>
      <c r="BT13" s="135"/>
      <c r="BU13" s="135"/>
      <c r="CF13" s="12"/>
      <c r="CG13" s="13"/>
      <c r="CH13" s="13"/>
      <c r="CI13" s="13"/>
      <c r="CM13" s="4"/>
      <c r="CN13" s="4"/>
      <c r="CO13" s="4"/>
      <c r="CP13" s="4"/>
      <c r="CQ13" s="4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Q13" s="11" t="s">
        <v>26</v>
      </c>
      <c r="DR13" s="37"/>
      <c r="DS13" s="11" t="s">
        <v>48</v>
      </c>
      <c r="DT13" s="34" t="s">
        <v>281</v>
      </c>
      <c r="DU13" s="34" t="s">
        <v>57</v>
      </c>
      <c r="DV13" s="34" t="s">
        <v>354</v>
      </c>
      <c r="DW13" s="34" t="s">
        <v>50</v>
      </c>
      <c r="DX13" s="34" t="s">
        <v>182</v>
      </c>
      <c r="DY13" s="11" t="s">
        <v>26</v>
      </c>
      <c r="DZ13" s="37"/>
      <c r="EA13" s="34" t="s">
        <v>373</v>
      </c>
      <c r="EB13" s="11" t="s">
        <v>306</v>
      </c>
      <c r="EC13" s="34" t="s">
        <v>51</v>
      </c>
      <c r="ED13" s="220" t="s">
        <v>90</v>
      </c>
      <c r="EE13" s="34" t="s">
        <v>53</v>
      </c>
      <c r="EF13" s="11" t="s">
        <v>184</v>
      </c>
      <c r="EG13" s="11" t="s">
        <v>55</v>
      </c>
      <c r="EH13" s="11" t="s">
        <v>26</v>
      </c>
      <c r="EI13" s="37"/>
      <c r="EJ13" s="11" t="s">
        <v>239</v>
      </c>
      <c r="EK13" s="11" t="s">
        <v>57</v>
      </c>
      <c r="EL13" s="11" t="s">
        <v>222</v>
      </c>
      <c r="EM13" s="11" t="s">
        <v>164</v>
      </c>
      <c r="EN13" s="11" t="s">
        <v>56</v>
      </c>
      <c r="EO13" s="11" t="s">
        <v>27</v>
      </c>
      <c r="EP13" s="11" t="s">
        <v>26</v>
      </c>
      <c r="EQ13" s="37"/>
      <c r="ER13" s="11" t="s">
        <v>56</v>
      </c>
      <c r="ES13" s="11" t="s">
        <v>55</v>
      </c>
      <c r="ET13" s="11"/>
      <c r="EU13" s="11" t="s">
        <v>385</v>
      </c>
      <c r="EV13" s="11" t="s">
        <v>400</v>
      </c>
      <c r="EW13" s="34" t="s">
        <v>52</v>
      </c>
      <c r="EX13" s="11" t="s">
        <v>58</v>
      </c>
      <c r="EY13" s="11" t="s">
        <v>26</v>
      </c>
      <c r="EZ13" s="37"/>
      <c r="FA13" s="11" t="s">
        <v>58</v>
      </c>
      <c r="FB13" s="11" t="s">
        <v>40</v>
      </c>
      <c r="FC13" s="11" t="s">
        <v>58</v>
      </c>
      <c r="FD13" s="11" t="s">
        <v>159</v>
      </c>
      <c r="FE13" s="11" t="s">
        <v>60</v>
      </c>
      <c r="FF13" s="11"/>
      <c r="FG13" s="11"/>
    </row>
    <row r="14" spans="1:163" ht="14.25" customHeight="1">
      <c r="A14" s="12">
        <v>1</v>
      </c>
      <c r="B14" s="387" t="s">
        <v>282</v>
      </c>
      <c r="C14" s="261"/>
      <c r="D14" s="261"/>
      <c r="E14" s="267"/>
      <c r="G14" s="12">
        <v>1</v>
      </c>
      <c r="H14" s="267" t="s">
        <v>331</v>
      </c>
      <c r="I14" s="267"/>
      <c r="J14" s="267"/>
      <c r="K14" s="267"/>
      <c r="L14" s="12">
        <v>1</v>
      </c>
      <c r="M14" s="354" t="s">
        <v>0</v>
      </c>
      <c r="N14" s="335"/>
      <c r="O14" s="334"/>
      <c r="P14" s="334"/>
      <c r="Q14" s="12">
        <v>1</v>
      </c>
      <c r="R14" s="120" t="s">
        <v>62</v>
      </c>
      <c r="S14" s="120"/>
      <c r="T14" s="410"/>
      <c r="U14" s="8">
        <v>22389796.638425812</v>
      </c>
      <c r="V14" s="12">
        <v>1</v>
      </c>
      <c r="W14" s="235" t="s">
        <v>126</v>
      </c>
      <c r="X14" s="499">
        <f>FE50</f>
        <v>1347267693.5291762</v>
      </c>
      <c r="Y14" s="237">
        <f>IF(X14=EX50,"","NEEDS UPDATING")</f>
      </c>
      <c r="Z14" s="12">
        <v>1</v>
      </c>
      <c r="AA14" s="403" t="s">
        <v>318</v>
      </c>
      <c r="AB14" s="267"/>
      <c r="AC14" s="267"/>
      <c r="AD14" s="267"/>
      <c r="AE14" s="73">
        <v>1</v>
      </c>
      <c r="AF14" s="438" t="s">
        <v>357</v>
      </c>
      <c r="AG14" s="55"/>
      <c r="AH14" s="55"/>
      <c r="AI14" s="55"/>
      <c r="AK14" s="45" t="s">
        <v>61</v>
      </c>
      <c r="AL14" s="2" t="s">
        <v>315</v>
      </c>
      <c r="AM14" s="30">
        <v>2058469.04</v>
      </c>
      <c r="AN14" s="214">
        <v>736127072.78</v>
      </c>
      <c r="AO14" s="214">
        <v>736127072.78</v>
      </c>
      <c r="AP14" s="474">
        <f>ROUND(AM14/AO14,9)</f>
        <v>0.00279635</v>
      </c>
      <c r="AQ14" s="73">
        <f>AQ13+1</f>
        <v>2</v>
      </c>
      <c r="AR14" s="442" t="s">
        <v>368</v>
      </c>
      <c r="AS14" s="20"/>
      <c r="AT14" s="25"/>
      <c r="AU14" s="20"/>
      <c r="AV14" s="12">
        <v>1</v>
      </c>
      <c r="AW14" s="120" t="s">
        <v>22</v>
      </c>
      <c r="AX14" s="302"/>
      <c r="AY14" s="8"/>
      <c r="AZ14" s="445">
        <v>11530637</v>
      </c>
      <c r="BA14" s="12">
        <v>1</v>
      </c>
      <c r="BB14" s="60" t="s">
        <v>165</v>
      </c>
      <c r="BC14" s="60"/>
      <c r="BD14" s="8">
        <v>47160660.816704996</v>
      </c>
      <c r="BE14" s="12">
        <v>1</v>
      </c>
      <c r="BF14" s="261" t="s">
        <v>224</v>
      </c>
      <c r="BG14" s="278">
        <v>743652.788424</v>
      </c>
      <c r="BH14" s="278">
        <v>723034.881531953</v>
      </c>
      <c r="BI14" s="278">
        <f>+BH14-BG14</f>
        <v>-20617.90689204703</v>
      </c>
      <c r="BJ14" s="12">
        <v>1</v>
      </c>
      <c r="BK14" s="201" t="s">
        <v>241</v>
      </c>
      <c r="BL14" s="201"/>
      <c r="BN14" s="201">
        <v>187784</v>
      </c>
      <c r="BO14" s="45">
        <v>1</v>
      </c>
      <c r="BP14" s="285" t="s">
        <v>229</v>
      </c>
      <c r="BQ14" s="286"/>
      <c r="BR14" s="286"/>
      <c r="BS14" s="264">
        <v>1</v>
      </c>
      <c r="BT14" s="267" t="s">
        <v>389</v>
      </c>
      <c r="BU14" s="508">
        <v>-1172830.5134620015</v>
      </c>
      <c r="BV14" s="12">
        <v>1</v>
      </c>
      <c r="BW14" s="3" t="s">
        <v>161</v>
      </c>
      <c r="BX14" s="8">
        <v>346848.2278699998</v>
      </c>
      <c r="BY14" s="511">
        <v>436075.47536981635</v>
      </c>
      <c r="BZ14" s="8">
        <f>+BY14-BX14</f>
        <v>89227.24749981653</v>
      </c>
      <c r="CA14" s="12">
        <v>1</v>
      </c>
      <c r="CB14" s="33" t="s">
        <v>127</v>
      </c>
      <c r="CC14" s="8">
        <v>490476.4349851968</v>
      </c>
      <c r="CD14" s="8">
        <v>0</v>
      </c>
      <c r="CE14" s="8">
        <f>+CD14-CC14</f>
        <v>-490476.4349851968</v>
      </c>
      <c r="CF14" s="12">
        <v>1</v>
      </c>
      <c r="CG14" s="3" t="s">
        <v>132</v>
      </c>
      <c r="CJ14" s="80"/>
      <c r="CK14" s="81"/>
      <c r="CL14" s="80"/>
      <c r="CM14" s="12">
        <v>1</v>
      </c>
      <c r="CN14" s="333" t="s">
        <v>192</v>
      </c>
      <c r="CO14" s="334"/>
      <c r="CP14" s="334"/>
      <c r="CQ14" s="335"/>
      <c r="CR14" s="12">
        <v>1</v>
      </c>
      <c r="CS14" s="75" t="s">
        <v>131</v>
      </c>
      <c r="CT14" s="21"/>
      <c r="CU14" s="21"/>
      <c r="CV14" s="12">
        <v>1</v>
      </c>
      <c r="CW14" s="105" t="s">
        <v>71</v>
      </c>
      <c r="CX14" s="446"/>
      <c r="CY14" s="446"/>
      <c r="DA14" s="12">
        <v>1</v>
      </c>
      <c r="DB14" s="493"/>
      <c r="DC14" s="494"/>
      <c r="DD14" s="494"/>
      <c r="DE14" s="450"/>
      <c r="DF14" s="495">
        <v>1</v>
      </c>
      <c r="DG14" s="136" t="s">
        <v>331</v>
      </c>
      <c r="DH14" s="136"/>
      <c r="DI14" s="136"/>
      <c r="DJ14" s="136"/>
      <c r="DK14" s="12">
        <v>1</v>
      </c>
      <c r="DL14" s="13" t="s">
        <v>67</v>
      </c>
      <c r="DM14" s="411"/>
      <c r="DN14" s="411"/>
      <c r="DO14" s="412">
        <v>1</v>
      </c>
      <c r="DP14" s="413"/>
      <c r="DQ14" s="11" t="s">
        <v>41</v>
      </c>
      <c r="DR14" s="37"/>
      <c r="DS14" s="11" t="s">
        <v>276</v>
      </c>
      <c r="DT14" s="28" t="s">
        <v>404</v>
      </c>
      <c r="DU14" s="28" t="s">
        <v>406</v>
      </c>
      <c r="DV14" s="28" t="s">
        <v>407</v>
      </c>
      <c r="DW14" s="28" t="s">
        <v>408</v>
      </c>
      <c r="DX14" s="28" t="s">
        <v>409</v>
      </c>
      <c r="DY14" s="11" t="s">
        <v>41</v>
      </c>
      <c r="DZ14" s="37"/>
      <c r="EA14" s="28" t="s">
        <v>410</v>
      </c>
      <c r="EB14" s="28" t="s">
        <v>411</v>
      </c>
      <c r="EC14" s="28" t="s">
        <v>412</v>
      </c>
      <c r="ED14" s="28" t="s">
        <v>413</v>
      </c>
      <c r="EE14" s="28" t="s">
        <v>414</v>
      </c>
      <c r="EF14" s="28" t="s">
        <v>415</v>
      </c>
      <c r="EG14" s="28" t="s">
        <v>416</v>
      </c>
      <c r="EH14" s="11" t="s">
        <v>41</v>
      </c>
      <c r="EI14" s="37"/>
      <c r="EJ14" s="28" t="s">
        <v>417</v>
      </c>
      <c r="EK14" s="28" t="s">
        <v>418</v>
      </c>
      <c r="EL14" s="28" t="s">
        <v>419</v>
      </c>
      <c r="EM14" s="28" t="s">
        <v>420</v>
      </c>
      <c r="EN14" s="28" t="s">
        <v>421</v>
      </c>
      <c r="EO14" s="28" t="s">
        <v>422</v>
      </c>
      <c r="EP14" s="11" t="s">
        <v>41</v>
      </c>
      <c r="EQ14" s="37"/>
      <c r="ER14" s="28" t="s">
        <v>423</v>
      </c>
      <c r="ES14" s="28" t="s">
        <v>424</v>
      </c>
      <c r="ET14" s="28" t="s">
        <v>425</v>
      </c>
      <c r="EU14" s="28" t="s">
        <v>426</v>
      </c>
      <c r="EV14" s="28" t="s">
        <v>427</v>
      </c>
      <c r="EW14" s="34"/>
      <c r="EX14" s="34" t="s">
        <v>48</v>
      </c>
      <c r="EY14" s="23" t="s">
        <v>41</v>
      </c>
      <c r="EZ14" s="119"/>
      <c r="FA14" s="23" t="s">
        <v>48</v>
      </c>
      <c r="FB14" s="23" t="s">
        <v>52</v>
      </c>
      <c r="FC14" s="23" t="s">
        <v>48</v>
      </c>
      <c r="FD14" s="23" t="s">
        <v>160</v>
      </c>
      <c r="FE14" s="23" t="s">
        <v>27</v>
      </c>
      <c r="FF14" s="34"/>
      <c r="FG14" s="34"/>
    </row>
    <row r="15" spans="1:154" ht="13.5" thickBot="1">
      <c r="A15" s="12">
        <f>+A14+1</f>
        <v>2</v>
      </c>
      <c r="B15" s="267"/>
      <c r="C15" s="373" t="s">
        <v>39</v>
      </c>
      <c r="D15" s="374" t="s">
        <v>283</v>
      </c>
      <c r="E15" s="375" t="s">
        <v>292</v>
      </c>
      <c r="G15" s="12">
        <f>G14+1</f>
        <v>2</v>
      </c>
      <c r="H15" s="423" t="s">
        <v>332</v>
      </c>
      <c r="I15" s="324"/>
      <c r="J15" s="201">
        <v>12621526.598091472</v>
      </c>
      <c r="K15" s="267"/>
      <c r="L15" s="12">
        <f>L14+1</f>
        <v>2</v>
      </c>
      <c r="M15" s="261" t="s">
        <v>1</v>
      </c>
      <c r="N15" s="29"/>
      <c r="O15" s="29">
        <v>0</v>
      </c>
      <c r="P15" s="93">
        <f>N15+O15</f>
        <v>0</v>
      </c>
      <c r="Q15" s="12">
        <f>Q14+1</f>
        <v>2</v>
      </c>
      <c r="R15" s="13"/>
      <c r="S15" s="13"/>
      <c r="T15" s="13"/>
      <c r="U15" s="123"/>
      <c r="V15" s="12">
        <f>+V14+1</f>
        <v>2</v>
      </c>
      <c r="W15" s="235" t="s">
        <v>171</v>
      </c>
      <c r="X15" s="7">
        <v>47186981</v>
      </c>
      <c r="Y15" s="237"/>
      <c r="Z15" s="12">
        <f aca="true" t="shared" si="0" ref="Z15:Z42">Z14+1</f>
        <v>2</v>
      </c>
      <c r="AA15" s="267" t="s">
        <v>319</v>
      </c>
      <c r="AB15" s="404">
        <v>68026974.13</v>
      </c>
      <c r="AC15" s="404">
        <v>79599749.33628267</v>
      </c>
      <c r="AD15" s="404">
        <f>AC15-AB15</f>
        <v>11572775.206282675</v>
      </c>
      <c r="AE15" s="437">
        <f>AE14+1</f>
        <v>2</v>
      </c>
      <c r="AF15" s="261" t="s">
        <v>362</v>
      </c>
      <c r="AG15" s="102"/>
      <c r="AH15" s="102"/>
      <c r="AI15" s="258">
        <v>3498771</v>
      </c>
      <c r="AK15" s="45">
        <f aca="true" t="shared" si="1" ref="AK15:AK28">1+AK14</f>
        <v>2</v>
      </c>
      <c r="AL15" s="124" t="s">
        <v>316</v>
      </c>
      <c r="AM15" s="30">
        <v>2735000.26</v>
      </c>
      <c r="AN15" s="214">
        <v>879440288.56</v>
      </c>
      <c r="AO15" s="214">
        <v>879440288.56</v>
      </c>
      <c r="AP15" s="474">
        <f>ROUND(AM15/AO15,9)</f>
        <v>0.003109933</v>
      </c>
      <c r="AQ15" s="73">
        <f>AQ14+1</f>
        <v>3</v>
      </c>
      <c r="AR15" s="442" t="s">
        <v>369</v>
      </c>
      <c r="AS15" s="8">
        <v>1015556</v>
      </c>
      <c r="AT15" s="8">
        <v>0</v>
      </c>
      <c r="AU15" s="8">
        <f aca="true" t="shared" si="2" ref="AU15:AU21">AT15-AS15</f>
        <v>-1015556</v>
      </c>
      <c r="AV15" s="12">
        <f>AV14+1</f>
        <v>2</v>
      </c>
      <c r="AW15" s="13" t="s">
        <v>65</v>
      </c>
      <c r="AX15" s="302"/>
      <c r="AY15" s="302"/>
      <c r="AZ15" s="65">
        <v>10476285.77</v>
      </c>
      <c r="BA15" s="12">
        <v>2</v>
      </c>
      <c r="BB15" s="61" t="s">
        <v>166</v>
      </c>
      <c r="BC15" s="61"/>
      <c r="BD15" s="65">
        <v>47552491.93012</v>
      </c>
      <c r="BE15" s="12">
        <f aca="true" t="shared" si="3" ref="BE15:BE21">BE14+1</f>
        <v>2</v>
      </c>
      <c r="BF15" s="261"/>
      <c r="BG15" s="279"/>
      <c r="BH15" s="279"/>
      <c r="BI15" s="279"/>
      <c r="BJ15" s="12">
        <v>2</v>
      </c>
      <c r="BK15" s="299"/>
      <c r="BL15" s="202"/>
      <c r="BN15" s="260"/>
      <c r="BO15" s="45">
        <f>+BO14+1</f>
        <v>2</v>
      </c>
      <c r="BP15" s="223"/>
      <c r="BQ15" s="286"/>
      <c r="BR15" s="286"/>
      <c r="BS15" s="264">
        <f>BS14+1</f>
        <v>2</v>
      </c>
      <c r="BT15" s="267" t="s">
        <v>390</v>
      </c>
      <c r="BU15" s="326">
        <v>312729.80782199954</v>
      </c>
      <c r="BV15" s="12">
        <f aca="true" t="shared" si="4" ref="BV15:BV20">BV14+1</f>
        <v>2</v>
      </c>
      <c r="BW15" s="3" t="s">
        <v>162</v>
      </c>
      <c r="BX15" s="14">
        <v>862116.5692920061</v>
      </c>
      <c r="BY15" s="14">
        <v>937151.084062438</v>
      </c>
      <c r="BZ15" s="56">
        <f>+BY15-BX15</f>
        <v>75034.51477043191</v>
      </c>
      <c r="CA15" s="12">
        <v>2</v>
      </c>
      <c r="CB15" s="13" t="s">
        <v>201</v>
      </c>
      <c r="CC15" s="8">
        <v>1228239.3850571378</v>
      </c>
      <c r="CD15" s="8">
        <v>1309865.1372423554</v>
      </c>
      <c r="CE15" s="8">
        <f>+CD15-CC15</f>
        <v>81625.75218521757</v>
      </c>
      <c r="CF15" s="12">
        <f aca="true" t="shared" si="5" ref="CF15:CF26">CF14+1</f>
        <v>2</v>
      </c>
      <c r="CG15" s="13" t="s">
        <v>134</v>
      </c>
      <c r="CH15" s="13"/>
      <c r="CI15" s="13"/>
      <c r="CJ15" s="104">
        <v>87830</v>
      </c>
      <c r="CK15" s="104">
        <v>93466</v>
      </c>
      <c r="CL15" s="104">
        <f>CK15-CJ15</f>
        <v>5636</v>
      </c>
      <c r="CM15" s="12">
        <f aca="true" t="shared" si="6" ref="CM15:CM36">CM14+1</f>
        <v>2</v>
      </c>
      <c r="CN15" s="261" t="s">
        <v>138</v>
      </c>
      <c r="CO15" s="332"/>
      <c r="CP15" s="341">
        <v>2054720</v>
      </c>
      <c r="CR15" s="12">
        <v>2</v>
      </c>
      <c r="CS15" s="13" t="s">
        <v>95</v>
      </c>
      <c r="CT15" s="15"/>
      <c r="CU15" s="30">
        <v>4981503.8048</v>
      </c>
      <c r="CV15" s="12">
        <f aca="true" t="shared" si="7" ref="CV15:CV32">CV14+1</f>
        <v>2</v>
      </c>
      <c r="CW15" s="447" t="s">
        <v>134</v>
      </c>
      <c r="CX15" s="446">
        <v>6038</v>
      </c>
      <c r="CY15" s="446">
        <v>7350</v>
      </c>
      <c r="CZ15" s="446">
        <f aca="true" t="shared" si="8" ref="CZ15:CZ23">CY15-CX15</f>
        <v>1312</v>
      </c>
      <c r="DA15" s="12">
        <f aca="true" t="shared" si="9" ref="DA15:DA22">DA14+1</f>
        <v>2</v>
      </c>
      <c r="DB15" s="13" t="s">
        <v>384</v>
      </c>
      <c r="DC15" s="446">
        <v>158844</v>
      </c>
      <c r="DD15" s="446">
        <v>0</v>
      </c>
      <c r="DE15" s="446">
        <f>DD15-DC15</f>
        <v>-158844</v>
      </c>
      <c r="DF15" s="495">
        <f>+DF14+1</f>
        <v>2</v>
      </c>
      <c r="DG15" s="136"/>
      <c r="DH15" s="136"/>
      <c r="DI15" s="136"/>
      <c r="DJ15" s="346"/>
      <c r="DK15" s="12">
        <f aca="true" t="shared" si="10" ref="DK15:DK25">+DK14+1</f>
        <v>2</v>
      </c>
      <c r="DL15" s="13"/>
      <c r="DM15" s="411"/>
      <c r="DN15" s="411"/>
      <c r="DO15" s="411"/>
      <c r="DP15" s="411"/>
      <c r="DQ15" s="4" t="s">
        <v>64</v>
      </c>
      <c r="DR15" s="4"/>
      <c r="DS15" s="118"/>
      <c r="DT15" s="4"/>
      <c r="DU15" s="4"/>
      <c r="DV15" s="4"/>
      <c r="DW15" s="4"/>
      <c r="DX15" s="4"/>
      <c r="DY15" s="4"/>
      <c r="DZ15" s="4" t="s">
        <v>64</v>
      </c>
      <c r="EA15" s="4"/>
      <c r="EB15" s="4" t="s">
        <v>64</v>
      </c>
      <c r="EC15" s="122" t="s">
        <v>64</v>
      </c>
      <c r="ED15" s="4" t="s">
        <v>64</v>
      </c>
      <c r="EE15" s="4" t="s">
        <v>64</v>
      </c>
      <c r="EF15" s="4"/>
      <c r="EG15" s="4"/>
      <c r="EH15" s="4" t="s">
        <v>64</v>
      </c>
      <c r="EI15" s="4" t="s">
        <v>64</v>
      </c>
      <c r="EJ15" s="4"/>
      <c r="EK15" s="4" t="s">
        <v>64</v>
      </c>
      <c r="EL15" s="4"/>
      <c r="EM15" s="4"/>
      <c r="EN15" s="4" t="s">
        <v>64</v>
      </c>
      <c r="EO15" s="4" t="s">
        <v>64</v>
      </c>
      <c r="EP15" s="4" t="s">
        <v>64</v>
      </c>
      <c r="EQ15" s="4" t="s">
        <v>64</v>
      </c>
      <c r="ER15" s="4" t="s">
        <v>64</v>
      </c>
      <c r="ES15" s="4" t="s">
        <v>64</v>
      </c>
      <c r="ET15" s="4"/>
      <c r="EU15" s="4"/>
      <c r="EV15" s="4"/>
      <c r="EW15" s="4" t="s">
        <v>64</v>
      </c>
      <c r="EX15" s="4" t="s">
        <v>64</v>
      </c>
    </row>
    <row r="16" spans="1:163" ht="14.25" thickBot="1">
      <c r="A16" s="12">
        <f aca="true" t="shared" si="11" ref="A16:A53">+A15+1</f>
        <v>3</v>
      </c>
      <c r="B16" s="267"/>
      <c r="C16" s="386" t="s">
        <v>292</v>
      </c>
      <c r="D16" s="376" t="s">
        <v>292</v>
      </c>
      <c r="E16" s="377" t="s">
        <v>284</v>
      </c>
      <c r="G16" s="12">
        <f aca="true" t="shared" si="12" ref="G16:G43">G15+1</f>
        <v>3</v>
      </c>
      <c r="H16" s="399" t="s">
        <v>342</v>
      </c>
      <c r="I16" s="267"/>
      <c r="J16" s="461"/>
      <c r="K16" s="267"/>
      <c r="L16" s="12">
        <f aca="true" t="shared" si="13" ref="L16:L66">L15+1</f>
        <v>3</v>
      </c>
      <c r="M16" s="261" t="s">
        <v>73</v>
      </c>
      <c r="N16" s="9"/>
      <c r="O16" s="94">
        <v>0</v>
      </c>
      <c r="P16" s="94">
        <f>+N16+O16</f>
        <v>0</v>
      </c>
      <c r="Q16" s="12">
        <f aca="true" t="shared" si="14" ref="Q16:Q21">Q15+1</f>
        <v>3</v>
      </c>
      <c r="R16" s="13" t="s">
        <v>70</v>
      </c>
      <c r="S16" s="16"/>
      <c r="T16" s="16"/>
      <c r="U16" s="125"/>
      <c r="V16" s="12">
        <f aca="true" t="shared" si="15" ref="V16:V33">+V15+1</f>
        <v>3</v>
      </c>
      <c r="W16" s="3" t="s">
        <v>259</v>
      </c>
      <c r="X16" s="500">
        <f>SUM(X14:X15)</f>
        <v>1394454674.5291762</v>
      </c>
      <c r="Y16" s="237"/>
      <c r="Z16" s="12">
        <f t="shared" si="0"/>
        <v>3</v>
      </c>
      <c r="AA16" s="267" t="s">
        <v>320</v>
      </c>
      <c r="AB16" s="405">
        <v>2369038.3880999996</v>
      </c>
      <c r="AC16" s="405">
        <v>4857234.364730104</v>
      </c>
      <c r="AD16" s="406">
        <f>AC16-AB16</f>
        <v>2488195.9766301042</v>
      </c>
      <c r="AE16" s="437">
        <f aca="true" t="shared" si="16" ref="AE16:AE38">AE15+1</f>
        <v>3</v>
      </c>
      <c r="AF16" s="261" t="s">
        <v>363</v>
      </c>
      <c r="AG16" s="102"/>
      <c r="AH16" s="102"/>
      <c r="AI16" s="22">
        <v>5016542.97</v>
      </c>
      <c r="AK16" s="45">
        <f t="shared" si="1"/>
        <v>3</v>
      </c>
      <c r="AL16" s="3" t="s">
        <v>317</v>
      </c>
      <c r="AM16" s="30">
        <v>3007805.72</v>
      </c>
      <c r="AN16" s="214">
        <v>1235767832.04</v>
      </c>
      <c r="AO16" s="214">
        <v>1235767832.04</v>
      </c>
      <c r="AP16" s="475">
        <f>ROUND(AM16/AO16,9)</f>
        <v>0.002433957</v>
      </c>
      <c r="AQ16" s="73">
        <f aca="true" t="shared" si="17" ref="AQ16:AQ47">AQ15+1</f>
        <v>4</v>
      </c>
      <c r="AR16" s="261" t="s">
        <v>352</v>
      </c>
      <c r="AS16" s="15">
        <v>134575</v>
      </c>
      <c r="AT16" s="15">
        <v>141236</v>
      </c>
      <c r="AU16" s="238">
        <f t="shared" si="2"/>
        <v>6661</v>
      </c>
      <c r="AV16" s="12">
        <f>AV15+1</f>
        <v>3</v>
      </c>
      <c r="AW16" s="13" t="s">
        <v>69</v>
      </c>
      <c r="AX16" s="302"/>
      <c r="AY16" s="302"/>
      <c r="AZ16" s="445">
        <f>-(AZ15-AZ14)</f>
        <v>1054351.2300000004</v>
      </c>
      <c r="BA16" s="12">
        <v>3</v>
      </c>
      <c r="BB16" s="62" t="s">
        <v>167</v>
      </c>
      <c r="BC16" s="62"/>
      <c r="BD16" s="58">
        <f>BD14-BD15</f>
        <v>-391831.1134150028</v>
      </c>
      <c r="BE16" s="12">
        <f t="shared" si="3"/>
        <v>3</v>
      </c>
      <c r="BF16" s="261" t="s">
        <v>225</v>
      </c>
      <c r="BG16" s="280">
        <f>SUM(BG14:BG15)</f>
        <v>743652.788424</v>
      </c>
      <c r="BH16" s="280">
        <f>SUM(BH14:BH15)</f>
        <v>723034.881531953</v>
      </c>
      <c r="BI16" s="505">
        <f>SUM(BI14:BI15)</f>
        <v>-20617.90689204703</v>
      </c>
      <c r="BJ16" s="12">
        <f>+BJ15+1</f>
        <v>3</v>
      </c>
      <c r="BK16" s="299" t="s">
        <v>86</v>
      </c>
      <c r="BL16" s="299"/>
      <c r="BN16" s="478">
        <f>-BN14</f>
        <v>-187784</v>
      </c>
      <c r="BO16" s="45">
        <f aca="true" t="shared" si="18" ref="BO16:BO39">+BO15+1</f>
        <v>3</v>
      </c>
      <c r="BP16" s="226" t="s">
        <v>230</v>
      </c>
      <c r="BQ16" s="401" t="s">
        <v>310</v>
      </c>
      <c r="BS16" s="264">
        <f aca="true" t="shared" si="19" ref="BS16:BS26">BS15+1</f>
        <v>3</v>
      </c>
      <c r="BT16" s="267" t="s">
        <v>263</v>
      </c>
      <c r="BU16" s="509">
        <f>SUM(BU14:BU15)</f>
        <v>-860100.7056400019</v>
      </c>
      <c r="BV16" s="12">
        <f t="shared" si="4"/>
        <v>3</v>
      </c>
      <c r="BW16" s="13" t="s">
        <v>69</v>
      </c>
      <c r="BX16" s="50">
        <f>SUM(BX14:BX15)</f>
        <v>1208964.797162006</v>
      </c>
      <c r="BY16" s="50">
        <f>BX16+BZ16</f>
        <v>1373226.5594322544</v>
      </c>
      <c r="BZ16" s="50">
        <f>SUM(BZ14:BZ15)</f>
        <v>164261.76227024844</v>
      </c>
      <c r="CA16" s="12">
        <v>3</v>
      </c>
      <c r="CC16" s="14"/>
      <c r="CD16" s="14"/>
      <c r="CE16" s="56"/>
      <c r="CF16" s="12">
        <f t="shared" si="5"/>
        <v>3</v>
      </c>
      <c r="CG16" s="13" t="s">
        <v>135</v>
      </c>
      <c r="CH16" s="13"/>
      <c r="CI16" s="13"/>
      <c r="CJ16" s="56">
        <v>478721</v>
      </c>
      <c r="CK16" s="56">
        <v>503463</v>
      </c>
      <c r="CL16" s="56">
        <f aca="true" t="shared" si="20" ref="CL16:CL23">CK16-CJ16</f>
        <v>24742</v>
      </c>
      <c r="CM16" s="12">
        <f t="shared" si="6"/>
        <v>3</v>
      </c>
      <c r="CN16" s="334" t="s">
        <v>79</v>
      </c>
      <c r="CO16" s="305">
        <v>0.0479</v>
      </c>
      <c r="CP16" s="128">
        <f>CP15*CO16</f>
        <v>98421.088</v>
      </c>
      <c r="CQ16" s="2"/>
      <c r="CR16" s="12">
        <v>3</v>
      </c>
      <c r="CS16" s="13" t="s">
        <v>98</v>
      </c>
      <c r="CT16" s="15"/>
      <c r="CU16" s="53">
        <v>4676395.289</v>
      </c>
      <c r="CV16" s="12">
        <f t="shared" si="7"/>
        <v>3</v>
      </c>
      <c r="CW16" s="447" t="s">
        <v>135</v>
      </c>
      <c r="CX16" s="136">
        <v>32897</v>
      </c>
      <c r="CY16" s="136">
        <v>39533</v>
      </c>
      <c r="CZ16" s="52">
        <f t="shared" si="8"/>
        <v>6636</v>
      </c>
      <c r="DA16" s="12">
        <f t="shared" si="9"/>
        <v>3</v>
      </c>
      <c r="DB16" s="447"/>
      <c r="DC16" s="136"/>
      <c r="DD16" s="136"/>
      <c r="DE16" s="52"/>
      <c r="DF16" s="495">
        <f aca="true" t="shared" si="21" ref="DF16:DF34">+DF15+1</f>
        <v>3</v>
      </c>
      <c r="DG16" s="136" t="s">
        <v>392</v>
      </c>
      <c r="DH16" s="446"/>
      <c r="DI16" s="446">
        <v>1228388</v>
      </c>
      <c r="DJ16" s="446">
        <f>+DI16-DH16</f>
        <v>1228388</v>
      </c>
      <c r="DK16" s="12">
        <f t="shared" si="10"/>
        <v>3</v>
      </c>
      <c r="DL16" s="13" t="s">
        <v>74</v>
      </c>
      <c r="DM16" s="411"/>
      <c r="DN16" s="411"/>
      <c r="DO16" s="411"/>
      <c r="DP16" s="411"/>
      <c r="DQ16" s="12">
        <v>1</v>
      </c>
      <c r="DR16" s="13" t="s">
        <v>66</v>
      </c>
      <c r="DS16" s="80"/>
      <c r="DT16" s="25"/>
      <c r="DU16" s="25"/>
      <c r="DV16" s="25"/>
      <c r="DW16" s="25"/>
      <c r="DX16" s="25"/>
      <c r="DY16" s="12">
        <v>1</v>
      </c>
      <c r="DZ16" s="13" t="s">
        <v>66</v>
      </c>
      <c r="EA16" s="25"/>
      <c r="EE16" s="25"/>
      <c r="EH16" s="12">
        <v>1</v>
      </c>
      <c r="EI16" s="13" t="s">
        <v>66</v>
      </c>
      <c r="EO16" s="25"/>
      <c r="EP16" s="12">
        <v>1</v>
      </c>
      <c r="EQ16" s="13" t="s">
        <v>66</v>
      </c>
      <c r="EW16" s="30"/>
      <c r="EX16" s="25"/>
      <c r="EY16" s="12">
        <v>1</v>
      </c>
      <c r="EZ16" s="74" t="s">
        <v>0</v>
      </c>
      <c r="FA16" s="25"/>
      <c r="FG16" s="195" t="s">
        <v>202</v>
      </c>
    </row>
    <row r="17" spans="1:163" ht="14.25" customHeight="1" thickTop="1">
      <c r="A17" s="12">
        <f t="shared" si="11"/>
        <v>4</v>
      </c>
      <c r="B17" s="378">
        <v>38991</v>
      </c>
      <c r="C17" s="322">
        <v>82398883</v>
      </c>
      <c r="D17" s="322">
        <v>79616166</v>
      </c>
      <c r="E17" s="208">
        <f aca="true" t="shared" si="22" ref="E17:E28">+D17-C17</f>
        <v>-2782717</v>
      </c>
      <c r="G17" s="12">
        <f t="shared" si="12"/>
        <v>4</v>
      </c>
      <c r="H17" s="428" t="s">
        <v>343</v>
      </c>
      <c r="I17" s="267"/>
      <c r="J17" s="424">
        <v>-903738.7278212332</v>
      </c>
      <c r="K17" s="267"/>
      <c r="L17" s="12">
        <f t="shared" si="13"/>
        <v>4</v>
      </c>
      <c r="M17" s="261" t="s">
        <v>2</v>
      </c>
      <c r="N17" s="107">
        <v>4150352</v>
      </c>
      <c r="O17" s="128">
        <f>-N17</f>
        <v>-4150352</v>
      </c>
      <c r="P17" s="95">
        <f>+N17+O17</f>
        <v>0</v>
      </c>
      <c r="Q17" s="12">
        <f t="shared" si="14"/>
        <v>4</v>
      </c>
      <c r="R17" s="13" t="s">
        <v>72</v>
      </c>
      <c r="S17" s="138">
        <f>_FEDERAL_INCOME_TAX</f>
        <v>0.35</v>
      </c>
      <c r="T17" s="13"/>
      <c r="U17" s="7">
        <f>+U14*S17</f>
        <v>7836428.823449033</v>
      </c>
      <c r="V17" s="12">
        <f t="shared" si="15"/>
        <v>4</v>
      </c>
      <c r="Y17" s="237">
        <f>IF(X17=EX53,"","NEEDS UPDATING")</f>
      </c>
      <c r="Z17" s="12">
        <f t="shared" si="0"/>
        <v>4</v>
      </c>
      <c r="AA17" s="267" t="s">
        <v>321</v>
      </c>
      <c r="AB17" s="405">
        <v>1886500.0241250002</v>
      </c>
      <c r="AC17" s="405">
        <v>1886500.0241250002</v>
      </c>
      <c r="AD17" s="406">
        <f>AC17-AB17</f>
        <v>0</v>
      </c>
      <c r="AE17" s="437">
        <f t="shared" si="16"/>
        <v>4</v>
      </c>
      <c r="AF17" s="261" t="s">
        <v>364</v>
      </c>
      <c r="AG17" s="140"/>
      <c r="AH17" s="140"/>
      <c r="AI17" s="22">
        <v>39854848.633955985</v>
      </c>
      <c r="AK17" s="45">
        <f t="shared" si="1"/>
        <v>4</v>
      </c>
      <c r="AL17" s="215" t="s">
        <v>205</v>
      </c>
      <c r="AM17" s="473"/>
      <c r="AN17" s="402"/>
      <c r="AO17" s="472"/>
      <c r="AP17" s="474">
        <f>ROUND(SUM(AP14:AP16)/3,9)</f>
        <v>0.00278008</v>
      </c>
      <c r="AQ17" s="73">
        <f t="shared" si="17"/>
        <v>5</v>
      </c>
      <c r="AR17" s="261" t="s">
        <v>353</v>
      </c>
      <c r="AS17" s="15">
        <v>10061331</v>
      </c>
      <c r="AT17" s="15">
        <v>10503675</v>
      </c>
      <c r="AU17" s="238">
        <f t="shared" si="2"/>
        <v>442344</v>
      </c>
      <c r="AV17" s="12">
        <f>AV16+1</f>
        <v>4</v>
      </c>
      <c r="AX17" s="25"/>
      <c r="AY17" s="25"/>
      <c r="AZ17" s="25"/>
      <c r="BA17" s="12">
        <v>4</v>
      </c>
      <c r="BB17" s="126"/>
      <c r="BC17" s="126"/>
      <c r="BE17" s="12">
        <f t="shared" si="3"/>
        <v>4</v>
      </c>
      <c r="BF17" s="261"/>
      <c r="BG17" s="281"/>
      <c r="BH17" s="281"/>
      <c r="BI17" s="281"/>
      <c r="BJ17" s="12"/>
      <c r="BK17" s="22"/>
      <c r="BL17" s="22"/>
      <c r="BM17" s="2"/>
      <c r="BN17" s="22"/>
      <c r="BO17" s="45">
        <f t="shared" si="18"/>
        <v>4</v>
      </c>
      <c r="BP17" s="224" t="s">
        <v>231</v>
      </c>
      <c r="BQ17" s="290">
        <v>241861</v>
      </c>
      <c r="BR17" s="343"/>
      <c r="BS17" s="264">
        <f t="shared" si="19"/>
        <v>4</v>
      </c>
      <c r="BT17" s="323"/>
      <c r="BU17" s="267"/>
      <c r="BV17" s="12">
        <f t="shared" si="4"/>
        <v>4</v>
      </c>
      <c r="BW17" s="13"/>
      <c r="BZ17" s="52"/>
      <c r="CA17" s="12">
        <v>4</v>
      </c>
      <c r="CB17" s="13" t="s">
        <v>69</v>
      </c>
      <c r="CC17" s="50">
        <f>SUM(CC14:CC16)</f>
        <v>1718715.8200423345</v>
      </c>
      <c r="CD17" s="50">
        <f>SUM(CD14:CD16)</f>
        <v>1309865.1372423554</v>
      </c>
      <c r="CE17" s="50">
        <f>SUM(CE14:CE16)</f>
        <v>-408850.68279997923</v>
      </c>
      <c r="CF17" s="12">
        <f t="shared" si="5"/>
        <v>4</v>
      </c>
      <c r="CG17" s="13" t="s">
        <v>136</v>
      </c>
      <c r="CH17" s="13"/>
      <c r="CI17" s="13"/>
      <c r="CJ17" s="56">
        <v>475599</v>
      </c>
      <c r="CK17" s="56">
        <v>499345</v>
      </c>
      <c r="CL17" s="56">
        <f t="shared" si="20"/>
        <v>23746</v>
      </c>
      <c r="CM17" s="12">
        <f t="shared" si="6"/>
        <v>4</v>
      </c>
      <c r="CN17" s="294" t="s">
        <v>139</v>
      </c>
      <c r="CO17" s="332"/>
      <c r="CP17" s="332"/>
      <c r="CQ17" s="132">
        <f>SUM(CP15:CP16)</f>
        <v>2153141.088</v>
      </c>
      <c r="CR17" s="12">
        <v>4</v>
      </c>
      <c r="CS17" s="3" t="s">
        <v>102</v>
      </c>
      <c r="CT17" s="15"/>
      <c r="CU17" s="70">
        <f>SUM(CU15:CU16)</f>
        <v>9657899.0938</v>
      </c>
      <c r="CV17" s="12">
        <f t="shared" si="7"/>
        <v>4</v>
      </c>
      <c r="CW17" s="447" t="s">
        <v>136</v>
      </c>
      <c r="CX17" s="136">
        <v>32680</v>
      </c>
      <c r="CY17" s="136">
        <v>39210</v>
      </c>
      <c r="CZ17" s="52">
        <f t="shared" si="8"/>
        <v>6530</v>
      </c>
      <c r="DA17" s="12">
        <f t="shared" si="9"/>
        <v>4</v>
      </c>
      <c r="DB17" s="135" t="s">
        <v>69</v>
      </c>
      <c r="DC17" s="136"/>
      <c r="DD17" s="136"/>
      <c r="DE17" s="260">
        <f>+DE15</f>
        <v>-158844</v>
      </c>
      <c r="DF17" s="495">
        <f t="shared" si="21"/>
        <v>4</v>
      </c>
      <c r="DG17" s="136"/>
      <c r="DH17" s="136"/>
      <c r="DI17" s="136"/>
      <c r="DJ17" s="136"/>
      <c r="DK17" s="12">
        <f t="shared" si="10"/>
        <v>4</v>
      </c>
      <c r="DL17" s="13" t="s">
        <v>81</v>
      </c>
      <c r="DM17" s="411"/>
      <c r="DN17" s="411"/>
      <c r="DO17" s="411">
        <f>ROUND(AP17,5)</f>
        <v>0.00278</v>
      </c>
      <c r="DP17" s="413"/>
      <c r="DQ17" s="12">
        <f aca="true" t="shared" si="23" ref="DQ17:DQ41">+DQ16+1</f>
        <v>2</v>
      </c>
      <c r="DR17" s="13" t="s">
        <v>1</v>
      </c>
      <c r="DS17" s="8">
        <f>1218377283.36-AI18</f>
        <v>1169255872.01</v>
      </c>
      <c r="DT17" s="29">
        <f>+F41</f>
        <v>-24484887.630362354</v>
      </c>
      <c r="DU17" s="29">
        <f>K25</f>
        <v>-42249171.53852976</v>
      </c>
      <c r="DV17" s="29"/>
      <c r="DW17" s="29">
        <v>0</v>
      </c>
      <c r="DX17" s="29">
        <v>0</v>
      </c>
      <c r="DY17" s="12">
        <f aca="true" t="shared" si="24" ref="DY17:DY41">+DY16+1</f>
        <v>2</v>
      </c>
      <c r="DZ17" s="13" t="s">
        <v>1</v>
      </c>
      <c r="EA17" s="29">
        <v>0</v>
      </c>
      <c r="EB17" s="382">
        <f>-SUM(AI15:AI17)</f>
        <v>-48370162.603955984</v>
      </c>
      <c r="EC17" s="29">
        <v>0</v>
      </c>
      <c r="ED17" s="29">
        <v>0</v>
      </c>
      <c r="EE17" s="29">
        <v>0</v>
      </c>
      <c r="EF17" s="30">
        <v>0</v>
      </c>
      <c r="EG17" s="29"/>
      <c r="EH17" s="12">
        <f aca="true" t="shared" si="25" ref="EH17:EH41">+EH16+1</f>
        <v>2</v>
      </c>
      <c r="EI17" s="13" t="s">
        <v>1</v>
      </c>
      <c r="EJ17" s="29">
        <v>0</v>
      </c>
      <c r="EK17" s="30">
        <v>0</v>
      </c>
      <c r="EL17" s="29"/>
      <c r="EM17" s="30">
        <v>0</v>
      </c>
      <c r="EN17" s="30">
        <v>0</v>
      </c>
      <c r="EO17" s="29">
        <v>0</v>
      </c>
      <c r="EP17" s="12">
        <f aca="true" t="shared" si="26" ref="EP17:EP33">+EP16+1</f>
        <v>2</v>
      </c>
      <c r="EQ17" s="13" t="s">
        <v>1</v>
      </c>
      <c r="ER17" s="30">
        <v>0</v>
      </c>
      <c r="ES17" s="29">
        <v>0</v>
      </c>
      <c r="ET17" s="29">
        <v>0</v>
      </c>
      <c r="EU17" s="29">
        <v>0</v>
      </c>
      <c r="EV17" s="29">
        <f>DJ16</f>
        <v>1228388</v>
      </c>
      <c r="EW17" s="30">
        <f>SUM(DT17:EV17)-EH17-DY17-EP17</f>
        <v>-113875833.7728481</v>
      </c>
      <c r="EX17" s="30">
        <f>DS17+EW17</f>
        <v>1055380038.2371519</v>
      </c>
      <c r="EY17" s="12">
        <f aca="true" t="shared" si="27" ref="EY17:EY41">+EY16+1</f>
        <v>2</v>
      </c>
      <c r="EZ17" s="13" t="s">
        <v>1</v>
      </c>
      <c r="FA17" s="29">
        <f>DS17</f>
        <v>1169255872.01</v>
      </c>
      <c r="FB17" s="29">
        <f>EW17</f>
        <v>-113875833.7728481</v>
      </c>
      <c r="FC17" s="93">
        <f>FA17+FB17</f>
        <v>1055380038.2371519</v>
      </c>
      <c r="FD17" s="93">
        <f>+FD20-FD19-FD18</f>
        <v>48062673</v>
      </c>
      <c r="FE17" s="93">
        <f>FC17+FD17</f>
        <v>1103442711.2371519</v>
      </c>
      <c r="FF17" s="93"/>
      <c r="FG17" s="444">
        <f>FD17/FC17</f>
        <v>0.045540631107900444</v>
      </c>
    </row>
    <row r="18" spans="1:163" ht="14.25" customHeight="1" thickBot="1">
      <c r="A18" s="12">
        <f t="shared" si="11"/>
        <v>5</v>
      </c>
      <c r="B18" s="378">
        <v>39022</v>
      </c>
      <c r="C18" s="322">
        <v>122310200</v>
      </c>
      <c r="D18" s="322">
        <v>119321723</v>
      </c>
      <c r="E18" s="388">
        <f t="shared" si="22"/>
        <v>-2988477</v>
      </c>
      <c r="F18" s="15"/>
      <c r="G18" s="12">
        <f t="shared" si="12"/>
        <v>5</v>
      </c>
      <c r="H18" s="399" t="s">
        <v>344</v>
      </c>
      <c r="I18" s="416"/>
      <c r="J18" s="461"/>
      <c r="K18" s="267"/>
      <c r="L18" s="12">
        <f t="shared" si="13"/>
        <v>5</v>
      </c>
      <c r="M18" s="261" t="s">
        <v>3</v>
      </c>
      <c r="N18" s="29">
        <f>SUM(N15:N17)</f>
        <v>4150352</v>
      </c>
      <c r="O18" s="29">
        <f>SUM(O15:O17)</f>
        <v>-4150352</v>
      </c>
      <c r="P18" s="50">
        <f>SUM(P15:P17)</f>
        <v>0</v>
      </c>
      <c r="Q18" s="12">
        <f t="shared" si="14"/>
        <v>5</v>
      </c>
      <c r="R18" s="13" t="s">
        <v>78</v>
      </c>
      <c r="S18" s="13"/>
      <c r="T18" s="410"/>
      <c r="U18" s="9">
        <v>43360625</v>
      </c>
      <c r="V18" s="12">
        <f t="shared" si="15"/>
        <v>5</v>
      </c>
      <c r="W18" s="235" t="s">
        <v>141</v>
      </c>
      <c r="X18" s="501">
        <f>DO46</f>
        <v>0.0358</v>
      </c>
      <c r="Y18" s="102" t="s">
        <v>19</v>
      </c>
      <c r="Z18" s="12">
        <f t="shared" si="0"/>
        <v>5</v>
      </c>
      <c r="AA18" s="267" t="s">
        <v>322</v>
      </c>
      <c r="AB18" s="407">
        <f>SUM(AB15:AB17)</f>
        <v>72282512.54222499</v>
      </c>
      <c r="AC18" s="407">
        <f>SUM(AC15:AC17)</f>
        <v>86343483.72513777</v>
      </c>
      <c r="AD18" s="407">
        <f>SUM(AD15:AD17)</f>
        <v>14060971.18291278</v>
      </c>
      <c r="AE18" s="437">
        <f t="shared" si="16"/>
        <v>5</v>
      </c>
      <c r="AF18" s="261" t="s">
        <v>312</v>
      </c>
      <c r="AG18" s="102"/>
      <c r="AH18" s="102"/>
      <c r="AI18" s="22">
        <v>49121411.349999994</v>
      </c>
      <c r="AK18" s="45">
        <f t="shared" si="1"/>
        <v>5</v>
      </c>
      <c r="AM18" s="473"/>
      <c r="AN18" s="402"/>
      <c r="AO18" s="472"/>
      <c r="AQ18" s="73">
        <f t="shared" si="17"/>
        <v>6</v>
      </c>
      <c r="AR18" s="3" t="s">
        <v>351</v>
      </c>
      <c r="AS18" s="15">
        <v>-168077</v>
      </c>
      <c r="AT18" s="15"/>
      <c r="AU18" s="238">
        <f t="shared" si="2"/>
        <v>168077</v>
      </c>
      <c r="AV18" s="12">
        <f>AV17+1</f>
        <v>5</v>
      </c>
      <c r="AW18" s="13" t="s">
        <v>77</v>
      </c>
      <c r="AX18" s="16">
        <f>_FEDERAL_INCOME_TAX</f>
        <v>0.35</v>
      </c>
      <c r="AZ18" s="452">
        <f>-AZ16*AX18</f>
        <v>-369022.93050000013</v>
      </c>
      <c r="BA18" s="12">
        <v>5</v>
      </c>
      <c r="BB18" s="63" t="s">
        <v>169</v>
      </c>
      <c r="BC18" s="63"/>
      <c r="BD18" s="30">
        <v>2451362.5155</v>
      </c>
      <c r="BE18" s="12">
        <f>BE17+1</f>
        <v>5</v>
      </c>
      <c r="BF18" s="261" t="s">
        <v>68</v>
      </c>
      <c r="BG18" s="281"/>
      <c r="BH18" s="281"/>
      <c r="BI18" s="94">
        <f>BI16</f>
        <v>-20617.90689204703</v>
      </c>
      <c r="BJ18" s="350"/>
      <c r="BK18" s="300"/>
      <c r="BL18" s="300"/>
      <c r="BM18" s="2"/>
      <c r="BN18" s="70"/>
      <c r="BO18" s="45">
        <f t="shared" si="18"/>
        <v>5</v>
      </c>
      <c r="BP18" s="226" t="s">
        <v>68</v>
      </c>
      <c r="BQ18" s="342">
        <f>-BQ17</f>
        <v>-241861</v>
      </c>
      <c r="BR18" s="343">
        <f>BQ18</f>
        <v>-241861</v>
      </c>
      <c r="BS18" s="264">
        <f t="shared" si="19"/>
        <v>5</v>
      </c>
      <c r="BT18" s="324" t="s">
        <v>264</v>
      </c>
      <c r="BU18" s="327">
        <f>BU16/3</f>
        <v>-286700.235213334</v>
      </c>
      <c r="BV18" s="12">
        <f t="shared" si="4"/>
        <v>5</v>
      </c>
      <c r="BZ18" s="15"/>
      <c r="CA18" s="12">
        <v>5</v>
      </c>
      <c r="CB18" s="13"/>
      <c r="CE18" s="52"/>
      <c r="CF18" s="12">
        <f t="shared" si="5"/>
        <v>5</v>
      </c>
      <c r="CG18" s="13" t="s">
        <v>88</v>
      </c>
      <c r="CH18" s="13"/>
      <c r="CI18" s="13"/>
      <c r="CJ18" s="56">
        <v>246149</v>
      </c>
      <c r="CK18" s="56">
        <v>260558</v>
      </c>
      <c r="CL18" s="56">
        <f t="shared" si="20"/>
        <v>14409</v>
      </c>
      <c r="CM18" s="12">
        <f t="shared" si="6"/>
        <v>5</v>
      </c>
      <c r="CN18" s="334"/>
      <c r="CO18" s="334"/>
      <c r="CP18" s="334"/>
      <c r="CQ18" s="132"/>
      <c r="CR18" s="12">
        <v>5</v>
      </c>
      <c r="CT18" s="15"/>
      <c r="CU18" s="52"/>
      <c r="CV18" s="12">
        <f t="shared" si="7"/>
        <v>5</v>
      </c>
      <c r="CW18" s="447" t="s">
        <v>88</v>
      </c>
      <c r="CX18" s="136">
        <v>16907</v>
      </c>
      <c r="CY18" s="136">
        <v>20469</v>
      </c>
      <c r="CZ18" s="52">
        <f t="shared" si="8"/>
        <v>3562</v>
      </c>
      <c r="DA18" s="12">
        <f t="shared" si="9"/>
        <v>5</v>
      </c>
      <c r="DB18" s="135"/>
      <c r="DC18" s="136"/>
      <c r="DD18" s="136"/>
      <c r="DE18" s="259"/>
      <c r="DF18" s="495">
        <f t="shared" si="21"/>
        <v>5</v>
      </c>
      <c r="DG18" s="136" t="s">
        <v>393</v>
      </c>
      <c r="DH18" s="136"/>
      <c r="DI18" s="136"/>
      <c r="DJ18" s="446"/>
      <c r="DK18" s="12">
        <f t="shared" si="10"/>
        <v>5</v>
      </c>
      <c r="DL18" s="3" t="s">
        <v>84</v>
      </c>
      <c r="DM18" s="411"/>
      <c r="DN18" s="411"/>
      <c r="DO18" s="411"/>
      <c r="DP18" s="411"/>
      <c r="DQ18" s="12">
        <f t="shared" si="23"/>
        <v>3</v>
      </c>
      <c r="DR18" s="13" t="s">
        <v>73</v>
      </c>
      <c r="DS18" s="56">
        <f>AI18+AI19</f>
        <v>49479593.8</v>
      </c>
      <c r="DT18" s="52"/>
      <c r="DU18" s="52"/>
      <c r="DV18" s="52"/>
      <c r="DW18" s="52"/>
      <c r="DX18" s="52"/>
      <c r="DY18" s="12">
        <f t="shared" si="24"/>
        <v>3</v>
      </c>
      <c r="DZ18" s="13" t="s">
        <v>73</v>
      </c>
      <c r="EA18" s="52"/>
      <c r="EB18" s="52">
        <f>-SUM(AI18:AI19)</f>
        <v>-49479593.8</v>
      </c>
      <c r="EC18" s="52"/>
      <c r="ED18" s="56"/>
      <c r="EE18" s="52"/>
      <c r="EF18" s="52"/>
      <c r="EG18" s="52"/>
      <c r="EH18" s="12">
        <f t="shared" si="25"/>
        <v>3</v>
      </c>
      <c r="EI18" s="13" t="s">
        <v>73</v>
      </c>
      <c r="EJ18" s="52"/>
      <c r="EK18" s="52"/>
      <c r="EL18" s="52"/>
      <c r="EM18" s="52"/>
      <c r="EN18" s="52"/>
      <c r="EO18" s="52"/>
      <c r="EP18" s="12">
        <f t="shared" si="26"/>
        <v>3</v>
      </c>
      <c r="EQ18" s="13" t="s">
        <v>73</v>
      </c>
      <c r="ER18" s="52"/>
      <c r="ES18" s="52"/>
      <c r="ET18" s="52"/>
      <c r="EU18" s="52"/>
      <c r="EV18" s="52"/>
      <c r="EW18" s="52">
        <f>SUM(DT18:EV18)-EH18-DY18-EP18</f>
        <v>-49479593.8</v>
      </c>
      <c r="EX18" s="52">
        <f>DS18+EW18</f>
        <v>0</v>
      </c>
      <c r="EY18" s="12">
        <f t="shared" si="27"/>
        <v>3</v>
      </c>
      <c r="EZ18" s="13" t="str">
        <f>DR18</f>
        <v>MUNICIPAL ADDITIONS</v>
      </c>
      <c r="FA18" s="9">
        <f>DS18</f>
        <v>49479593.8</v>
      </c>
      <c r="FB18" s="123">
        <f>EW18</f>
        <v>-49479593.8</v>
      </c>
      <c r="FC18" s="94">
        <f>+FA18+FB18</f>
        <v>0</v>
      </c>
      <c r="FD18" s="94">
        <f>+FD$20*(FC18/FC$20)</f>
        <v>0</v>
      </c>
      <c r="FE18" s="94">
        <f>+FC18+FD18</f>
        <v>0</v>
      </c>
      <c r="FF18" s="94"/>
      <c r="FG18" s="443"/>
    </row>
    <row r="19" spans="1:163" ht="15" thickBot="1" thickTop="1">
      <c r="A19" s="12">
        <f t="shared" si="11"/>
        <v>6</v>
      </c>
      <c r="B19" s="378">
        <v>39052</v>
      </c>
      <c r="C19" s="322">
        <v>152312019</v>
      </c>
      <c r="D19" s="322">
        <v>151250129</v>
      </c>
      <c r="E19" s="388">
        <f t="shared" si="22"/>
        <v>-1061890</v>
      </c>
      <c r="G19" s="12">
        <f t="shared" si="12"/>
        <v>6</v>
      </c>
      <c r="H19" s="428" t="s">
        <v>345</v>
      </c>
      <c r="I19" s="416"/>
      <c r="J19" s="136">
        <v>-47385173.73641455</v>
      </c>
      <c r="K19" s="267"/>
      <c r="L19" s="12">
        <f t="shared" si="13"/>
        <v>6</v>
      </c>
      <c r="M19" s="334"/>
      <c r="N19" s="334"/>
      <c r="O19" s="334"/>
      <c r="P19" s="334"/>
      <c r="Q19" s="12">
        <f t="shared" si="14"/>
        <v>6</v>
      </c>
      <c r="R19" s="3" t="s">
        <v>83</v>
      </c>
      <c r="T19" s="410"/>
      <c r="U19" s="9">
        <v>-33624571</v>
      </c>
      <c r="V19" s="12">
        <f t="shared" si="15"/>
        <v>6</v>
      </c>
      <c r="W19" s="235" t="s">
        <v>260</v>
      </c>
      <c r="X19" s="302"/>
      <c r="Y19" s="499">
        <f>X16*X18</f>
        <v>49921477.34814451</v>
      </c>
      <c r="Z19" s="12">
        <f t="shared" si="0"/>
        <v>6</v>
      </c>
      <c r="AA19" s="267"/>
      <c r="AB19" s="408"/>
      <c r="AC19" s="408"/>
      <c r="AD19" s="408"/>
      <c r="AE19" s="437">
        <f t="shared" si="16"/>
        <v>6</v>
      </c>
      <c r="AF19" s="267" t="s">
        <v>311</v>
      </c>
      <c r="AG19" s="102"/>
      <c r="AH19" s="102"/>
      <c r="AI19" s="22">
        <v>358182.45</v>
      </c>
      <c r="AK19" s="45">
        <f>1+AK18</f>
        <v>6</v>
      </c>
      <c r="AL19" s="216" t="s">
        <v>206</v>
      </c>
      <c r="AN19" s="214">
        <f>DS20</f>
        <v>1235767832.36</v>
      </c>
      <c r="AO19" s="214">
        <f>AN19</f>
        <v>1235767832.36</v>
      </c>
      <c r="AQ19" s="73">
        <f t="shared" si="17"/>
        <v>7</v>
      </c>
      <c r="AR19" s="3" t="s">
        <v>374</v>
      </c>
      <c r="AS19" s="15">
        <v>30140.883295</v>
      </c>
      <c r="AT19" s="15">
        <v>0</v>
      </c>
      <c r="AU19" s="238">
        <f t="shared" si="2"/>
        <v>-30140.883295</v>
      </c>
      <c r="AV19" s="12">
        <f>AV18+1</f>
        <v>6</v>
      </c>
      <c r="AW19" s="13" t="s">
        <v>82</v>
      </c>
      <c r="AX19" s="27"/>
      <c r="AY19" s="25"/>
      <c r="AZ19" s="451">
        <f>-AZ16-AZ18</f>
        <v>-685328.2995000003</v>
      </c>
      <c r="BA19" s="12">
        <v>6</v>
      </c>
      <c r="BB19" s="61" t="s">
        <v>166</v>
      </c>
      <c r="BC19" s="61"/>
      <c r="BD19" s="65">
        <v>2527692.43</v>
      </c>
      <c r="BE19" s="12">
        <f t="shared" si="3"/>
        <v>6</v>
      </c>
      <c r="BF19" s="261"/>
      <c r="BG19" s="281"/>
      <c r="BH19" s="281"/>
      <c r="BI19" s="94"/>
      <c r="BJ19" s="12"/>
      <c r="BK19" s="207"/>
      <c r="BL19" s="207"/>
      <c r="BM19" s="2"/>
      <c r="BN19" s="207"/>
      <c r="BO19" s="45">
        <f t="shared" si="18"/>
        <v>6</v>
      </c>
      <c r="BP19" s="226"/>
      <c r="BQ19" s="288"/>
      <c r="BR19" s="289"/>
      <c r="BS19" s="264">
        <f t="shared" si="19"/>
        <v>6</v>
      </c>
      <c r="BT19" s="322"/>
      <c r="BU19" s="267"/>
      <c r="BV19" s="12">
        <f t="shared" si="4"/>
        <v>6</v>
      </c>
      <c r="BW19" s="13" t="s">
        <v>75</v>
      </c>
      <c r="BX19" s="77">
        <f>_FEDERAL_INCOME_TAX</f>
        <v>0.35</v>
      </c>
      <c r="BY19" s="16"/>
      <c r="BZ19" s="56">
        <f>BX19*-BZ16</f>
        <v>-57491.616794586946</v>
      </c>
      <c r="CA19" s="12">
        <v>6</v>
      </c>
      <c r="CE19" s="15"/>
      <c r="CF19" s="12">
        <f t="shared" si="5"/>
        <v>6</v>
      </c>
      <c r="CG19" s="13" t="s">
        <v>92</v>
      </c>
      <c r="CH19" s="13"/>
      <c r="CI19" s="13"/>
      <c r="CJ19" s="56">
        <v>17003356</v>
      </c>
      <c r="CK19" s="56">
        <v>18102499</v>
      </c>
      <c r="CL19" s="56">
        <f t="shared" si="20"/>
        <v>1099143</v>
      </c>
      <c r="CM19" s="12">
        <f t="shared" si="6"/>
        <v>6</v>
      </c>
      <c r="CN19" s="333" t="s">
        <v>247</v>
      </c>
      <c r="CO19" s="86"/>
      <c r="CP19" s="86"/>
      <c r="CQ19" s="132"/>
      <c r="CR19" s="12">
        <v>6</v>
      </c>
      <c r="CS19" s="88" t="s">
        <v>105</v>
      </c>
      <c r="CT19" s="305">
        <v>0.5572</v>
      </c>
      <c r="CU19" s="52">
        <f>CU17*CT19</f>
        <v>5381381.375065361</v>
      </c>
      <c r="CV19" s="12">
        <f t="shared" si="7"/>
        <v>6</v>
      </c>
      <c r="CW19" s="447" t="s">
        <v>92</v>
      </c>
      <c r="CX19" s="136">
        <v>1168107</v>
      </c>
      <c r="CY19" s="136">
        <v>1421533</v>
      </c>
      <c r="CZ19" s="52">
        <f t="shared" si="8"/>
        <v>253426</v>
      </c>
      <c r="DA19" s="12">
        <f t="shared" si="9"/>
        <v>6</v>
      </c>
      <c r="DB19" s="135" t="s">
        <v>200</v>
      </c>
      <c r="DC19" s="136"/>
      <c r="DD19" s="136"/>
      <c r="DE19" s="259">
        <f>DE17</f>
        <v>-158844</v>
      </c>
      <c r="DF19" s="495">
        <f t="shared" si="21"/>
        <v>6</v>
      </c>
      <c r="DG19" s="136"/>
      <c r="DH19" s="136"/>
      <c r="DI19" s="136"/>
      <c r="DJ19" s="136"/>
      <c r="DK19" s="12">
        <f t="shared" si="10"/>
        <v>6</v>
      </c>
      <c r="DL19" s="13" t="s">
        <v>89</v>
      </c>
      <c r="DM19" s="411">
        <v>1</v>
      </c>
      <c r="DN19" s="411"/>
      <c r="DO19" s="411"/>
      <c r="DP19" s="411"/>
      <c r="DQ19" s="12">
        <f t="shared" si="23"/>
        <v>4</v>
      </c>
      <c r="DR19" s="13" t="s">
        <v>2</v>
      </c>
      <c r="DS19" s="56">
        <f>17390549-AI19</f>
        <v>17032366.55</v>
      </c>
      <c r="DT19" s="52"/>
      <c r="DU19" s="52">
        <f>K34</f>
        <v>1198418.7878212328</v>
      </c>
      <c r="DV19" s="52">
        <f>O17</f>
        <v>-4150352</v>
      </c>
      <c r="DW19" s="52"/>
      <c r="DX19" s="302"/>
      <c r="DY19" s="12">
        <f t="shared" si="24"/>
        <v>4</v>
      </c>
      <c r="DZ19" s="13" t="s">
        <v>2</v>
      </c>
      <c r="EA19" s="52"/>
      <c r="EB19" s="53"/>
      <c r="EC19" s="52"/>
      <c r="ED19" s="65"/>
      <c r="EE19" s="53"/>
      <c r="EF19" s="53"/>
      <c r="EG19" s="53"/>
      <c r="EH19" s="12">
        <f t="shared" si="25"/>
        <v>4</v>
      </c>
      <c r="EI19" s="13" t="s">
        <v>2</v>
      </c>
      <c r="EJ19" s="53" t="s">
        <v>19</v>
      </c>
      <c r="EK19" s="53"/>
      <c r="EL19" s="53"/>
      <c r="EM19" s="53"/>
      <c r="EN19" s="53"/>
      <c r="EO19" s="53"/>
      <c r="EP19" s="12">
        <f t="shared" si="26"/>
        <v>4</v>
      </c>
      <c r="EQ19" s="13" t="s">
        <v>2</v>
      </c>
      <c r="ER19" s="53"/>
      <c r="ES19" s="53"/>
      <c r="ET19" s="53"/>
      <c r="EU19" s="53"/>
      <c r="EV19" s="53"/>
      <c r="EW19" s="53">
        <f>SUM(DT19:EV19)-EH19-DY19-EP19</f>
        <v>-2951933.212178767</v>
      </c>
      <c r="EX19" s="53">
        <f>DS19+EW19</f>
        <v>14080433.337821234</v>
      </c>
      <c r="EY19" s="12">
        <f t="shared" si="27"/>
        <v>4</v>
      </c>
      <c r="EZ19" s="13" t="s">
        <v>2</v>
      </c>
      <c r="FA19" s="107">
        <f>DS19</f>
        <v>17032366.55</v>
      </c>
      <c r="FB19" s="128">
        <f>EW19</f>
        <v>-2951933.212178767</v>
      </c>
      <c r="FC19" s="95">
        <f>+FA19+FB19</f>
        <v>14080433.337821234</v>
      </c>
      <c r="FD19" s="95">
        <v>1150024</v>
      </c>
      <c r="FE19" s="95">
        <f>+FC19+FD19</f>
        <v>15230457.337821234</v>
      </c>
      <c r="FF19" s="67"/>
      <c r="FG19" s="196">
        <f>+FD19/FC19</f>
        <v>0.08167532720111237</v>
      </c>
    </row>
    <row r="20" spans="1:163" ht="14.25" customHeight="1" thickBot="1" thickTop="1">
      <c r="A20" s="12">
        <f t="shared" si="11"/>
        <v>7</v>
      </c>
      <c r="B20" s="378">
        <v>39083</v>
      </c>
      <c r="C20" s="322">
        <v>162522738</v>
      </c>
      <c r="D20" s="322">
        <v>146997535</v>
      </c>
      <c r="E20" s="388">
        <f t="shared" si="22"/>
        <v>-15525203</v>
      </c>
      <c r="G20" s="12">
        <f t="shared" si="12"/>
        <v>7</v>
      </c>
      <c r="H20" s="399" t="s">
        <v>333</v>
      </c>
      <c r="I20" s="416"/>
      <c r="J20" s="136">
        <v>-2218410.955238052</v>
      </c>
      <c r="K20" s="267"/>
      <c r="L20" s="12">
        <f t="shared" si="13"/>
        <v>7</v>
      </c>
      <c r="M20" s="334"/>
      <c r="N20" s="335"/>
      <c r="O20" s="335"/>
      <c r="P20" s="335"/>
      <c r="Q20" s="12">
        <f t="shared" si="14"/>
        <v>7</v>
      </c>
      <c r="R20" s="3" t="s">
        <v>87</v>
      </c>
      <c r="T20" s="410"/>
      <c r="U20" s="306">
        <v>-902422.5</v>
      </c>
      <c r="V20" s="12">
        <f t="shared" si="15"/>
        <v>7</v>
      </c>
      <c r="W20" s="235"/>
      <c r="X20" s="239"/>
      <c r="Y20" s="102" t="s">
        <v>19</v>
      </c>
      <c r="Z20" s="12">
        <f t="shared" si="0"/>
        <v>7</v>
      </c>
      <c r="AA20" s="267" t="s">
        <v>323</v>
      </c>
      <c r="AB20" s="406">
        <v>614403.38</v>
      </c>
      <c r="AC20" s="406">
        <v>614403.38</v>
      </c>
      <c r="AD20" s="405">
        <f>AC20-AB20</f>
        <v>0</v>
      </c>
      <c r="AE20" s="437">
        <f t="shared" si="16"/>
        <v>7</v>
      </c>
      <c r="AF20" s="102" t="s">
        <v>358</v>
      </c>
      <c r="AG20" s="102"/>
      <c r="AH20" s="102"/>
      <c r="AI20" s="439">
        <f>SUM(AI15:AI19)</f>
        <v>97849756.40395598</v>
      </c>
      <c r="AJ20" s="310"/>
      <c r="AK20" s="45">
        <f>1+AK19</f>
        <v>7</v>
      </c>
      <c r="AL20" s="135"/>
      <c r="AQ20" s="73">
        <f t="shared" si="17"/>
        <v>8</v>
      </c>
      <c r="AR20" s="3" t="s">
        <v>374</v>
      </c>
      <c r="AS20" s="15">
        <v>27648.487965</v>
      </c>
      <c r="AT20" s="15">
        <v>0</v>
      </c>
      <c r="AU20" s="238">
        <f t="shared" si="2"/>
        <v>-27648.487965</v>
      </c>
      <c r="AV20" s="25"/>
      <c r="AW20" s="25"/>
      <c r="AX20" s="25"/>
      <c r="AY20" s="25"/>
      <c r="AZ20" s="25"/>
      <c r="BA20" s="12">
        <v>7</v>
      </c>
      <c r="BB20" s="64" t="s">
        <v>168</v>
      </c>
      <c r="BC20" s="64"/>
      <c r="BD20" s="59">
        <f>BD18-BD19</f>
        <v>-76329.91449999996</v>
      </c>
      <c r="BE20" s="12">
        <f>BE19+1</f>
        <v>7</v>
      </c>
      <c r="BF20" s="261" t="s">
        <v>75</v>
      </c>
      <c r="BG20" s="281"/>
      <c r="BH20" s="282">
        <f>_FEDERAL_INCOME_TAX</f>
        <v>0.35</v>
      </c>
      <c r="BI20" s="506">
        <f>-BI18*BH20</f>
        <v>7216.26741221646</v>
      </c>
      <c r="BJ20" s="12"/>
      <c r="BK20" s="2"/>
      <c r="BL20" s="2"/>
      <c r="BM20" s="194"/>
      <c r="BN20" s="70"/>
      <c r="BO20" s="45">
        <f t="shared" si="18"/>
        <v>7</v>
      </c>
      <c r="BS20" s="264">
        <f t="shared" si="19"/>
        <v>7</v>
      </c>
      <c r="BT20" s="257" t="s">
        <v>265</v>
      </c>
      <c r="BU20" s="327">
        <v>-504501.83</v>
      </c>
      <c r="BV20" s="12">
        <f t="shared" si="4"/>
        <v>7</v>
      </c>
      <c r="BW20" s="13" t="s">
        <v>86</v>
      </c>
      <c r="BZ20" s="352">
        <f>-BZ16-BZ19</f>
        <v>-106770.1454756615</v>
      </c>
      <c r="CA20" s="12">
        <v>7</v>
      </c>
      <c r="CB20" s="13" t="s">
        <v>75</v>
      </c>
      <c r="CC20" s="77">
        <f>_FEDERAL_INCOME_TAX</f>
        <v>0.35</v>
      </c>
      <c r="CD20" s="16"/>
      <c r="CE20" s="56">
        <f>CC20*-CE17</f>
        <v>143097.73897999272</v>
      </c>
      <c r="CF20" s="12">
        <f>CF19+1</f>
        <v>7</v>
      </c>
      <c r="CG20" s="13" t="s">
        <v>94</v>
      </c>
      <c r="CH20" s="13"/>
      <c r="CI20" s="13"/>
      <c r="CJ20" s="56">
        <v>6116658</v>
      </c>
      <c r="CK20" s="56">
        <v>6541419</v>
      </c>
      <c r="CL20" s="56">
        <f t="shared" si="20"/>
        <v>424761</v>
      </c>
      <c r="CM20" s="12">
        <f t="shared" si="6"/>
        <v>7</v>
      </c>
      <c r="CN20" s="261" t="s">
        <v>248</v>
      </c>
      <c r="CO20" s="332"/>
      <c r="CP20" s="123">
        <v>541567</v>
      </c>
      <c r="CQ20" s="2"/>
      <c r="CR20" s="12">
        <v>7</v>
      </c>
      <c r="CS20" s="33" t="s">
        <v>277</v>
      </c>
      <c r="CT20" s="16"/>
      <c r="CU20" s="53">
        <v>4493039.803592312</v>
      </c>
      <c r="CV20" s="12">
        <f>CV19+1</f>
        <v>7</v>
      </c>
      <c r="CW20" s="447" t="s">
        <v>94</v>
      </c>
      <c r="CX20" s="136">
        <v>420197</v>
      </c>
      <c r="CY20" s="136">
        <v>513689</v>
      </c>
      <c r="CZ20" s="52">
        <f t="shared" si="8"/>
        <v>93492</v>
      </c>
      <c r="DA20" s="12">
        <f t="shared" si="9"/>
        <v>7</v>
      </c>
      <c r="DF20" s="495">
        <f t="shared" si="21"/>
        <v>7</v>
      </c>
      <c r="DG20" s="136" t="s">
        <v>94</v>
      </c>
      <c r="DH20" s="512">
        <v>0.00278</v>
      </c>
      <c r="DI20" s="136"/>
      <c r="DJ20" s="136">
        <f>DJ16*DH20</f>
        <v>3414.91864</v>
      </c>
      <c r="DK20" s="12">
        <f>+DK19+1</f>
        <v>7</v>
      </c>
      <c r="DM20" s="411">
        <f>-DO17</f>
        <v>-0.00278</v>
      </c>
      <c r="DN20" s="411"/>
      <c r="DO20" s="411"/>
      <c r="DP20" s="411"/>
      <c r="DQ20" s="12">
        <f t="shared" si="23"/>
        <v>5</v>
      </c>
      <c r="DR20" s="13" t="s">
        <v>3</v>
      </c>
      <c r="DS20" s="50">
        <f aca="true" t="shared" si="28" ref="DS20:DX20">SUM(DS17:DS19)</f>
        <v>1235767832.36</v>
      </c>
      <c r="DT20" s="50">
        <f t="shared" si="28"/>
        <v>-24484887.630362354</v>
      </c>
      <c r="DU20" s="50">
        <f t="shared" si="28"/>
        <v>-41050752.75070853</v>
      </c>
      <c r="DV20" s="50">
        <f t="shared" si="28"/>
        <v>-4150352</v>
      </c>
      <c r="DW20" s="50">
        <f t="shared" si="28"/>
        <v>0</v>
      </c>
      <c r="DX20" s="50">
        <f t="shared" si="28"/>
        <v>0</v>
      </c>
      <c r="DY20" s="12">
        <f t="shared" si="24"/>
        <v>5</v>
      </c>
      <c r="DZ20" s="13" t="s">
        <v>3</v>
      </c>
      <c r="EA20" s="50">
        <f aca="true" t="shared" si="29" ref="EA20:EF20">SUM(EA17:EA19)</f>
        <v>0</v>
      </c>
      <c r="EB20" s="50">
        <f>SUM(EB17:EB19)</f>
        <v>-97849756.40395598</v>
      </c>
      <c r="EC20" s="50">
        <f t="shared" si="29"/>
        <v>0</v>
      </c>
      <c r="ED20" s="50">
        <f t="shared" si="29"/>
        <v>0</v>
      </c>
      <c r="EE20" s="50">
        <f t="shared" si="29"/>
        <v>0</v>
      </c>
      <c r="EF20" s="24">
        <f t="shared" si="29"/>
        <v>0</v>
      </c>
      <c r="EG20" s="58">
        <f>SUM(EG16:EG19)</f>
        <v>0</v>
      </c>
      <c r="EH20" s="12">
        <f t="shared" si="25"/>
        <v>5</v>
      </c>
      <c r="EI20" s="13" t="s">
        <v>3</v>
      </c>
      <c r="EJ20" s="50">
        <f>SUM(EJ17:EJ19)</f>
        <v>0</v>
      </c>
      <c r="EK20" s="24">
        <f>SUM(EK17:EK19)</f>
        <v>0</v>
      </c>
      <c r="EL20" s="50">
        <f>SUM(EL17:EL19)</f>
        <v>0</v>
      </c>
      <c r="EM20" s="24">
        <f>SUM(EM17:EM19)</f>
        <v>0</v>
      </c>
      <c r="EN20" s="24">
        <f>SUM(EN17:EN19)</f>
        <v>0</v>
      </c>
      <c r="EO20" s="50">
        <f>SUM(EO17:EO19)</f>
        <v>0</v>
      </c>
      <c r="EP20" s="12">
        <f t="shared" si="26"/>
        <v>5</v>
      </c>
      <c r="EQ20" s="13" t="s">
        <v>3</v>
      </c>
      <c r="ER20" s="24">
        <f>SUM(ER17:ER19)</f>
        <v>0</v>
      </c>
      <c r="ES20" s="50">
        <f>SUM(ES17:ES19)</f>
        <v>0</v>
      </c>
      <c r="ET20" s="50">
        <f>SUM(ET17:ET19)</f>
        <v>0</v>
      </c>
      <c r="EU20" s="50">
        <f>SUM(EU17:EU19)</f>
        <v>0</v>
      </c>
      <c r="EV20" s="50">
        <f>SUM(EV17:EV19)</f>
        <v>1228388</v>
      </c>
      <c r="EW20" s="30">
        <f>SUM(EW17:EW19)</f>
        <v>-166307360.78502685</v>
      </c>
      <c r="EX20" s="30">
        <f>DS20+EW20</f>
        <v>1069460471.5749731</v>
      </c>
      <c r="EY20" s="12">
        <f t="shared" si="27"/>
        <v>5</v>
      </c>
      <c r="EZ20" s="13" t="s">
        <v>3</v>
      </c>
      <c r="FA20" s="29">
        <f>SUM(FA17:FA19)</f>
        <v>1235767832.36</v>
      </c>
      <c r="FB20" s="29">
        <f>SUM(FB17:FB19)</f>
        <v>-166307360.78502685</v>
      </c>
      <c r="FC20" s="50">
        <f>SUM(FC17:FC19)</f>
        <v>1069460471.5749731</v>
      </c>
      <c r="FD20" s="496">
        <f>DO76</f>
        <v>49212697</v>
      </c>
      <c r="FE20" s="50">
        <f>SUM(FE17:FE19)</f>
        <v>1118673168.574973</v>
      </c>
      <c r="FF20" s="58"/>
      <c r="FG20" s="196">
        <f>+FD20/FC20</f>
        <v>0.04601637770447508</v>
      </c>
    </row>
    <row r="21" spans="1:160" ht="15" thickBot="1" thickTop="1">
      <c r="A21" s="12">
        <f t="shared" si="11"/>
        <v>8</v>
      </c>
      <c r="B21" s="378">
        <v>39114</v>
      </c>
      <c r="C21" s="322">
        <v>123546494</v>
      </c>
      <c r="D21" s="322">
        <v>124495095</v>
      </c>
      <c r="E21" s="388">
        <f t="shared" si="22"/>
        <v>948601</v>
      </c>
      <c r="G21" s="12">
        <f t="shared" si="12"/>
        <v>8</v>
      </c>
      <c r="H21" s="399" t="s">
        <v>334</v>
      </c>
      <c r="I21" s="416"/>
      <c r="J21" s="136">
        <v>-5687891.807345932</v>
      </c>
      <c r="K21" s="267"/>
      <c r="L21" s="12">
        <f t="shared" si="13"/>
        <v>8</v>
      </c>
      <c r="M21" s="353" t="s">
        <v>4</v>
      </c>
      <c r="N21" s="335"/>
      <c r="O21" s="335"/>
      <c r="P21" s="335"/>
      <c r="Q21" s="12">
        <f t="shared" si="14"/>
        <v>8</v>
      </c>
      <c r="R21" s="3" t="s">
        <v>91</v>
      </c>
      <c r="U21" s="8">
        <f>SUM(U17:U20)</f>
        <v>16670060.32344903</v>
      </c>
      <c r="V21" s="12">
        <f t="shared" si="15"/>
        <v>8</v>
      </c>
      <c r="W21" s="240" t="s">
        <v>63</v>
      </c>
      <c r="X21" s="239"/>
      <c r="Y21" s="102" t="s">
        <v>19</v>
      </c>
      <c r="Z21" s="12">
        <f t="shared" si="0"/>
        <v>8</v>
      </c>
      <c r="AA21" s="267" t="s">
        <v>324</v>
      </c>
      <c r="AB21" s="406">
        <v>93.83362500000001</v>
      </c>
      <c r="AC21" s="406"/>
      <c r="AD21" s="409">
        <f>AC21-AB21</f>
        <v>-93.83362500000001</v>
      </c>
      <c r="AE21" s="437">
        <f t="shared" si="16"/>
        <v>8</v>
      </c>
      <c r="AF21" s="102"/>
      <c r="AG21" s="102"/>
      <c r="AH21" s="102"/>
      <c r="AI21" s="102"/>
      <c r="AK21" s="45">
        <f>1+AK20</f>
        <v>8</v>
      </c>
      <c r="AL21" s="135" t="s">
        <v>207</v>
      </c>
      <c r="AO21" s="476">
        <f>AP17</f>
        <v>0.00278008</v>
      </c>
      <c r="AQ21" s="73">
        <f t="shared" si="17"/>
        <v>9</v>
      </c>
      <c r="AR21" s="3" t="s">
        <v>375</v>
      </c>
      <c r="AS21" s="15">
        <v>-44441.469274999996</v>
      </c>
      <c r="AT21" s="15">
        <v>0</v>
      </c>
      <c r="AU21" s="238">
        <f t="shared" si="2"/>
        <v>44441.469274999996</v>
      </c>
      <c r="AV21" s="350"/>
      <c r="AW21" s="20"/>
      <c r="AX21" s="20"/>
      <c r="AY21" s="20"/>
      <c r="AZ21" s="20"/>
      <c r="BA21" s="12">
        <v>8</v>
      </c>
      <c r="BB21" s="126"/>
      <c r="BC21" s="126"/>
      <c r="BD21" s="3"/>
      <c r="BE21" s="12">
        <f t="shared" si="3"/>
        <v>8</v>
      </c>
      <c r="BF21" s="261" t="s">
        <v>86</v>
      </c>
      <c r="BG21" s="281"/>
      <c r="BH21" s="281"/>
      <c r="BI21" s="507">
        <f>-BI18-BI20</f>
        <v>13401.63947983057</v>
      </c>
      <c r="BJ21" s="12"/>
      <c r="BK21" s="192"/>
      <c r="BL21" s="192"/>
      <c r="BM21" s="2"/>
      <c r="BN21" s="192"/>
      <c r="BO21" s="45">
        <f t="shared" si="18"/>
        <v>8</v>
      </c>
      <c r="BP21" s="226" t="s">
        <v>232</v>
      </c>
      <c r="BQ21" s="401" t="s">
        <v>310</v>
      </c>
      <c r="BS21" s="264">
        <f t="shared" si="19"/>
        <v>8</v>
      </c>
      <c r="BT21" s="322"/>
      <c r="BU21" s="326"/>
      <c r="CA21" s="12">
        <v>8</v>
      </c>
      <c r="CB21" s="13" t="s">
        <v>86</v>
      </c>
      <c r="CE21" s="352">
        <f>-CE17-CE20</f>
        <v>265752.94381998654</v>
      </c>
      <c r="CF21" s="12">
        <f t="shared" si="5"/>
        <v>8</v>
      </c>
      <c r="CG21" s="13" t="s">
        <v>97</v>
      </c>
      <c r="CH21" s="13"/>
      <c r="CI21" s="13"/>
      <c r="CJ21" s="56">
        <v>921552</v>
      </c>
      <c r="CK21" s="56">
        <v>973034</v>
      </c>
      <c r="CL21" s="56">
        <f t="shared" si="20"/>
        <v>51482</v>
      </c>
      <c r="CM21" s="12">
        <f t="shared" si="6"/>
        <v>8</v>
      </c>
      <c r="CN21" s="334" t="s">
        <v>249</v>
      </c>
      <c r="CO21" s="307">
        <v>0.0797</v>
      </c>
      <c r="CP21" s="128">
        <f>CP20*CO21</f>
        <v>43162.889899999995</v>
      </c>
      <c r="CQ21" s="2"/>
      <c r="CR21" s="12">
        <v>8</v>
      </c>
      <c r="CS21" s="13" t="s">
        <v>69</v>
      </c>
      <c r="CT21" s="12"/>
      <c r="CU21" s="70">
        <f>CU19-CU20</f>
        <v>888341.571473049</v>
      </c>
      <c r="CV21" s="12">
        <f t="shared" si="7"/>
        <v>8</v>
      </c>
      <c r="CW21" s="447" t="s">
        <v>97</v>
      </c>
      <c r="CX21" s="136">
        <v>63306</v>
      </c>
      <c r="CY21" s="136">
        <v>76400</v>
      </c>
      <c r="CZ21" s="52">
        <f t="shared" si="8"/>
        <v>13094</v>
      </c>
      <c r="DA21" s="12">
        <f t="shared" si="9"/>
        <v>8</v>
      </c>
      <c r="DB21" s="13" t="s">
        <v>77</v>
      </c>
      <c r="DC21" s="136"/>
      <c r="DD21" s="448">
        <f>_FEDERAL_INCOME_TAX</f>
        <v>0.35</v>
      </c>
      <c r="DE21" s="259">
        <f>ROUND(-DE19*DD21,0)</f>
        <v>55595</v>
      </c>
      <c r="DF21" s="495">
        <f t="shared" si="21"/>
        <v>8</v>
      </c>
      <c r="DG21" s="126" t="s">
        <v>394</v>
      </c>
      <c r="DH21" s="126">
        <v>0.002</v>
      </c>
      <c r="DI21" s="136"/>
      <c r="DJ21" s="136">
        <f>+DJ16*DH21</f>
        <v>2456.776</v>
      </c>
      <c r="DK21" s="12">
        <f t="shared" si="10"/>
        <v>8</v>
      </c>
      <c r="DM21" s="411"/>
      <c r="DN21" s="411"/>
      <c r="DO21" s="411"/>
      <c r="DP21" s="411"/>
      <c r="DQ21" s="12">
        <f>+DQ20+1</f>
        <v>6</v>
      </c>
      <c r="DY21" s="12">
        <f>+DY20+1</f>
        <v>6</v>
      </c>
      <c r="EB21" s="18"/>
      <c r="EF21" s="18"/>
      <c r="EG21" s="18"/>
      <c r="EH21" s="12">
        <f>+EH20+1</f>
        <v>6</v>
      </c>
      <c r="EJ21" s="18"/>
      <c r="EK21" s="18"/>
      <c r="EL21" s="18"/>
      <c r="EM21" s="18"/>
      <c r="EN21" s="18"/>
      <c r="EO21" s="18"/>
      <c r="EP21" s="12">
        <f t="shared" si="26"/>
        <v>6</v>
      </c>
      <c r="ER21" s="18"/>
      <c r="ES21" s="18"/>
      <c r="ET21" s="18"/>
      <c r="EU21" s="18"/>
      <c r="EV21" s="18"/>
      <c r="EW21" s="25"/>
      <c r="EX21" s="25"/>
      <c r="EY21" s="12">
        <f>+EY20+1</f>
        <v>6</v>
      </c>
      <c r="FD21" s="30" t="s">
        <v>19</v>
      </c>
    </row>
    <row r="22" spans="1:163" ht="15" thickBot="1" thickTop="1">
      <c r="A22" s="12">
        <f t="shared" si="11"/>
        <v>9</v>
      </c>
      <c r="B22" s="378">
        <v>39142</v>
      </c>
      <c r="C22" s="322">
        <v>115870737</v>
      </c>
      <c r="D22" s="322">
        <v>117976585</v>
      </c>
      <c r="E22" s="388">
        <f t="shared" si="22"/>
        <v>2105848</v>
      </c>
      <c r="G22" s="12">
        <f t="shared" si="12"/>
        <v>9</v>
      </c>
      <c r="H22" s="399" t="s">
        <v>335</v>
      </c>
      <c r="I22" s="416"/>
      <c r="J22" s="136">
        <v>1324517.0901985376</v>
      </c>
      <c r="K22" s="267"/>
      <c r="L22" s="12">
        <f t="shared" si="13"/>
        <v>9</v>
      </c>
      <c r="M22" s="334"/>
      <c r="N22" s="335"/>
      <c r="O22" s="335"/>
      <c r="P22" s="335"/>
      <c r="Q22" s="12">
        <f aca="true" t="shared" si="30" ref="Q22:Q32">Q21+1</f>
        <v>9</v>
      </c>
      <c r="V22" s="12">
        <f t="shared" si="15"/>
        <v>9</v>
      </c>
      <c r="W22" s="3" t="s">
        <v>142</v>
      </c>
      <c r="X22" s="308">
        <v>63212987.06</v>
      </c>
      <c r="Y22" s="102" t="s">
        <v>19</v>
      </c>
      <c r="Z22" s="12">
        <f t="shared" si="0"/>
        <v>9</v>
      </c>
      <c r="AA22" s="267" t="s">
        <v>325</v>
      </c>
      <c r="AB22" s="407">
        <f>SUM(AB20:AB21)</f>
        <v>614497.213625</v>
      </c>
      <c r="AC22" s="407">
        <f>SUM(AC20:AC21)</f>
        <v>614403.38</v>
      </c>
      <c r="AD22" s="407">
        <f>SUM(AD20:AD21)</f>
        <v>-93.83362500000001</v>
      </c>
      <c r="AE22" s="437">
        <f t="shared" si="16"/>
        <v>9</v>
      </c>
      <c r="AF22" s="440" t="s">
        <v>303</v>
      </c>
      <c r="AG22" s="102"/>
      <c r="AH22" s="102"/>
      <c r="AI22" s="102"/>
      <c r="AK22" s="45">
        <f t="shared" si="1"/>
        <v>9</v>
      </c>
      <c r="AL22" s="135" t="s">
        <v>208</v>
      </c>
      <c r="AO22" s="214">
        <f>AO19*AO21</f>
        <v>3435533.4353873883</v>
      </c>
      <c r="AQ22" s="73">
        <f t="shared" si="17"/>
        <v>10</v>
      </c>
      <c r="AR22" s="442" t="s">
        <v>370</v>
      </c>
      <c r="AZ22" s="30"/>
      <c r="BA22" s="12">
        <v>9</v>
      </c>
      <c r="BB22" s="126" t="s">
        <v>198</v>
      </c>
      <c r="BC22" s="126"/>
      <c r="BD22" s="30">
        <f>(BD16+BD20)</f>
        <v>-468161.0279150028</v>
      </c>
      <c r="BE22" s="52"/>
      <c r="BF22" s="52"/>
      <c r="BG22" s="52"/>
      <c r="BH22" s="52"/>
      <c r="BI22" s="52"/>
      <c r="BJ22" s="12"/>
      <c r="BK22" s="70"/>
      <c r="BL22" s="70"/>
      <c r="BM22" s="2"/>
      <c r="BN22" s="201"/>
      <c r="BO22" s="45">
        <f t="shared" si="18"/>
        <v>9</v>
      </c>
      <c r="BP22" s="224" t="s">
        <v>233</v>
      </c>
      <c r="BQ22" s="128">
        <v>110484</v>
      </c>
      <c r="BR22" s="87"/>
      <c r="BS22" s="264">
        <f t="shared" si="19"/>
        <v>9</v>
      </c>
      <c r="BT22" s="325" t="s">
        <v>244</v>
      </c>
      <c r="BU22" s="509">
        <f>BU18-BU20</f>
        <v>217801.59478666604</v>
      </c>
      <c r="BV22" s="350"/>
      <c r="CA22" s="121"/>
      <c r="CB22" s="121"/>
      <c r="CC22" s="121"/>
      <c r="CD22" s="121"/>
      <c r="CE22" s="121"/>
      <c r="CF22" s="12">
        <f t="shared" si="5"/>
        <v>9</v>
      </c>
      <c r="CG22" s="13" t="s">
        <v>54</v>
      </c>
      <c r="CH22" s="13"/>
      <c r="CI22" s="13"/>
      <c r="CJ22" s="56">
        <v>191307</v>
      </c>
      <c r="CK22" s="56">
        <v>200471</v>
      </c>
      <c r="CL22" s="56">
        <f t="shared" si="20"/>
        <v>9164</v>
      </c>
      <c r="CM22" s="12">
        <f t="shared" si="6"/>
        <v>9</v>
      </c>
      <c r="CN22" s="294" t="s">
        <v>250</v>
      </c>
      <c r="CO22" s="294"/>
      <c r="CP22" s="294"/>
      <c r="CQ22" s="132">
        <f>SUM(CP20:CP21)</f>
        <v>584729.8899</v>
      </c>
      <c r="CR22" s="12">
        <v>9</v>
      </c>
      <c r="CT22" s="12"/>
      <c r="CU22" s="52"/>
      <c r="CV22" s="12">
        <f t="shared" si="7"/>
        <v>9</v>
      </c>
      <c r="CW22" s="447" t="s">
        <v>54</v>
      </c>
      <c r="CX22" s="136">
        <v>13139</v>
      </c>
      <c r="CY22" s="136">
        <v>15754</v>
      </c>
      <c r="CZ22" s="52">
        <f t="shared" si="8"/>
        <v>2615</v>
      </c>
      <c r="DA22" s="12">
        <f t="shared" si="9"/>
        <v>9</v>
      </c>
      <c r="DB22" s="13" t="s">
        <v>82</v>
      </c>
      <c r="DC22" s="13"/>
      <c r="DD22" s="135"/>
      <c r="DE22" s="460">
        <f>-DE19-DE21</f>
        <v>103249</v>
      </c>
      <c r="DF22" s="495">
        <f t="shared" si="21"/>
        <v>9</v>
      </c>
      <c r="DG22" s="126"/>
      <c r="DH22" s="126"/>
      <c r="DI22" s="126"/>
      <c r="DJ22" s="126"/>
      <c r="DK22" s="12">
        <f t="shared" si="10"/>
        <v>9</v>
      </c>
      <c r="DL22" s="3" t="s">
        <v>99</v>
      </c>
      <c r="DM22" s="411">
        <f>ROUND(DM19+DM20,5)</f>
        <v>0.99722</v>
      </c>
      <c r="DN22" s="411">
        <v>0.03852</v>
      </c>
      <c r="DO22" s="411">
        <f>ROUND(DM22*DN22,5)</f>
        <v>0.03841</v>
      </c>
      <c r="DP22" s="411"/>
      <c r="DQ22" s="12">
        <f t="shared" si="23"/>
        <v>7</v>
      </c>
      <c r="DS22" s="80"/>
      <c r="DT22" s="27"/>
      <c r="DU22" s="27"/>
      <c r="DV22" s="27"/>
      <c r="DW22" s="27" t="s">
        <v>19</v>
      </c>
      <c r="DX22" s="27" t="s">
        <v>19</v>
      </c>
      <c r="DY22" s="12">
        <f t="shared" si="24"/>
        <v>7</v>
      </c>
      <c r="EA22" s="27" t="s">
        <v>19</v>
      </c>
      <c r="EB22" s="27" t="s">
        <v>19</v>
      </c>
      <c r="EC22" s="27" t="s">
        <v>19</v>
      </c>
      <c r="ED22" s="221" t="s">
        <v>19</v>
      </c>
      <c r="EE22" s="27"/>
      <c r="EG22" s="27"/>
      <c r="EH22" s="12">
        <f t="shared" si="25"/>
        <v>7</v>
      </c>
      <c r="EJ22" s="27"/>
      <c r="EL22" s="27"/>
      <c r="EO22" s="27" t="s">
        <v>19</v>
      </c>
      <c r="EP22" s="12">
        <f t="shared" si="26"/>
        <v>7</v>
      </c>
      <c r="ER22" s="17" t="s">
        <v>19</v>
      </c>
      <c r="ES22" s="27" t="s">
        <v>19</v>
      </c>
      <c r="ET22" s="27"/>
      <c r="EU22" s="27"/>
      <c r="EV22" s="27"/>
      <c r="EW22" s="25"/>
      <c r="EX22" s="25"/>
      <c r="EY22" s="12">
        <f t="shared" si="27"/>
        <v>7</v>
      </c>
      <c r="FA22" s="25"/>
      <c r="FB22" s="25"/>
      <c r="FC22" s="25"/>
      <c r="FD22" s="25"/>
      <c r="FE22" s="25"/>
      <c r="FF22" s="25"/>
      <c r="FG22" s="25"/>
    </row>
    <row r="23" spans="1:164" ht="15" thickBot="1" thickTop="1">
      <c r="A23" s="12">
        <f t="shared" si="11"/>
        <v>10</v>
      </c>
      <c r="B23" s="378">
        <v>39173</v>
      </c>
      <c r="C23" s="322">
        <v>88944071</v>
      </c>
      <c r="D23" s="322">
        <v>87374580</v>
      </c>
      <c r="E23" s="388">
        <f t="shared" si="22"/>
        <v>-1569491</v>
      </c>
      <c r="G23" s="12">
        <f t="shared" si="12"/>
        <v>10</v>
      </c>
      <c r="H23" s="425" t="s">
        <v>336</v>
      </c>
      <c r="I23" s="267"/>
      <c r="J23" s="426">
        <f>SUM(J15:J22)</f>
        <v>-42249171.53852976</v>
      </c>
      <c r="K23" s="267"/>
      <c r="L23" s="12">
        <f t="shared" si="13"/>
        <v>10</v>
      </c>
      <c r="M23" s="261" t="s">
        <v>188</v>
      </c>
      <c r="N23" s="335"/>
      <c r="O23" s="335"/>
      <c r="P23" s="335"/>
      <c r="Q23" s="12">
        <f t="shared" si="30"/>
        <v>10</v>
      </c>
      <c r="R23" s="3" t="s">
        <v>96</v>
      </c>
      <c r="U23" s="123"/>
      <c r="V23" s="12">
        <f t="shared" si="15"/>
        <v>10</v>
      </c>
      <c r="W23" s="3" t="s">
        <v>266</v>
      </c>
      <c r="X23" s="329"/>
      <c r="Y23" s="102" t="s">
        <v>19</v>
      </c>
      <c r="Z23" s="12">
        <f t="shared" si="0"/>
        <v>10</v>
      </c>
      <c r="AA23" s="267"/>
      <c r="AB23" s="408"/>
      <c r="AC23" s="408"/>
      <c r="AD23" s="408"/>
      <c r="AE23" s="437">
        <f t="shared" si="16"/>
        <v>10</v>
      </c>
      <c r="AF23" s="25" t="s">
        <v>173</v>
      </c>
      <c r="AG23" s="102"/>
      <c r="AH23" s="218">
        <f>DO17</f>
        <v>0.00278</v>
      </c>
      <c r="AI23" s="102">
        <f>-$AI$20*AH23</f>
        <v>-272022.3228029976</v>
      </c>
      <c r="AK23" s="45">
        <f t="shared" si="1"/>
        <v>10</v>
      </c>
      <c r="AL23" s="135"/>
      <c r="AQ23" s="73">
        <f t="shared" si="17"/>
        <v>11</v>
      </c>
      <c r="AR23" s="442" t="s">
        <v>371</v>
      </c>
      <c r="AS23" s="15">
        <v>443034.86276000005</v>
      </c>
      <c r="AT23" s="15">
        <v>1106538.9014266666</v>
      </c>
      <c r="AU23" s="15">
        <f>AT23-AS23</f>
        <v>663504.0386666666</v>
      </c>
      <c r="AV23" s="25"/>
      <c r="AZ23" s="458"/>
      <c r="BA23" s="12">
        <v>10</v>
      </c>
      <c r="BB23" s="126"/>
      <c r="BC23" s="126"/>
      <c r="BD23" s="3"/>
      <c r="BE23" s="350"/>
      <c r="BF23" s="56"/>
      <c r="BG23" s="56"/>
      <c r="BH23" s="56"/>
      <c r="BI23" s="56"/>
      <c r="BJ23" s="12"/>
      <c r="BK23" s="2"/>
      <c r="BL23" s="2"/>
      <c r="BM23" s="2"/>
      <c r="BN23" s="2"/>
      <c r="BO23" s="45">
        <f t="shared" si="18"/>
        <v>10</v>
      </c>
      <c r="BP23" s="226" t="s">
        <v>68</v>
      </c>
      <c r="BQ23" s="342">
        <f>-BQ22</f>
        <v>-110484</v>
      </c>
      <c r="BR23" s="289">
        <f>BQ23</f>
        <v>-110484</v>
      </c>
      <c r="BS23" s="264">
        <f t="shared" si="19"/>
        <v>10</v>
      </c>
      <c r="BT23" s="55"/>
      <c r="BU23" s="327"/>
      <c r="BV23" s="26"/>
      <c r="BW23" s="26"/>
      <c r="BX23" s="26"/>
      <c r="BY23" s="26"/>
      <c r="BZ23" s="197"/>
      <c r="CA23" s="350"/>
      <c r="CE23" s="3" t="s">
        <v>19</v>
      </c>
      <c r="CF23" s="12">
        <f t="shared" si="5"/>
        <v>10</v>
      </c>
      <c r="CG23" s="13" t="s">
        <v>101</v>
      </c>
      <c r="CH23" s="13"/>
      <c r="CI23" s="13"/>
      <c r="CJ23" s="65">
        <v>9637520</v>
      </c>
      <c r="CK23" s="65">
        <v>10116212</v>
      </c>
      <c r="CL23" s="65">
        <f t="shared" si="20"/>
        <v>478692</v>
      </c>
      <c r="CM23" s="12">
        <f t="shared" si="6"/>
        <v>10</v>
      </c>
      <c r="CN23" s="334"/>
      <c r="CO23" s="334"/>
      <c r="CP23" s="334"/>
      <c r="CQ23" s="132"/>
      <c r="CR23" s="12">
        <v>10</v>
      </c>
      <c r="CS23" s="13" t="s">
        <v>77</v>
      </c>
      <c r="CT23" s="16">
        <f>_FEDERAL_INCOME_TAX</f>
        <v>0.35</v>
      </c>
      <c r="CU23" s="56">
        <f>-CU21*CT23</f>
        <v>-310919.5500155671</v>
      </c>
      <c r="CV23" s="12">
        <f t="shared" si="7"/>
        <v>10</v>
      </c>
      <c r="CW23" s="447" t="s">
        <v>101</v>
      </c>
      <c r="CX23" s="346">
        <v>662069</v>
      </c>
      <c r="CY23" s="346">
        <v>794400</v>
      </c>
      <c r="CZ23" s="53">
        <f t="shared" si="8"/>
        <v>132331</v>
      </c>
      <c r="DA23" s="12"/>
      <c r="DF23" s="495">
        <f t="shared" si="21"/>
        <v>10</v>
      </c>
      <c r="DG23" s="136" t="s">
        <v>395</v>
      </c>
      <c r="DH23" s="136"/>
      <c r="DI23" s="136"/>
      <c r="DJ23" s="136"/>
      <c r="DK23" s="12">
        <f t="shared" si="10"/>
        <v>10</v>
      </c>
      <c r="DL23" s="3" t="s">
        <v>104</v>
      </c>
      <c r="DM23" s="411"/>
      <c r="DN23" s="411"/>
      <c r="DO23" s="411">
        <v>0.002</v>
      </c>
      <c r="DP23" s="411">
        <f>ROUND(1-SUM(DO17:DO23),5)</f>
        <v>0.95681</v>
      </c>
      <c r="DQ23" s="12">
        <f t="shared" si="23"/>
        <v>8</v>
      </c>
      <c r="DR23" s="13" t="s">
        <v>4</v>
      </c>
      <c r="DS23" s="80"/>
      <c r="DT23" s="25"/>
      <c r="DU23" s="25"/>
      <c r="DV23" s="25"/>
      <c r="DW23" s="25"/>
      <c r="DX23" s="25"/>
      <c r="DY23" s="12">
        <f t="shared" si="24"/>
        <v>8</v>
      </c>
      <c r="DZ23" s="13" t="s">
        <v>4</v>
      </c>
      <c r="EA23" s="25"/>
      <c r="EB23" s="25"/>
      <c r="EC23" s="25"/>
      <c r="ED23" s="80"/>
      <c r="EE23" s="25"/>
      <c r="EG23" s="25"/>
      <c r="EH23" s="12">
        <f t="shared" si="25"/>
        <v>8</v>
      </c>
      <c r="EI23" s="13" t="s">
        <v>4</v>
      </c>
      <c r="EJ23" s="25"/>
      <c r="EL23" s="25"/>
      <c r="EO23" s="25"/>
      <c r="EP23" s="12">
        <f t="shared" si="26"/>
        <v>8</v>
      </c>
      <c r="EQ23" s="13" t="s">
        <v>4</v>
      </c>
      <c r="ER23" s="20"/>
      <c r="ES23" s="25"/>
      <c r="ET23" s="25"/>
      <c r="EU23" s="25"/>
      <c r="EV23" s="25"/>
      <c r="EW23" s="25"/>
      <c r="EX23" s="25"/>
      <c r="EY23" s="12">
        <f t="shared" si="27"/>
        <v>8</v>
      </c>
      <c r="EZ23" s="105" t="s">
        <v>4</v>
      </c>
      <c r="FA23" s="25"/>
      <c r="FB23" s="25"/>
      <c r="FC23" s="25"/>
      <c r="FD23" s="25"/>
      <c r="FE23" s="25"/>
      <c r="FF23" s="25"/>
      <c r="FG23" s="456"/>
      <c r="FH23" s="457"/>
    </row>
    <row r="24" spans="1:164" ht="14.25" customHeight="1" thickTop="1">
      <c r="A24" s="12">
        <f t="shared" si="11"/>
        <v>11</v>
      </c>
      <c r="B24" s="378">
        <v>39203</v>
      </c>
      <c r="C24" s="322">
        <v>66872283</v>
      </c>
      <c r="D24" s="322">
        <v>67631429</v>
      </c>
      <c r="E24" s="388">
        <f t="shared" si="22"/>
        <v>759146</v>
      </c>
      <c r="G24" s="12">
        <f t="shared" si="12"/>
        <v>11</v>
      </c>
      <c r="H24" s="267"/>
      <c r="I24" s="267"/>
      <c r="J24" s="328"/>
      <c r="K24" s="267"/>
      <c r="L24" s="12">
        <f t="shared" si="13"/>
        <v>11</v>
      </c>
      <c r="M24" s="261"/>
      <c r="N24" s="68"/>
      <c r="O24" s="68"/>
      <c r="P24" s="96"/>
      <c r="Q24" s="12">
        <f t="shared" si="30"/>
        <v>11</v>
      </c>
      <c r="R24" s="13" t="s">
        <v>100</v>
      </c>
      <c r="S24" s="18"/>
      <c r="T24" s="80"/>
      <c r="U24" s="29">
        <f>DS44</f>
        <v>10002284</v>
      </c>
      <c r="V24" s="12">
        <f t="shared" si="15"/>
        <v>11</v>
      </c>
      <c r="W24" s="3" t="s">
        <v>143</v>
      </c>
      <c r="X24" s="302"/>
      <c r="Y24" s="102" t="s">
        <v>19</v>
      </c>
      <c r="Z24" s="12">
        <f t="shared" si="0"/>
        <v>11</v>
      </c>
      <c r="AA24" s="267" t="s">
        <v>326</v>
      </c>
      <c r="AB24" s="409">
        <f>AB18+AB22</f>
        <v>72897009.75584999</v>
      </c>
      <c r="AC24" s="409">
        <f>AC18+AC22</f>
        <v>86957887.10513777</v>
      </c>
      <c r="AD24" s="409">
        <f>AD18+AD22</f>
        <v>14060877.34928778</v>
      </c>
      <c r="AE24" s="437">
        <f t="shared" si="16"/>
        <v>11</v>
      </c>
      <c r="AF24" s="102" t="s">
        <v>359</v>
      </c>
      <c r="AG24" s="102"/>
      <c r="AH24" s="218">
        <f>DO23</f>
        <v>0.002</v>
      </c>
      <c r="AI24" s="102">
        <f>-$AI$20*AH24</f>
        <v>-195699.51280791196</v>
      </c>
      <c r="AK24" s="45">
        <f t="shared" si="1"/>
        <v>11</v>
      </c>
      <c r="AL24" s="13" t="s">
        <v>209</v>
      </c>
      <c r="AO24" s="242">
        <v>3010710.28</v>
      </c>
      <c r="AQ24" s="73">
        <f t="shared" si="17"/>
        <v>12</v>
      </c>
      <c r="AR24" s="442" t="s">
        <v>372</v>
      </c>
      <c r="AV24" s="20"/>
      <c r="BA24" s="12">
        <v>11</v>
      </c>
      <c r="BB24" s="126" t="s">
        <v>93</v>
      </c>
      <c r="BC24" s="129">
        <f>_FEDERAL_INCOME_TAX</f>
        <v>0.35</v>
      </c>
      <c r="BD24" s="130">
        <f>-BD22*BC24</f>
        <v>163856.35977025097</v>
      </c>
      <c r="BE24" s="52"/>
      <c r="BF24" s="52"/>
      <c r="BG24" s="52"/>
      <c r="BH24" s="52"/>
      <c r="BI24" s="52"/>
      <c r="BJ24" s="12"/>
      <c r="BK24" s="55"/>
      <c r="BL24" s="55"/>
      <c r="BM24" s="55"/>
      <c r="BN24" s="55"/>
      <c r="BO24" s="45">
        <f t="shared" si="18"/>
        <v>11</v>
      </c>
      <c r="BP24" s="226"/>
      <c r="BQ24" s="288"/>
      <c r="BR24" s="289"/>
      <c r="BS24" s="264">
        <f t="shared" si="19"/>
        <v>11</v>
      </c>
      <c r="BT24" s="3" t="s">
        <v>243</v>
      </c>
      <c r="BU24" s="326">
        <f>-BU22*_FEDERAL_INCOME_TAX</f>
        <v>-76230.5581753331</v>
      </c>
      <c r="BV24" s="20"/>
      <c r="BW24" s="20"/>
      <c r="BX24" s="20"/>
      <c r="BY24" s="20"/>
      <c r="BZ24" s="20"/>
      <c r="CA24" s="26"/>
      <c r="CB24" s="26"/>
      <c r="CC24" s="26"/>
      <c r="CD24" s="26"/>
      <c r="CE24" s="197" t="s">
        <v>19</v>
      </c>
      <c r="CF24" s="12">
        <f t="shared" si="5"/>
        <v>11</v>
      </c>
      <c r="CG24" s="13" t="s">
        <v>103</v>
      </c>
      <c r="CH24" s="13"/>
      <c r="CI24" s="13"/>
      <c r="CJ24" s="56">
        <f>SUM(CJ14:CJ23)</f>
        <v>35158692</v>
      </c>
      <c r="CK24" s="56">
        <f>SUM(CK14:CK23)</f>
        <v>37290467</v>
      </c>
      <c r="CL24" s="56">
        <f>SUM(CL14:CL23)</f>
        <v>2131775</v>
      </c>
      <c r="CM24" s="12">
        <f t="shared" si="6"/>
        <v>11</v>
      </c>
      <c r="CN24" s="333" t="s">
        <v>251</v>
      </c>
      <c r="CO24" s="86"/>
      <c r="CP24" s="86"/>
      <c r="CQ24" s="132"/>
      <c r="CR24" s="12">
        <v>11</v>
      </c>
      <c r="CU24" s="52"/>
      <c r="CV24" s="12">
        <f t="shared" si="7"/>
        <v>11</v>
      </c>
      <c r="CW24" s="135" t="s">
        <v>257</v>
      </c>
      <c r="CX24" s="258">
        <f>SUM(CX15:CX23)</f>
        <v>2415340</v>
      </c>
      <c r="CY24" s="258">
        <f>SUM(CY15:CY23)</f>
        <v>2928338</v>
      </c>
      <c r="CZ24" s="446">
        <f>SUM(CZ15:CZ23)</f>
        <v>512998</v>
      </c>
      <c r="DA24" s="12"/>
      <c r="DF24" s="495">
        <f t="shared" si="21"/>
        <v>11</v>
      </c>
      <c r="DG24" s="136"/>
      <c r="DH24" s="136"/>
      <c r="DI24" s="136"/>
      <c r="DJ24" s="136"/>
      <c r="DK24" s="12">
        <f>+DK23+1</f>
        <v>11</v>
      </c>
      <c r="DL24" s="3" t="s">
        <v>204</v>
      </c>
      <c r="DM24" s="411"/>
      <c r="DN24" s="411"/>
      <c r="DO24" s="411"/>
      <c r="DP24" s="414"/>
      <c r="DQ24" s="12">
        <f t="shared" si="23"/>
        <v>9</v>
      </c>
      <c r="DY24" s="12">
        <f t="shared" si="24"/>
        <v>9</v>
      </c>
      <c r="EH24" s="12">
        <f t="shared" si="25"/>
        <v>9</v>
      </c>
      <c r="EP24" s="12">
        <f t="shared" si="26"/>
        <v>9</v>
      </c>
      <c r="ER24" s="2"/>
      <c r="EW24" s="25"/>
      <c r="EX24" s="25"/>
      <c r="EY24" s="12">
        <f t="shared" si="27"/>
        <v>9</v>
      </c>
      <c r="FA24" s="25"/>
      <c r="FB24" s="25"/>
      <c r="FC24" s="25"/>
      <c r="FD24" s="25" t="s">
        <v>19</v>
      </c>
      <c r="FE24" s="25"/>
      <c r="FF24" s="25"/>
      <c r="FG24" s="300"/>
      <c r="FH24" s="202"/>
    </row>
    <row r="25" spans="1:164" ht="14.25" customHeight="1" thickBot="1">
      <c r="A25" s="12">
        <f t="shared" si="11"/>
        <v>12</v>
      </c>
      <c r="B25" s="378">
        <v>39234</v>
      </c>
      <c r="C25" s="322">
        <v>49867206</v>
      </c>
      <c r="D25" s="322">
        <v>49274516</v>
      </c>
      <c r="E25" s="388">
        <f t="shared" si="22"/>
        <v>-592690</v>
      </c>
      <c r="G25" s="12">
        <f t="shared" si="12"/>
        <v>12</v>
      </c>
      <c r="H25" s="267" t="s">
        <v>337</v>
      </c>
      <c r="I25" s="267"/>
      <c r="J25" s="267"/>
      <c r="K25" s="462">
        <f>J23</f>
        <v>-42249171.53852976</v>
      </c>
      <c r="L25" s="12">
        <f t="shared" si="13"/>
        <v>12</v>
      </c>
      <c r="M25" s="261" t="s">
        <v>189</v>
      </c>
      <c r="N25" s="29">
        <v>0</v>
      </c>
      <c r="O25" s="29">
        <v>0</v>
      </c>
      <c r="P25" s="93">
        <f>+N25+O25</f>
        <v>0</v>
      </c>
      <c r="Q25" s="12">
        <f t="shared" si="30"/>
        <v>12</v>
      </c>
      <c r="R25" s="13" t="s">
        <v>78</v>
      </c>
      <c r="S25" s="18"/>
      <c r="T25" s="80"/>
      <c r="U25" s="9">
        <v>48445101.3545</v>
      </c>
      <c r="V25" s="12">
        <f t="shared" si="15"/>
        <v>12</v>
      </c>
      <c r="W25" s="3" t="s">
        <v>144</v>
      </c>
      <c r="X25" s="309">
        <v>1126338.62</v>
      </c>
      <c r="Y25" s="102" t="s">
        <v>19</v>
      </c>
      <c r="Z25" s="12">
        <f t="shared" si="0"/>
        <v>12</v>
      </c>
      <c r="AA25" s="267"/>
      <c r="AB25" s="408"/>
      <c r="AC25" s="408"/>
      <c r="AD25" s="408"/>
      <c r="AE25" s="437">
        <f t="shared" si="16"/>
        <v>12</v>
      </c>
      <c r="AF25" s="102" t="s">
        <v>360</v>
      </c>
      <c r="AG25" s="102"/>
      <c r="AH25" s="218">
        <f>DO22</f>
        <v>0.03841</v>
      </c>
      <c r="AI25" s="102">
        <f>-$AI$20*AH25</f>
        <v>-3758409.1434759493</v>
      </c>
      <c r="AK25" s="45">
        <f>1+AK24</f>
        <v>12</v>
      </c>
      <c r="AL25" s="127" t="s">
        <v>68</v>
      </c>
      <c r="AP25" s="30">
        <f>ROUND(AO22-AO24,0)</f>
        <v>424823</v>
      </c>
      <c r="AQ25" s="73">
        <f t="shared" si="17"/>
        <v>13</v>
      </c>
      <c r="AR25" s="442" t="s">
        <v>371</v>
      </c>
      <c r="AS25" s="15">
        <v>0</v>
      </c>
      <c r="AT25" s="15">
        <v>-548887.5</v>
      </c>
      <c r="AU25" s="238">
        <f>AT25-AS25</f>
        <v>-548887.5</v>
      </c>
      <c r="AV25" s="20"/>
      <c r="BA25" s="12">
        <v>12</v>
      </c>
      <c r="BB25" s="126" t="s">
        <v>82</v>
      </c>
      <c r="BC25" s="126"/>
      <c r="BD25" s="349">
        <f>-BD22-BD24</f>
        <v>304304.6681447518</v>
      </c>
      <c r="BE25" s="55"/>
      <c r="BF25" s="55"/>
      <c r="BG25" s="55"/>
      <c r="BH25" s="55"/>
      <c r="BI25" s="55"/>
      <c r="BJ25" s="12"/>
      <c r="BK25" s="2"/>
      <c r="BL25" s="2"/>
      <c r="BM25" s="2"/>
      <c r="BN25" s="2"/>
      <c r="BO25" s="45">
        <f t="shared" si="18"/>
        <v>12</v>
      </c>
      <c r="BP25" s="292"/>
      <c r="BQ25" s="286"/>
      <c r="BR25" s="132"/>
      <c r="BS25" s="264">
        <f t="shared" si="19"/>
        <v>12</v>
      </c>
      <c r="BU25" s="328"/>
      <c r="BV25" s="121"/>
      <c r="BW25" s="121"/>
      <c r="BX25" s="121"/>
      <c r="BY25" s="121"/>
      <c r="BZ25" s="121"/>
      <c r="CA25" s="20"/>
      <c r="CB25" s="20"/>
      <c r="CC25" s="20"/>
      <c r="CD25" s="20"/>
      <c r="CE25" s="20"/>
      <c r="CF25" s="12">
        <f>CF24+1</f>
        <v>12</v>
      </c>
      <c r="CJ25" s="56"/>
      <c r="CK25" s="56"/>
      <c r="CL25" s="56"/>
      <c r="CM25" s="12">
        <f t="shared" si="6"/>
        <v>12</v>
      </c>
      <c r="CN25" s="261" t="s">
        <v>252</v>
      </c>
      <c r="CO25" s="332"/>
      <c r="CP25" s="123">
        <v>430779</v>
      </c>
      <c r="CQ25" s="2"/>
      <c r="CR25" s="12">
        <v>12</v>
      </c>
      <c r="CS25" s="13" t="s">
        <v>82</v>
      </c>
      <c r="CU25" s="349">
        <f>-CU21-CU23</f>
        <v>-577422.0214574819</v>
      </c>
      <c r="CV25" s="12">
        <f t="shared" si="7"/>
        <v>12</v>
      </c>
      <c r="CW25" s="52"/>
      <c r="DA25" s="12"/>
      <c r="DF25" s="495">
        <f t="shared" si="21"/>
        <v>12</v>
      </c>
      <c r="DG25" s="136"/>
      <c r="DH25" s="136"/>
      <c r="DI25" s="136"/>
      <c r="DJ25" s="136"/>
      <c r="DK25" s="12">
        <f t="shared" si="10"/>
        <v>12</v>
      </c>
      <c r="DL25" s="3" t="s">
        <v>107</v>
      </c>
      <c r="DM25" s="411">
        <f>ROUND(DO14-DO17-DO22-DO23,5)</f>
        <v>0.95681</v>
      </c>
      <c r="DN25" s="411">
        <v>0.35</v>
      </c>
      <c r="DO25" s="411">
        <f>ROUND(DM25*DN25,5)</f>
        <v>0.33488</v>
      </c>
      <c r="DP25" s="411"/>
      <c r="DQ25" s="12">
        <f t="shared" si="23"/>
        <v>10</v>
      </c>
      <c r="DR25" s="13" t="s">
        <v>188</v>
      </c>
      <c r="DS25" s="8"/>
      <c r="DT25" s="29"/>
      <c r="DU25" s="29"/>
      <c r="DV25" s="29"/>
      <c r="DW25" s="29"/>
      <c r="DX25" s="29"/>
      <c r="DY25" s="12">
        <f t="shared" si="24"/>
        <v>10</v>
      </c>
      <c r="DZ25" s="13" t="s">
        <v>188</v>
      </c>
      <c r="EA25" s="29"/>
      <c r="EB25" s="25"/>
      <c r="EC25" s="29"/>
      <c r="ED25" s="80"/>
      <c r="EE25" s="25"/>
      <c r="EG25" s="25"/>
      <c r="EH25" s="12">
        <f t="shared" si="25"/>
        <v>10</v>
      </c>
      <c r="EI25" s="13" t="s">
        <v>188</v>
      </c>
      <c r="EJ25" s="25"/>
      <c r="EL25" s="25"/>
      <c r="EO25" s="25"/>
      <c r="EP25" s="12">
        <f t="shared" si="26"/>
        <v>10</v>
      </c>
      <c r="EQ25" s="13" t="s">
        <v>188</v>
      </c>
      <c r="ER25" s="20"/>
      <c r="ES25" s="25"/>
      <c r="ET25" s="25"/>
      <c r="EU25" s="25"/>
      <c r="EV25" s="25"/>
      <c r="EW25" s="25"/>
      <c r="EX25" s="25"/>
      <c r="EY25" s="12">
        <f t="shared" si="27"/>
        <v>10</v>
      </c>
      <c r="EZ25" s="13" t="s">
        <v>188</v>
      </c>
      <c r="FA25" s="25"/>
      <c r="FB25" s="25"/>
      <c r="FC25" s="25"/>
      <c r="FD25" s="25" t="s">
        <v>19</v>
      </c>
      <c r="FE25" s="25"/>
      <c r="FF25" s="25"/>
      <c r="FG25" s="300"/>
      <c r="FH25" s="202"/>
    </row>
    <row r="26" spans="1:164" ht="14.25" thickBot="1" thickTop="1">
      <c r="A26" s="12">
        <f t="shared" si="11"/>
        <v>13</v>
      </c>
      <c r="B26" s="378">
        <v>39264</v>
      </c>
      <c r="C26" s="322">
        <v>43516377</v>
      </c>
      <c r="D26" s="379">
        <v>43516377</v>
      </c>
      <c r="E26" s="388">
        <f t="shared" si="22"/>
        <v>0</v>
      </c>
      <c r="G26" s="12">
        <f t="shared" si="12"/>
        <v>13</v>
      </c>
      <c r="H26" s="267"/>
      <c r="I26" s="267"/>
      <c r="J26" s="387"/>
      <c r="K26" s="267"/>
      <c r="L26" s="12">
        <f t="shared" si="13"/>
        <v>13</v>
      </c>
      <c r="M26" s="261"/>
      <c r="N26" s="362"/>
      <c r="O26" s="286"/>
      <c r="P26" s="94"/>
      <c r="Q26" s="12">
        <f t="shared" si="30"/>
        <v>13</v>
      </c>
      <c r="R26" s="3" t="s">
        <v>83</v>
      </c>
      <c r="S26" s="18"/>
      <c r="T26" s="80"/>
      <c r="U26" s="9">
        <v>-40948243.1975</v>
      </c>
      <c r="V26" s="12">
        <f t="shared" si="15"/>
        <v>13</v>
      </c>
      <c r="W26" s="3" t="s">
        <v>314</v>
      </c>
      <c r="X26" s="309">
        <v>477460.31</v>
      </c>
      <c r="Y26" s="102"/>
      <c r="Z26" s="12">
        <f t="shared" si="0"/>
        <v>13</v>
      </c>
      <c r="AA26" s="267" t="s">
        <v>327</v>
      </c>
      <c r="AB26" s="406">
        <v>303738.25</v>
      </c>
      <c r="AC26" s="406">
        <v>303738.25</v>
      </c>
      <c r="AD26" s="405">
        <f>AC26-AB26</f>
        <v>0</v>
      </c>
      <c r="AE26" s="437">
        <f t="shared" si="16"/>
        <v>13</v>
      </c>
      <c r="AF26" s="102" t="s">
        <v>235</v>
      </c>
      <c r="AG26" s="102"/>
      <c r="AH26" s="470">
        <v>0.04369177894836</v>
      </c>
      <c r="AI26" s="439">
        <f>SUM(AI23:AI25)</f>
        <v>-4226130.979086859</v>
      </c>
      <c r="AK26" s="45">
        <f t="shared" si="1"/>
        <v>13</v>
      </c>
      <c r="AL26" s="217"/>
      <c r="AQ26" s="73">
        <f t="shared" si="17"/>
        <v>14</v>
      </c>
      <c r="AR26" s="442" t="s">
        <v>380</v>
      </c>
      <c r="AS26" s="459">
        <v>39525</v>
      </c>
      <c r="AT26" s="15"/>
      <c r="AU26" s="238">
        <f>AT26-AS26</f>
        <v>-39525</v>
      </c>
      <c r="AZ26" s="76"/>
      <c r="BD26" s="3"/>
      <c r="BJ26" s="12"/>
      <c r="BK26" s="2"/>
      <c r="BL26" s="2"/>
      <c r="BM26" s="201"/>
      <c r="BN26" s="2"/>
      <c r="BO26" s="45">
        <f t="shared" si="18"/>
        <v>13</v>
      </c>
      <c r="BP26" s="225" t="s">
        <v>234</v>
      </c>
      <c r="BQ26" s="291"/>
      <c r="BR26" s="132"/>
      <c r="BS26" s="264">
        <f t="shared" si="19"/>
        <v>13</v>
      </c>
      <c r="BT26" s="3" t="s">
        <v>86</v>
      </c>
      <c r="BU26" s="510">
        <f>-BU22-BU24</f>
        <v>-141571.03661133294</v>
      </c>
      <c r="BV26" s="15"/>
      <c r="BW26" s="15"/>
      <c r="BX26" s="15"/>
      <c r="BY26" s="15"/>
      <c r="BZ26" s="15"/>
      <c r="CA26" s="121"/>
      <c r="CB26" s="121"/>
      <c r="CC26" s="121"/>
      <c r="CD26" s="121"/>
      <c r="CE26" s="121"/>
      <c r="CF26" s="12">
        <f t="shared" si="5"/>
        <v>13</v>
      </c>
      <c r="CG26" s="13" t="s">
        <v>196</v>
      </c>
      <c r="CH26" s="13"/>
      <c r="CI26" s="13"/>
      <c r="CJ26" s="306">
        <v>2956629</v>
      </c>
      <c r="CK26" s="306">
        <v>3093010</v>
      </c>
      <c r="CL26" s="65">
        <f>CK26-CJ26</f>
        <v>136381</v>
      </c>
      <c r="CM26" s="12">
        <f t="shared" si="6"/>
        <v>13</v>
      </c>
      <c r="CN26" s="334" t="s">
        <v>253</v>
      </c>
      <c r="CO26" s="307">
        <v>0.0661</v>
      </c>
      <c r="CP26" s="128">
        <f>CP25*CO26</f>
        <v>28474.4919</v>
      </c>
      <c r="CQ26" s="2"/>
      <c r="CV26" s="12">
        <f t="shared" si="7"/>
        <v>13</v>
      </c>
      <c r="CW26" s="105" t="s">
        <v>76</v>
      </c>
      <c r="CX26" s="136">
        <v>174871</v>
      </c>
      <c r="CY26" s="136">
        <v>212012</v>
      </c>
      <c r="CZ26" s="259">
        <f>CY26-CX26</f>
        <v>37141</v>
      </c>
      <c r="DA26" s="12"/>
      <c r="DF26" s="495">
        <f t="shared" si="21"/>
        <v>13</v>
      </c>
      <c r="DG26" s="136" t="s">
        <v>396</v>
      </c>
      <c r="DH26" s="250">
        <v>0.0385</v>
      </c>
      <c r="DI26" s="136"/>
      <c r="DJ26" s="136">
        <f>DJ16*DH26</f>
        <v>47292.938</v>
      </c>
      <c r="DK26" s="12">
        <f>+DK25+1</f>
        <v>13</v>
      </c>
      <c r="DM26" s="411"/>
      <c r="DN26" s="411"/>
      <c r="DO26" s="411"/>
      <c r="DP26" s="411"/>
      <c r="DQ26" s="12">
        <f>+DQ25+1</f>
        <v>11</v>
      </c>
      <c r="DR26" s="13"/>
      <c r="DS26" s="131"/>
      <c r="DT26" s="68"/>
      <c r="DU26" s="68"/>
      <c r="DV26" s="68"/>
      <c r="DW26" s="68"/>
      <c r="DX26" s="68"/>
      <c r="DY26" s="12">
        <f>+DY25+1</f>
        <v>11</v>
      </c>
      <c r="DZ26" s="13"/>
      <c r="EA26" s="68"/>
      <c r="EB26" s="68"/>
      <c r="EC26" s="68"/>
      <c r="ED26" s="68"/>
      <c r="EE26" s="68"/>
      <c r="EF26" s="30"/>
      <c r="EG26" s="68"/>
      <c r="EH26" s="12">
        <f>+EH25+1</f>
        <v>11</v>
      </c>
      <c r="EI26" s="13"/>
      <c r="EJ26" s="68"/>
      <c r="EK26" s="30"/>
      <c r="EL26" s="68"/>
      <c r="EM26" s="30"/>
      <c r="EN26" s="30"/>
      <c r="EO26" s="68"/>
      <c r="EP26" s="12">
        <f t="shared" si="26"/>
        <v>11</v>
      </c>
      <c r="EQ26" s="13"/>
      <c r="ER26" s="55"/>
      <c r="ES26" s="68"/>
      <c r="ET26" s="68"/>
      <c r="EU26" s="68"/>
      <c r="EV26" s="68"/>
      <c r="EW26" s="30"/>
      <c r="EX26" s="30"/>
      <c r="EY26" s="12">
        <f>+EY25+1</f>
        <v>11</v>
      </c>
      <c r="EZ26" s="13"/>
      <c r="FA26" s="68"/>
      <c r="FB26" s="68"/>
      <c r="FC26" s="96"/>
      <c r="FD26" s="96"/>
      <c r="FE26" s="96"/>
      <c r="FF26" s="96"/>
      <c r="FG26" s="361"/>
      <c r="FH26" s="2"/>
    </row>
    <row r="27" spans="1:163" ht="14.25" thickTop="1">
      <c r="A27" s="12">
        <f t="shared" si="11"/>
        <v>14</v>
      </c>
      <c r="B27" s="378">
        <v>39295</v>
      </c>
      <c r="C27" s="322">
        <v>44021922</v>
      </c>
      <c r="D27" s="379">
        <v>44021922</v>
      </c>
      <c r="E27" s="388">
        <f t="shared" si="22"/>
        <v>0</v>
      </c>
      <c r="G27" s="12">
        <f t="shared" si="12"/>
        <v>14</v>
      </c>
      <c r="H27" s="261" t="s">
        <v>2</v>
      </c>
      <c r="I27" s="267"/>
      <c r="J27" s="324"/>
      <c r="K27" s="267"/>
      <c r="L27" s="12">
        <f t="shared" si="13"/>
        <v>14</v>
      </c>
      <c r="M27" s="261" t="s">
        <v>5</v>
      </c>
      <c r="N27" s="363">
        <f>SUM(N23:N26)</f>
        <v>0</v>
      </c>
      <c r="O27" s="363">
        <f>SUM(O23:O26)</f>
        <v>0</v>
      </c>
      <c r="P27" s="363">
        <f>SUM(P23:P26)</f>
        <v>0</v>
      </c>
      <c r="Q27" s="12">
        <f t="shared" si="30"/>
        <v>14</v>
      </c>
      <c r="R27" s="3" t="s">
        <v>87</v>
      </c>
      <c r="S27" s="18"/>
      <c r="T27" s="18"/>
      <c r="U27" s="107">
        <v>-450709</v>
      </c>
      <c r="V27" s="12">
        <f t="shared" si="15"/>
        <v>14</v>
      </c>
      <c r="W27" s="3" t="s">
        <v>145</v>
      </c>
      <c r="X27" s="329">
        <v>8184896.36</v>
      </c>
      <c r="Y27" s="102" t="s">
        <v>19</v>
      </c>
      <c r="Z27" s="12">
        <f t="shared" si="0"/>
        <v>14</v>
      </c>
      <c r="AA27" s="267" t="s">
        <v>328</v>
      </c>
      <c r="AB27" s="409">
        <v>639.67175</v>
      </c>
      <c r="AC27" s="409"/>
      <c r="AD27" s="409">
        <f>AC27-AB27</f>
        <v>-639.67175</v>
      </c>
      <c r="AE27" s="437">
        <f t="shared" si="16"/>
        <v>14</v>
      </c>
      <c r="AF27" s="102"/>
      <c r="AG27" s="102"/>
      <c r="AH27" s="102"/>
      <c r="AI27" s="102"/>
      <c r="AK27" s="45">
        <f t="shared" si="1"/>
        <v>14</v>
      </c>
      <c r="AL27" s="127" t="s">
        <v>170</v>
      </c>
      <c r="AO27" s="16">
        <v>0.35</v>
      </c>
      <c r="AP27" s="9">
        <f>ROUND(-AP25*AO27,0)</f>
        <v>-148688</v>
      </c>
      <c r="AQ27" s="73">
        <f t="shared" si="17"/>
        <v>15</v>
      </c>
      <c r="AR27" s="442" t="s">
        <v>376</v>
      </c>
      <c r="BA27" s="350"/>
      <c r="BD27" s="3"/>
      <c r="BJ27" s="12"/>
      <c r="BK27" s="2"/>
      <c r="BL27" s="2"/>
      <c r="BM27" s="66"/>
      <c r="BN27" s="2"/>
      <c r="BO27" s="45">
        <f t="shared" si="18"/>
        <v>14</v>
      </c>
      <c r="BP27" s="226"/>
      <c r="BQ27" s="291"/>
      <c r="BR27" s="132"/>
      <c r="BS27" s="244"/>
      <c r="BT27" s="244"/>
      <c r="BU27" s="244"/>
      <c r="BV27" s="15"/>
      <c r="BW27" s="15"/>
      <c r="BX27" s="15"/>
      <c r="BY27" s="15"/>
      <c r="BZ27" s="208"/>
      <c r="CA27" s="15"/>
      <c r="CB27" s="15"/>
      <c r="CC27" s="15"/>
      <c r="CD27" s="15"/>
      <c r="CE27" s="208"/>
      <c r="CF27" s="12">
        <f>CF26+1</f>
        <v>14</v>
      </c>
      <c r="CG27" s="13" t="s">
        <v>133</v>
      </c>
      <c r="CH27" s="13"/>
      <c r="CI27" s="13"/>
      <c r="CJ27" s="104">
        <f>+CJ26+CJ24</f>
        <v>38115321</v>
      </c>
      <c r="CK27" s="104">
        <f>+CK26+CK24</f>
        <v>40383477</v>
      </c>
      <c r="CL27" s="104">
        <f>CK27-CJ27</f>
        <v>2268156</v>
      </c>
      <c r="CM27" s="12">
        <f t="shared" si="6"/>
        <v>14</v>
      </c>
      <c r="CN27" s="294" t="s">
        <v>254</v>
      </c>
      <c r="CO27" s="294"/>
      <c r="CP27" s="294"/>
      <c r="CQ27" s="132">
        <f>SUM(CP25:CP26)</f>
        <v>459253.4919</v>
      </c>
      <c r="CR27" s="350"/>
      <c r="CV27" s="12">
        <f t="shared" si="7"/>
        <v>14</v>
      </c>
      <c r="CW27" s="135" t="s">
        <v>69</v>
      </c>
      <c r="CX27" s="260">
        <f>SUM(CX24:CX26)</f>
        <v>2590211</v>
      </c>
      <c r="CY27" s="260">
        <f>SUM(CY24:CY26)</f>
        <v>3140350</v>
      </c>
      <c r="CZ27" s="260">
        <f>SUM(CZ24:CZ26)</f>
        <v>550139</v>
      </c>
      <c r="DA27" s="12"/>
      <c r="DF27" s="495">
        <f t="shared" si="21"/>
        <v>14</v>
      </c>
      <c r="DG27" s="136"/>
      <c r="DH27" s="136"/>
      <c r="DI27" s="136"/>
      <c r="DJ27" s="136"/>
      <c r="DK27" s="12">
        <f>+DK26+1</f>
        <v>14</v>
      </c>
      <c r="DM27" s="411"/>
      <c r="DN27" s="411"/>
      <c r="DO27" s="411"/>
      <c r="DP27" s="411"/>
      <c r="DQ27" s="12">
        <f t="shared" si="23"/>
        <v>12</v>
      </c>
      <c r="DR27" s="13" t="s">
        <v>189</v>
      </c>
      <c r="DS27" s="8">
        <v>800512866</v>
      </c>
      <c r="DT27" s="29"/>
      <c r="DU27" s="29">
        <f>J39</f>
        <v>-65382955.70796704</v>
      </c>
      <c r="DV27" s="29"/>
      <c r="DW27" s="29">
        <v>0</v>
      </c>
      <c r="DX27" s="29">
        <v>0</v>
      </c>
      <c r="DY27" s="12">
        <f t="shared" si="24"/>
        <v>12</v>
      </c>
      <c r="DZ27" s="13" t="s">
        <v>189</v>
      </c>
      <c r="EA27" s="29">
        <v>0</v>
      </c>
      <c r="EB27" s="29">
        <f>AI31</f>
        <v>-38113445.26</v>
      </c>
      <c r="EC27" s="29">
        <v>0</v>
      </c>
      <c r="ED27" s="29">
        <v>0</v>
      </c>
      <c r="EE27" s="29">
        <v>0</v>
      </c>
      <c r="EF27" s="30">
        <v>0</v>
      </c>
      <c r="EG27" s="29"/>
      <c r="EH27" s="12">
        <f t="shared" si="25"/>
        <v>12</v>
      </c>
      <c r="EI27" s="13" t="s">
        <v>189</v>
      </c>
      <c r="EJ27" s="29">
        <v>0</v>
      </c>
      <c r="EK27" s="30">
        <v>0</v>
      </c>
      <c r="EL27" s="29"/>
      <c r="EM27" s="30">
        <v>0</v>
      </c>
      <c r="EN27" s="30">
        <v>0</v>
      </c>
      <c r="EO27" s="29">
        <v>0</v>
      </c>
      <c r="EP27" s="12">
        <f t="shared" si="26"/>
        <v>12</v>
      </c>
      <c r="EQ27" s="13" t="s">
        <v>189</v>
      </c>
      <c r="ER27" s="55">
        <v>0</v>
      </c>
      <c r="ES27" s="29">
        <v>0</v>
      </c>
      <c r="ET27" s="29">
        <v>0</v>
      </c>
      <c r="EU27" s="29">
        <v>0</v>
      </c>
      <c r="EV27" s="29">
        <v>0</v>
      </c>
      <c r="EW27" s="30">
        <f>SUM(DT27:EV27)-EH27-DY27-EP27</f>
        <v>-103496400.96796703</v>
      </c>
      <c r="EX27" s="30">
        <f>DS27+EW27</f>
        <v>697016465.032033</v>
      </c>
      <c r="EY27" s="12">
        <f t="shared" si="27"/>
        <v>12</v>
      </c>
      <c r="EZ27" s="13" t="s">
        <v>189</v>
      </c>
      <c r="FA27" s="29">
        <f>DS27</f>
        <v>800512866</v>
      </c>
      <c r="FB27" s="29">
        <f>EW27</f>
        <v>-103496400.96796703</v>
      </c>
      <c r="FC27" s="93">
        <f>+FA27+FB27</f>
        <v>697016465.032033</v>
      </c>
      <c r="FD27" s="93">
        <v>0</v>
      </c>
      <c r="FE27" s="93">
        <f>+FC27+FD27</f>
        <v>697016465.032033</v>
      </c>
      <c r="FF27" s="93"/>
      <c r="FG27" s="94"/>
    </row>
    <row r="28" spans="1:163" ht="14.25" customHeight="1" thickBot="1">
      <c r="A28" s="12">
        <f t="shared" si="11"/>
        <v>15</v>
      </c>
      <c r="B28" s="378">
        <v>39326</v>
      </c>
      <c r="C28" s="380">
        <v>54790972</v>
      </c>
      <c r="D28" s="380">
        <v>52732112</v>
      </c>
      <c r="E28" s="389">
        <f t="shared" si="22"/>
        <v>-2058860</v>
      </c>
      <c r="G28" s="12">
        <f t="shared" si="12"/>
        <v>15</v>
      </c>
      <c r="H28" s="399" t="s">
        <v>338</v>
      </c>
      <c r="I28" s="267"/>
      <c r="J28" s="324"/>
      <c r="K28" s="267"/>
      <c r="L28" s="12">
        <f t="shared" si="13"/>
        <v>15</v>
      </c>
      <c r="M28" s="355"/>
      <c r="N28" s="46"/>
      <c r="O28" s="46"/>
      <c r="P28" s="46"/>
      <c r="Q28" s="12">
        <f t="shared" si="30"/>
        <v>15</v>
      </c>
      <c r="S28" s="18"/>
      <c r="T28" s="18"/>
      <c r="U28" s="132"/>
      <c r="V28" s="12">
        <f>+V27+1</f>
        <v>15</v>
      </c>
      <c r="W28" s="3" t="s">
        <v>246</v>
      </c>
      <c r="X28" s="491">
        <f>BN16</f>
        <v>-187784</v>
      </c>
      <c r="Y28" s="102" t="s">
        <v>19</v>
      </c>
      <c r="Z28" s="12">
        <f t="shared" si="0"/>
        <v>15</v>
      </c>
      <c r="AA28" s="267" t="s">
        <v>329</v>
      </c>
      <c r="AB28" s="406">
        <f>SUM(AB26:AB27)</f>
        <v>304377.92175</v>
      </c>
      <c r="AC28" s="406">
        <f>SUM(AC26:AC27)</f>
        <v>303738.25</v>
      </c>
      <c r="AD28" s="406">
        <f>SUM(AD26:AD27)</f>
        <v>-639.67175</v>
      </c>
      <c r="AE28" s="437">
        <f t="shared" si="16"/>
        <v>15</v>
      </c>
      <c r="AF28" s="440" t="s">
        <v>361</v>
      </c>
      <c r="AG28" s="102"/>
      <c r="AH28" s="102"/>
      <c r="AI28" s="102"/>
      <c r="AK28" s="45">
        <f t="shared" si="1"/>
        <v>15</v>
      </c>
      <c r="AL28" s="127" t="s">
        <v>86</v>
      </c>
      <c r="AP28" s="477">
        <f>-AP25-AP27</f>
        <v>-276135</v>
      </c>
      <c r="AQ28" s="73">
        <f t="shared" si="17"/>
        <v>16</v>
      </c>
      <c r="AR28" s="442" t="s">
        <v>377</v>
      </c>
      <c r="BD28" s="3"/>
      <c r="BJ28" s="83"/>
      <c r="BK28" s="48"/>
      <c r="BL28" s="48"/>
      <c r="BM28" s="301"/>
      <c r="BN28" s="244"/>
      <c r="BO28" s="45">
        <f t="shared" si="18"/>
        <v>15</v>
      </c>
      <c r="BP28" s="226" t="s">
        <v>236</v>
      </c>
      <c r="BQ28" s="357">
        <v>1474000</v>
      </c>
      <c r="BR28" s="26"/>
      <c r="BS28" s="350"/>
      <c r="BT28" s="201"/>
      <c r="BU28" s="201"/>
      <c r="BV28" s="121"/>
      <c r="BW28" s="121"/>
      <c r="BX28" s="121"/>
      <c r="BY28" s="121"/>
      <c r="BZ28" s="121"/>
      <c r="CA28" s="15"/>
      <c r="CB28" s="15"/>
      <c r="CC28" s="15"/>
      <c r="CD28" s="15"/>
      <c r="CF28" s="12">
        <f>CF27+1</f>
        <v>15</v>
      </c>
      <c r="CG28" s="13"/>
      <c r="CH28" s="13"/>
      <c r="CI28" s="13"/>
      <c r="CJ28" s="80"/>
      <c r="CK28" s="80"/>
      <c r="CL28" s="80"/>
      <c r="CM28" s="12">
        <f t="shared" si="6"/>
        <v>15</v>
      </c>
      <c r="CN28" s="334"/>
      <c r="CO28" s="334"/>
      <c r="CP28" s="334"/>
      <c r="CQ28" s="204"/>
      <c r="CV28" s="12">
        <f t="shared" si="7"/>
        <v>15</v>
      </c>
      <c r="CW28" s="135"/>
      <c r="CX28" s="136"/>
      <c r="CY28" s="136"/>
      <c r="CZ28" s="259"/>
      <c r="DA28" s="12"/>
      <c r="DB28" s="37"/>
      <c r="DC28" s="37"/>
      <c r="DD28" s="37"/>
      <c r="DE28" s="37"/>
      <c r="DF28" s="495">
        <f t="shared" si="21"/>
        <v>15</v>
      </c>
      <c r="DG28" s="136"/>
      <c r="DH28" s="136"/>
      <c r="DI28" s="136"/>
      <c r="DJ28" s="136"/>
      <c r="DK28" s="83">
        <f>+DK27+1</f>
        <v>15</v>
      </c>
      <c r="DL28" s="87" t="s">
        <v>109</v>
      </c>
      <c r="DM28" s="411"/>
      <c r="DN28" s="411"/>
      <c r="DO28" s="411">
        <f>ROUND(DO14-DM25+DO25,5)</f>
        <v>0.37807</v>
      </c>
      <c r="DP28" s="415"/>
      <c r="DQ28" s="12">
        <f t="shared" si="23"/>
        <v>13</v>
      </c>
      <c r="DR28" s="13"/>
      <c r="DS28" s="56"/>
      <c r="DT28" s="52"/>
      <c r="DU28" s="52"/>
      <c r="DV28" s="52"/>
      <c r="DW28" s="52"/>
      <c r="DX28" s="52"/>
      <c r="DY28" s="12">
        <f t="shared" si="24"/>
        <v>13</v>
      </c>
      <c r="DZ28" s="13"/>
      <c r="EA28" s="52"/>
      <c r="EB28" s="53"/>
      <c r="EC28" s="52"/>
      <c r="ED28" s="56"/>
      <c r="EE28" s="52"/>
      <c r="EF28" s="53"/>
      <c r="EG28" s="53"/>
      <c r="EH28" s="12">
        <f t="shared" si="25"/>
        <v>13</v>
      </c>
      <c r="EI28" s="13"/>
      <c r="EJ28" s="53"/>
      <c r="EK28" s="53"/>
      <c r="EL28" s="53"/>
      <c r="EM28" s="53"/>
      <c r="EN28" s="53"/>
      <c r="EO28" s="53"/>
      <c r="EP28" s="12">
        <f t="shared" si="26"/>
        <v>13</v>
      </c>
      <c r="EQ28" s="13"/>
      <c r="ER28" s="53"/>
      <c r="ES28" s="53"/>
      <c r="ET28" s="53"/>
      <c r="EU28" s="53"/>
      <c r="EV28" s="53"/>
      <c r="EW28" s="53"/>
      <c r="EX28" s="53"/>
      <c r="EY28" s="12">
        <f t="shared" si="27"/>
        <v>13</v>
      </c>
      <c r="EZ28" s="13"/>
      <c r="FA28" s="53"/>
      <c r="FB28" s="52"/>
      <c r="FC28" s="94"/>
      <c r="FD28" s="94"/>
      <c r="FE28" s="95"/>
      <c r="FF28" s="67"/>
      <c r="FG28" s="94"/>
    </row>
    <row r="29" spans="1:163" s="87" customFormat="1" ht="13.5" thickTop="1">
      <c r="A29" s="12">
        <f t="shared" si="11"/>
        <v>16</v>
      </c>
      <c r="B29" s="267"/>
      <c r="C29" s="381">
        <f>ROUND(SUM(C17:C28),0)</f>
        <v>1106973902</v>
      </c>
      <c r="D29" s="381">
        <f>ROUND(SUM(D17:D28),0)</f>
        <v>1084208169</v>
      </c>
      <c r="E29" s="381">
        <f>ROUND(SUM(E17:E28),0)</f>
        <v>-22765733</v>
      </c>
      <c r="F29" s="3"/>
      <c r="G29" s="12">
        <f t="shared" si="12"/>
        <v>16</v>
      </c>
      <c r="H29" s="427" t="s">
        <v>339</v>
      </c>
      <c r="I29" s="267"/>
      <c r="J29" s="324">
        <v>220410.71762274764</v>
      </c>
      <c r="K29" s="267"/>
      <c r="L29" s="12">
        <f t="shared" si="13"/>
        <v>16</v>
      </c>
      <c r="M29" s="353" t="s">
        <v>111</v>
      </c>
      <c r="N29" s="68">
        <v>0</v>
      </c>
      <c r="O29" s="68">
        <v>0</v>
      </c>
      <c r="P29" s="96">
        <f>N29+O29</f>
        <v>0</v>
      </c>
      <c r="Q29" s="12">
        <f t="shared" si="30"/>
        <v>16</v>
      </c>
      <c r="R29" s="87" t="s">
        <v>108</v>
      </c>
      <c r="S29" s="133"/>
      <c r="U29" s="134">
        <f>SUM(U24:U27)</f>
        <v>17048433.157000005</v>
      </c>
      <c r="V29" s="12">
        <f t="shared" si="15"/>
        <v>16</v>
      </c>
      <c r="W29" s="26" t="s">
        <v>146</v>
      </c>
      <c r="X29" s="330"/>
      <c r="Y29" s="492">
        <f>SUM(X22:X28)</f>
        <v>72813898.35000001</v>
      </c>
      <c r="Z29" s="12">
        <f t="shared" si="0"/>
        <v>16</v>
      </c>
      <c r="AA29" s="267"/>
      <c r="AB29" s="407"/>
      <c r="AC29" s="407"/>
      <c r="AD29" s="407"/>
      <c r="AE29" s="437">
        <f t="shared" si="16"/>
        <v>16</v>
      </c>
      <c r="AF29" s="261" t="s">
        <v>365</v>
      </c>
      <c r="AG29" s="102"/>
      <c r="AH29" s="102"/>
      <c r="AI29" s="102">
        <v>-3344943</v>
      </c>
      <c r="AJ29" s="3"/>
      <c r="AK29" s="137"/>
      <c r="AL29" s="3"/>
      <c r="AM29" s="3"/>
      <c r="AN29" s="3"/>
      <c r="AO29" s="3"/>
      <c r="AQ29" s="73">
        <f t="shared" si="17"/>
        <v>17</v>
      </c>
      <c r="AR29" s="442" t="s">
        <v>378</v>
      </c>
      <c r="AS29" s="15">
        <v>3923.1698496</v>
      </c>
      <c r="AT29" s="3"/>
      <c r="AU29" s="238">
        <f>AT29-AS29</f>
        <v>-3923.1698496</v>
      </c>
      <c r="AZ29" s="90"/>
      <c r="BJ29" s="12"/>
      <c r="BK29" s="48"/>
      <c r="BL29" s="48"/>
      <c r="BM29" s="48"/>
      <c r="BN29" s="201"/>
      <c r="BO29" s="45">
        <f t="shared" si="18"/>
        <v>16</v>
      </c>
      <c r="BP29" s="226"/>
      <c r="BQ29" s="291"/>
      <c r="BR29" s="132"/>
      <c r="CA29" s="121"/>
      <c r="CB29" s="121"/>
      <c r="CC29" s="121"/>
      <c r="CD29" s="121"/>
      <c r="CE29" s="3"/>
      <c r="CF29" s="12">
        <f>CF28+1</f>
        <v>16</v>
      </c>
      <c r="CG29" s="84" t="s">
        <v>200</v>
      </c>
      <c r="CH29" s="84"/>
      <c r="CI29" s="84"/>
      <c r="CJ29" s="82"/>
      <c r="CK29" s="82"/>
      <c r="CL29" s="479">
        <f>CL27</f>
        <v>2268156</v>
      </c>
      <c r="CM29" s="12">
        <f t="shared" si="6"/>
        <v>16</v>
      </c>
      <c r="CN29" s="336" t="s">
        <v>40</v>
      </c>
      <c r="CO29" s="337"/>
      <c r="CP29" s="337"/>
      <c r="CQ29" s="190"/>
      <c r="CV29" s="12">
        <f t="shared" si="7"/>
        <v>16</v>
      </c>
      <c r="CW29" s="135" t="s">
        <v>200</v>
      </c>
      <c r="CX29" s="136"/>
      <c r="CY29" s="136"/>
      <c r="CZ29" s="259">
        <f>CZ27</f>
        <v>550139</v>
      </c>
      <c r="DA29" s="12"/>
      <c r="DB29" s="35"/>
      <c r="DC29" s="35"/>
      <c r="DD29" s="35"/>
      <c r="DE29" s="35"/>
      <c r="DF29" s="495">
        <f t="shared" si="21"/>
        <v>16</v>
      </c>
      <c r="DG29" s="136" t="s">
        <v>106</v>
      </c>
      <c r="DH29" s="250">
        <v>0.35</v>
      </c>
      <c r="DI29" s="136"/>
      <c r="DJ29" s="346">
        <f>(DJ16-DJ20-DJ21-DJ26)*DH29</f>
        <v>411328.1785759999</v>
      </c>
      <c r="DK29" s="12">
        <f>+DK28+1</f>
        <v>16</v>
      </c>
      <c r="DL29" s="13"/>
      <c r="DM29" s="411"/>
      <c r="DN29" s="413"/>
      <c r="DO29" s="482"/>
      <c r="DP29" s="413"/>
      <c r="DQ29" s="12">
        <f t="shared" si="23"/>
        <v>14</v>
      </c>
      <c r="DR29" s="13" t="s">
        <v>5</v>
      </c>
      <c r="DS29" s="51">
        <f aca="true" t="shared" si="31" ref="DS29:DX29">SUM(DS26:DS28)</f>
        <v>800512866</v>
      </c>
      <c r="DT29" s="51">
        <f t="shared" si="31"/>
        <v>0</v>
      </c>
      <c r="DU29" s="51">
        <f t="shared" si="31"/>
        <v>-65382955.70796704</v>
      </c>
      <c r="DV29" s="51">
        <f t="shared" si="31"/>
        <v>0</v>
      </c>
      <c r="DW29" s="51">
        <f t="shared" si="31"/>
        <v>0</v>
      </c>
      <c r="DX29" s="51">
        <f t="shared" si="31"/>
        <v>0</v>
      </c>
      <c r="DY29" s="12">
        <f t="shared" si="24"/>
        <v>14</v>
      </c>
      <c r="DZ29" s="13" t="s">
        <v>5</v>
      </c>
      <c r="EA29" s="51">
        <f aca="true" t="shared" si="32" ref="EA29:EF29">SUM(EA26:EA28)</f>
        <v>0</v>
      </c>
      <c r="EB29" s="51">
        <f t="shared" si="32"/>
        <v>-38113445.26</v>
      </c>
      <c r="EC29" s="51">
        <f t="shared" si="32"/>
        <v>0</v>
      </c>
      <c r="ED29" s="51">
        <f t="shared" si="32"/>
        <v>0</v>
      </c>
      <c r="EE29" s="51">
        <f t="shared" si="32"/>
        <v>0</v>
      </c>
      <c r="EF29" s="30">
        <f t="shared" si="32"/>
        <v>0</v>
      </c>
      <c r="EG29" s="59">
        <f>SUM(EG24:EG28)</f>
        <v>0</v>
      </c>
      <c r="EH29" s="12">
        <f t="shared" si="25"/>
        <v>14</v>
      </c>
      <c r="EI29" s="13" t="s">
        <v>5</v>
      </c>
      <c r="EJ29" s="51">
        <f>SUM(EJ26:EJ28)</f>
        <v>0</v>
      </c>
      <c r="EK29" s="30">
        <f>SUM(EK26:EK28)</f>
        <v>0</v>
      </c>
      <c r="EL29" s="51">
        <f>SUM(EL26:EL28)</f>
        <v>0</v>
      </c>
      <c r="EM29" s="30">
        <f>SUM(EM26:EM28)</f>
        <v>0</v>
      </c>
      <c r="EN29" s="30">
        <f>SUM(EN26:EN28)</f>
        <v>0</v>
      </c>
      <c r="EO29" s="51">
        <f>SUM(EO26:EO28)</f>
        <v>0</v>
      </c>
      <c r="EP29" s="12">
        <f t="shared" si="26"/>
        <v>14</v>
      </c>
      <c r="EQ29" s="13" t="s">
        <v>5</v>
      </c>
      <c r="ER29" s="30">
        <f>SUM(ER26:ER28)</f>
        <v>0</v>
      </c>
      <c r="ES29" s="51">
        <f>SUM(ES26:ES28)</f>
        <v>0</v>
      </c>
      <c r="ET29" s="51">
        <f>SUM(ET26:ET28)</f>
        <v>0</v>
      </c>
      <c r="EU29" s="51">
        <f>SUM(EU26:EU28)</f>
        <v>0</v>
      </c>
      <c r="EV29" s="51">
        <f>SUM(EV26:EV28)</f>
        <v>0</v>
      </c>
      <c r="EW29" s="51">
        <f>SUM(EW26:EW28)</f>
        <v>-103496400.96796703</v>
      </c>
      <c r="EX29" s="30">
        <f>DS29+EW29</f>
        <v>697016465.032033</v>
      </c>
      <c r="EY29" s="12">
        <f t="shared" si="27"/>
        <v>14</v>
      </c>
      <c r="EZ29" s="13" t="s">
        <v>5</v>
      </c>
      <c r="FA29" s="51">
        <f>SUM(FA25:FA28)</f>
        <v>800512866</v>
      </c>
      <c r="FB29" s="51">
        <f>SUM(FB25:FB28)</f>
        <v>-103496400.96796703</v>
      </c>
      <c r="FC29" s="51">
        <f>SUM(FC25:FC28)</f>
        <v>697016465.032033</v>
      </c>
      <c r="FD29" s="51">
        <f>SUM(FD25:FD28)</f>
        <v>0</v>
      </c>
      <c r="FE29" s="51">
        <f>SUM(FE25:FE28)</f>
        <v>697016465.032033</v>
      </c>
      <c r="FF29" s="59"/>
      <c r="FG29" s="59"/>
    </row>
    <row r="30" spans="1:163" ht="14.25" thickBot="1">
      <c r="A30" s="12">
        <f t="shared" si="11"/>
        <v>17</v>
      </c>
      <c r="B30" s="267"/>
      <c r="C30" s="257"/>
      <c r="D30" s="257"/>
      <c r="E30" s="267"/>
      <c r="G30" s="12">
        <f t="shared" si="12"/>
        <v>17</v>
      </c>
      <c r="H30" s="428" t="s">
        <v>334</v>
      </c>
      <c r="I30" s="267"/>
      <c r="J30" s="424">
        <v>74269.34237725195</v>
      </c>
      <c r="K30" s="267"/>
      <c r="L30" s="12">
        <f t="shared" si="13"/>
        <v>17</v>
      </c>
      <c r="M30" s="261" t="s">
        <v>6</v>
      </c>
      <c r="N30" s="68">
        <v>0</v>
      </c>
      <c r="O30" s="68">
        <v>0</v>
      </c>
      <c r="P30" s="94">
        <f aca="true" t="shared" si="33" ref="P30:P39">+N30+O30</f>
        <v>0</v>
      </c>
      <c r="Q30" s="12">
        <f t="shared" si="30"/>
        <v>17</v>
      </c>
      <c r="T30" s="331">
        <f>ROUND(U29-SUM(DS44:DS45),0)</f>
        <v>0</v>
      </c>
      <c r="U30" s="108"/>
      <c r="V30" s="12">
        <f t="shared" si="15"/>
        <v>17</v>
      </c>
      <c r="W30" s="3" t="s">
        <v>268</v>
      </c>
      <c r="X30" s="302"/>
      <c r="Y30" s="24">
        <f>-Y19+Y29</f>
        <v>22892421.0018555</v>
      </c>
      <c r="Z30" s="12">
        <f t="shared" si="0"/>
        <v>17</v>
      </c>
      <c r="AA30" s="267" t="s">
        <v>330</v>
      </c>
      <c r="AB30" s="406">
        <v>48221.105915399996</v>
      </c>
      <c r="AC30" s="406">
        <v>20656.37002533174</v>
      </c>
      <c r="AD30" s="405">
        <f>AC30-AB30</f>
        <v>-27564.735890068256</v>
      </c>
      <c r="AE30" s="437">
        <f t="shared" si="16"/>
        <v>17</v>
      </c>
      <c r="AF30" s="261" t="s">
        <v>366</v>
      </c>
      <c r="AG30" s="102"/>
      <c r="AH30" s="102"/>
      <c r="AI30" s="102">
        <v>-4796112.4</v>
      </c>
      <c r="AK30" s="350"/>
      <c r="AQ30" s="73">
        <f t="shared" si="17"/>
        <v>18</v>
      </c>
      <c r="AR30" s="442" t="s">
        <v>379</v>
      </c>
      <c r="AS30" s="15">
        <v>1311.8099184599998</v>
      </c>
      <c r="AT30" s="87"/>
      <c r="AU30" s="238">
        <f>AT30-AS30</f>
        <v>-1311.8099184599998</v>
      </c>
      <c r="AV30" s="25"/>
      <c r="BD30" s="3"/>
      <c r="BJ30" s="12"/>
      <c r="BK30" s="2"/>
      <c r="BL30" s="2"/>
      <c r="BM30" s="2"/>
      <c r="BN30" s="2"/>
      <c r="BO30" s="45">
        <f t="shared" si="18"/>
        <v>17</v>
      </c>
      <c r="BP30" s="293" t="s">
        <v>256</v>
      </c>
      <c r="BQ30" s="358">
        <f>BQ28/2</f>
        <v>737000</v>
      </c>
      <c r="BZ30" s="15"/>
      <c r="CA30" s="87"/>
      <c r="CB30" s="87"/>
      <c r="CC30" s="87"/>
      <c r="CD30" s="87"/>
      <c r="CE30" s="87"/>
      <c r="CF30" s="12">
        <f>CF29+1</f>
        <v>17</v>
      </c>
      <c r="CG30" s="13" t="s">
        <v>170</v>
      </c>
      <c r="CH30" s="13" t="s">
        <v>199</v>
      </c>
      <c r="CI30" s="189">
        <f>_FEDERAL_INCOME_TAX</f>
        <v>0.35</v>
      </c>
      <c r="CJ30" s="80"/>
      <c r="CK30" s="80"/>
      <c r="CL30" s="56">
        <f>-CL29*CI30</f>
        <v>-793854.6</v>
      </c>
      <c r="CM30" s="12">
        <f t="shared" si="6"/>
        <v>17</v>
      </c>
      <c r="CN30" s="338" t="s">
        <v>255</v>
      </c>
      <c r="CO30" s="332"/>
      <c r="CP30" s="332"/>
      <c r="CQ30" s="123">
        <f>+CQ17+CQ22+CQ27</f>
        <v>3197124.4698</v>
      </c>
      <c r="CU30" s="208"/>
      <c r="CV30" s="12">
        <f t="shared" si="7"/>
        <v>17</v>
      </c>
      <c r="DA30" s="12"/>
      <c r="DB30" s="35"/>
      <c r="DC30" s="35"/>
      <c r="DD30" s="35"/>
      <c r="DE30" s="35"/>
      <c r="DF30" s="495">
        <f t="shared" si="21"/>
        <v>17</v>
      </c>
      <c r="DG30" s="136" t="s">
        <v>397</v>
      </c>
      <c r="DH30" s="136"/>
      <c r="DI30" s="136"/>
      <c r="DJ30" s="136">
        <f>SUM(DJ20:DJ29)</f>
        <v>464492.81121599994</v>
      </c>
      <c r="DK30" s="12">
        <f>+DK29+1</f>
        <v>17</v>
      </c>
      <c r="DL30" s="13" t="s">
        <v>23</v>
      </c>
      <c r="DM30" s="411"/>
      <c r="DN30" s="413"/>
      <c r="DO30" s="483">
        <f>ROUND(DM25-DO25,5)</f>
        <v>0.62193</v>
      </c>
      <c r="DP30" s="414"/>
      <c r="DQ30" s="12">
        <f t="shared" si="23"/>
        <v>15</v>
      </c>
      <c r="DR30" s="133"/>
      <c r="DS30" s="46"/>
      <c r="DT30" s="46"/>
      <c r="DU30" s="46"/>
      <c r="DV30" s="46"/>
      <c r="DW30" s="46"/>
      <c r="DX30" s="46"/>
      <c r="DY30" s="12">
        <f t="shared" si="24"/>
        <v>15</v>
      </c>
      <c r="DZ30" s="133"/>
      <c r="EA30" s="46"/>
      <c r="EB30" s="47"/>
      <c r="EC30" s="46"/>
      <c r="ED30" s="90"/>
      <c r="EE30" s="90"/>
      <c r="EF30" s="48"/>
      <c r="EG30" s="47"/>
      <c r="EH30" s="12">
        <f t="shared" si="25"/>
        <v>15</v>
      </c>
      <c r="EI30" s="133"/>
      <c r="EJ30" s="47"/>
      <c r="EK30" s="48"/>
      <c r="EL30" s="47"/>
      <c r="EM30" s="48"/>
      <c r="EN30" s="48"/>
      <c r="EO30" s="47"/>
      <c r="EP30" s="12">
        <f t="shared" si="26"/>
        <v>15</v>
      </c>
      <c r="EQ30" s="133"/>
      <c r="ER30" s="47"/>
      <c r="ES30" s="47"/>
      <c r="ET30" s="47"/>
      <c r="EU30" s="47"/>
      <c r="EV30" s="47"/>
      <c r="EW30" s="46"/>
      <c r="EX30" s="46"/>
      <c r="EY30" s="12">
        <f t="shared" si="27"/>
        <v>15</v>
      </c>
      <c r="EZ30" s="133"/>
      <c r="FA30" s="46"/>
      <c r="FB30" s="46"/>
      <c r="FC30" s="46"/>
      <c r="FD30" s="46"/>
      <c r="FE30" s="46"/>
      <c r="FF30" s="46"/>
      <c r="FG30" s="46"/>
    </row>
    <row r="31" spans="1:163" ht="14.25" thickBot="1" thickTop="1">
      <c r="A31" s="12">
        <f t="shared" si="11"/>
        <v>18</v>
      </c>
      <c r="B31" s="267" t="s">
        <v>285</v>
      </c>
      <c r="C31" s="263" t="s">
        <v>293</v>
      </c>
      <c r="D31" s="259"/>
      <c r="E31" s="382">
        <v>-17702846.626214623</v>
      </c>
      <c r="F31" s="267"/>
      <c r="G31" s="12">
        <f t="shared" si="12"/>
        <v>18</v>
      </c>
      <c r="H31" s="399" t="s">
        <v>2</v>
      </c>
      <c r="I31" s="324"/>
      <c r="J31" s="136"/>
      <c r="K31" s="387"/>
      <c r="L31" s="12">
        <f t="shared" si="13"/>
        <v>18</v>
      </c>
      <c r="M31" s="261" t="s">
        <v>7</v>
      </c>
      <c r="N31" s="68">
        <v>0</v>
      </c>
      <c r="O31" s="68">
        <v>0</v>
      </c>
      <c r="P31" s="94">
        <f t="shared" si="33"/>
        <v>0</v>
      </c>
      <c r="Q31" s="12">
        <f t="shared" si="30"/>
        <v>18</v>
      </c>
      <c r="R31" s="13" t="s">
        <v>93</v>
      </c>
      <c r="S31" s="13"/>
      <c r="T31" s="13"/>
      <c r="U31" s="29">
        <f>U17-U24</f>
        <v>-2165855.1765509667</v>
      </c>
      <c r="V31" s="12">
        <f t="shared" si="15"/>
        <v>18</v>
      </c>
      <c r="W31" s="3" t="s">
        <v>19</v>
      </c>
      <c r="Y31" s="80" t="s">
        <v>19</v>
      </c>
      <c r="Z31" s="12">
        <f t="shared" si="0"/>
        <v>18</v>
      </c>
      <c r="AA31" s="267"/>
      <c r="AB31" s="436"/>
      <c r="AC31" s="436"/>
      <c r="AD31" s="407"/>
      <c r="AE31" s="437">
        <f t="shared" si="16"/>
        <v>18</v>
      </c>
      <c r="AF31" s="261" t="s">
        <v>309</v>
      </c>
      <c r="AG31" s="102"/>
      <c r="AH31" s="102"/>
      <c r="AI31" s="102">
        <v>-38113445.26</v>
      </c>
      <c r="AQ31" s="73">
        <f t="shared" si="17"/>
        <v>19</v>
      </c>
      <c r="AR31" s="484" t="s">
        <v>381</v>
      </c>
      <c r="AS31" s="485">
        <v>14908.04542848</v>
      </c>
      <c r="AT31" s="486"/>
      <c r="AU31" s="242">
        <f>AT31-AS31</f>
        <v>-14908.04542848</v>
      </c>
      <c r="AV31" s="20"/>
      <c r="BD31" s="3"/>
      <c r="BO31" s="45">
        <f t="shared" si="18"/>
        <v>18</v>
      </c>
      <c r="BP31" s="224" t="s">
        <v>237</v>
      </c>
      <c r="BQ31" s="289">
        <v>316969</v>
      </c>
      <c r="BX31" s="8"/>
      <c r="BY31" s="152"/>
      <c r="BZ31" s="15"/>
      <c r="CF31" s="12">
        <f>CF30+1</f>
        <v>18</v>
      </c>
      <c r="CG31" s="13" t="s">
        <v>86</v>
      </c>
      <c r="CH31" s="13"/>
      <c r="CI31" s="13"/>
      <c r="CL31" s="349">
        <f>-CL29-CL30</f>
        <v>-1474301.4</v>
      </c>
      <c r="CM31" s="12">
        <f t="shared" si="6"/>
        <v>18</v>
      </c>
      <c r="CN31" s="338" t="s">
        <v>140</v>
      </c>
      <c r="CO31" s="305">
        <v>0.5572</v>
      </c>
      <c r="CP31" s="305"/>
      <c r="CQ31" s="123">
        <f>+CQ30*CO31</f>
        <v>1781437.75457256</v>
      </c>
      <c r="CV31" s="12">
        <f t="shared" si="7"/>
        <v>18</v>
      </c>
      <c r="CW31" s="13" t="s">
        <v>77</v>
      </c>
      <c r="CX31" s="136"/>
      <c r="CY31" s="448">
        <f>_FEDERAL_INCOME_TAX</f>
        <v>0.35</v>
      </c>
      <c r="CZ31" s="259">
        <f>ROUND(-CZ29*CY31,0)</f>
        <v>-192549</v>
      </c>
      <c r="DA31" s="12"/>
      <c r="DB31" s="5"/>
      <c r="DC31" s="5"/>
      <c r="DD31" s="5"/>
      <c r="DE31" s="5"/>
      <c r="DF31" s="495">
        <f t="shared" si="21"/>
        <v>18</v>
      </c>
      <c r="DG31" s="136"/>
      <c r="DH31" s="136"/>
      <c r="DI31" s="136"/>
      <c r="DJ31" s="136"/>
      <c r="DP31" s="152"/>
      <c r="DQ31" s="12">
        <f t="shared" si="23"/>
        <v>16</v>
      </c>
      <c r="DR31" s="33" t="s">
        <v>137</v>
      </c>
      <c r="DS31" s="8">
        <v>1700509</v>
      </c>
      <c r="DT31" s="29"/>
      <c r="DU31" s="29">
        <v>0</v>
      </c>
      <c r="DV31" s="29"/>
      <c r="DW31" s="29">
        <v>0</v>
      </c>
      <c r="DX31" s="29">
        <v>0</v>
      </c>
      <c r="DY31" s="12">
        <f t="shared" si="24"/>
        <v>16</v>
      </c>
      <c r="DZ31" s="33" t="s">
        <v>137</v>
      </c>
      <c r="EA31" s="29">
        <v>0</v>
      </c>
      <c r="EB31" s="29">
        <v>0</v>
      </c>
      <c r="EC31" s="29">
        <v>0</v>
      </c>
      <c r="ED31" s="29">
        <v>0</v>
      </c>
      <c r="EE31" s="29">
        <v>0</v>
      </c>
      <c r="EF31" s="55">
        <v>0</v>
      </c>
      <c r="EG31" s="55"/>
      <c r="EH31" s="12">
        <f t="shared" si="25"/>
        <v>16</v>
      </c>
      <c r="EI31" s="33" t="s">
        <v>137</v>
      </c>
      <c r="EJ31" s="55"/>
      <c r="EK31" s="55">
        <v>0</v>
      </c>
      <c r="EL31" s="55"/>
      <c r="EM31" s="55">
        <v>0</v>
      </c>
      <c r="EN31" s="55">
        <v>0</v>
      </c>
      <c r="EO31" s="55">
        <f>+CL16+CL17+CL15</f>
        <v>54124</v>
      </c>
      <c r="EP31" s="12">
        <f t="shared" si="26"/>
        <v>16</v>
      </c>
      <c r="EQ31" s="33" t="s">
        <v>137</v>
      </c>
      <c r="ER31" s="55">
        <v>0</v>
      </c>
      <c r="ES31" s="55">
        <v>0</v>
      </c>
      <c r="ET31" s="55">
        <f>SUM(CZ15:CZ17)</f>
        <v>14478</v>
      </c>
      <c r="EU31" s="55"/>
      <c r="EV31" s="55"/>
      <c r="EW31" s="30">
        <f>SUM(DT31:EV31)-EH31-DY31-EP31</f>
        <v>68602</v>
      </c>
      <c r="EX31" s="30">
        <f aca="true" t="shared" si="34" ref="EX31:EX45">DS31+EW31</f>
        <v>1769111</v>
      </c>
      <c r="EY31" s="12">
        <f t="shared" si="27"/>
        <v>16</v>
      </c>
      <c r="EZ31" s="105" t="s">
        <v>111</v>
      </c>
      <c r="FA31" s="29">
        <f aca="true" t="shared" si="35" ref="FA31:FA45">DS31</f>
        <v>1700509</v>
      </c>
      <c r="FB31" s="29">
        <f aca="true" t="shared" si="36" ref="FB31:FB41">EW31</f>
        <v>68602</v>
      </c>
      <c r="FC31" s="93">
        <f>FA31+FB31</f>
        <v>1769111</v>
      </c>
      <c r="FD31" s="93">
        <v>0</v>
      </c>
      <c r="FE31" s="93">
        <f>FC31+FD31</f>
        <v>1769111</v>
      </c>
      <c r="FF31" s="93"/>
      <c r="FG31" s="93"/>
    </row>
    <row r="32" spans="1:163" ht="14.25" customHeight="1" thickBot="1" thickTop="1">
      <c r="A32" s="12">
        <f t="shared" si="11"/>
        <v>19</v>
      </c>
      <c r="B32" s="332"/>
      <c r="C32" s="263" t="s">
        <v>294</v>
      </c>
      <c r="D32" s="136"/>
      <c r="E32" s="388">
        <v>0</v>
      </c>
      <c r="F32" s="267"/>
      <c r="G32" s="12">
        <f t="shared" si="12"/>
        <v>19</v>
      </c>
      <c r="H32" s="428" t="s">
        <v>346</v>
      </c>
      <c r="I32" s="324"/>
      <c r="J32" s="136"/>
      <c r="K32" s="387"/>
      <c r="L32" s="12">
        <f t="shared" si="13"/>
        <v>19</v>
      </c>
      <c r="M32" s="339" t="s">
        <v>117</v>
      </c>
      <c r="N32" s="68">
        <v>0</v>
      </c>
      <c r="O32" s="68">
        <v>0</v>
      </c>
      <c r="P32" s="94">
        <f t="shared" si="33"/>
        <v>0</v>
      </c>
      <c r="Q32" s="12">
        <f t="shared" si="30"/>
        <v>19</v>
      </c>
      <c r="R32" s="13" t="s">
        <v>110</v>
      </c>
      <c r="U32" s="7">
        <f>(U18+U19)-(U25+U26)</f>
        <v>2239195.8429999948</v>
      </c>
      <c r="V32" s="12">
        <f t="shared" si="15"/>
        <v>19</v>
      </c>
      <c r="W32" s="135" t="s">
        <v>147</v>
      </c>
      <c r="X32" s="243">
        <f>_FEDERAL_INCOME_TAX</f>
        <v>0.35</v>
      </c>
      <c r="Y32" s="136">
        <f>Y30*X32</f>
        <v>8012347.350649425</v>
      </c>
      <c r="Z32" s="12">
        <f t="shared" si="0"/>
        <v>19</v>
      </c>
      <c r="AA32" s="261" t="s">
        <v>69</v>
      </c>
      <c r="AB32" s="379"/>
      <c r="AC32" s="379"/>
      <c r="AD32" s="489">
        <f>AD24+AD28+AD30</f>
        <v>14032672.941647712</v>
      </c>
      <c r="AE32" s="437">
        <f t="shared" si="16"/>
        <v>19</v>
      </c>
      <c r="AF32" s="261" t="s">
        <v>312</v>
      </c>
      <c r="AG32" s="102"/>
      <c r="AH32" s="102"/>
      <c r="AI32" s="102">
        <v>-49572239.93</v>
      </c>
      <c r="AQ32" s="73">
        <f t="shared" si="17"/>
        <v>20</v>
      </c>
      <c r="AR32" s="13" t="s">
        <v>80</v>
      </c>
      <c r="AS32" s="59">
        <f>SUM(AS15:AS31)</f>
        <v>11559435.78994154</v>
      </c>
      <c r="AT32" s="59">
        <f>SUM(AT15:AT31)</f>
        <v>11202562.401426667</v>
      </c>
      <c r="AU32" s="59">
        <f>SUM(AU15:AU31)</f>
        <v>-356873.38851487346</v>
      </c>
      <c r="BD32" s="3"/>
      <c r="BO32" s="45">
        <f t="shared" si="18"/>
        <v>19</v>
      </c>
      <c r="BP32" s="224"/>
      <c r="BQ32" s="344"/>
      <c r="BR32" s="132"/>
      <c r="BX32" s="14"/>
      <c r="BY32" s="152"/>
      <c r="BZ32" s="15"/>
      <c r="CM32" s="12">
        <f t="shared" si="6"/>
        <v>19</v>
      </c>
      <c r="CN32" s="261" t="s">
        <v>278</v>
      </c>
      <c r="CO32" s="16"/>
      <c r="CP32" s="16"/>
      <c r="CQ32" s="128">
        <f>(+CP15+CP20+CP25)*CO31</f>
        <v>1686681.1752000002</v>
      </c>
      <c r="CV32" s="12">
        <f t="shared" si="7"/>
        <v>19</v>
      </c>
      <c r="CW32" s="13" t="s">
        <v>82</v>
      </c>
      <c r="CX32" s="13"/>
      <c r="CY32" s="135"/>
      <c r="CZ32" s="460">
        <f>-CZ29-CZ31</f>
        <v>-357590</v>
      </c>
      <c r="DA32" s="12"/>
      <c r="DF32" s="495">
        <f t="shared" si="21"/>
        <v>19</v>
      </c>
      <c r="DG32" s="136" t="s">
        <v>398</v>
      </c>
      <c r="DH32" s="136"/>
      <c r="DI32" s="136"/>
      <c r="DJ32" s="136">
        <f>+DJ23+DJ30</f>
        <v>464492.81121599994</v>
      </c>
      <c r="DK32" s="350"/>
      <c r="DO32" s="208"/>
      <c r="DQ32" s="12">
        <f t="shared" si="23"/>
        <v>17</v>
      </c>
      <c r="DR32" s="13" t="s">
        <v>6</v>
      </c>
      <c r="DS32" s="56">
        <v>570155</v>
      </c>
      <c r="DT32" s="52"/>
      <c r="DU32" s="52"/>
      <c r="DV32" s="52"/>
      <c r="DW32" s="52"/>
      <c r="DX32" s="52"/>
      <c r="DY32" s="12">
        <f t="shared" si="24"/>
        <v>17</v>
      </c>
      <c r="DZ32" s="13" t="s">
        <v>6</v>
      </c>
      <c r="EA32" s="52"/>
      <c r="EB32" s="52"/>
      <c r="EC32" s="52"/>
      <c r="ED32" s="56">
        <f>+AU16</f>
        <v>6661</v>
      </c>
      <c r="EE32" s="52"/>
      <c r="EF32" s="52"/>
      <c r="EG32" s="52"/>
      <c r="EH32" s="12">
        <f t="shared" si="25"/>
        <v>17</v>
      </c>
      <c r="EI32" s="13" t="s">
        <v>6</v>
      </c>
      <c r="EJ32" s="52"/>
      <c r="EK32" s="52"/>
      <c r="EL32" s="52"/>
      <c r="EM32" s="52"/>
      <c r="EN32" s="52"/>
      <c r="EO32" s="52">
        <f>+CL18</f>
        <v>14409</v>
      </c>
      <c r="EP32" s="12">
        <f t="shared" si="26"/>
        <v>17</v>
      </c>
      <c r="EQ32" s="13" t="s">
        <v>6</v>
      </c>
      <c r="ER32" s="70"/>
      <c r="ES32" s="52"/>
      <c r="ET32" s="52">
        <f>CZ18</f>
        <v>3562</v>
      </c>
      <c r="EU32" s="52"/>
      <c r="EV32" s="52"/>
      <c r="EW32" s="52">
        <f>SUM(DT32:EV32)-EH32-DY32-EP32</f>
        <v>24632</v>
      </c>
      <c r="EX32" s="52">
        <f t="shared" si="34"/>
        <v>594787</v>
      </c>
      <c r="EY32" s="12">
        <f t="shared" si="27"/>
        <v>17</v>
      </c>
      <c r="EZ32" s="13" t="s">
        <v>6</v>
      </c>
      <c r="FA32" s="52">
        <f t="shared" si="35"/>
        <v>570155</v>
      </c>
      <c r="FB32" s="123">
        <f t="shared" si="36"/>
        <v>24632</v>
      </c>
      <c r="FC32" s="94">
        <f aca="true" t="shared" si="37" ref="FC32:FC41">+FA32+FB32</f>
        <v>594787</v>
      </c>
      <c r="FD32" s="94"/>
      <c r="FE32" s="94">
        <f aca="true" t="shared" si="38" ref="FE32:FE41">+FC32+FD32</f>
        <v>594787</v>
      </c>
      <c r="FF32" s="94"/>
      <c r="FG32" s="94"/>
    </row>
    <row r="33" spans="1:163" ht="15" thickBot="1" thickTop="1">
      <c r="A33" s="12">
        <f t="shared" si="11"/>
        <v>20</v>
      </c>
      <c r="B33" s="267"/>
      <c r="C33" s="353" t="s">
        <v>297</v>
      </c>
      <c r="D33" s="136"/>
      <c r="E33" s="388">
        <v>-6002461.99733426</v>
      </c>
      <c r="F33" s="267"/>
      <c r="G33" s="12">
        <f t="shared" si="12"/>
        <v>20</v>
      </c>
      <c r="H33" s="425" t="s">
        <v>347</v>
      </c>
      <c r="I33" s="324"/>
      <c r="J33" s="300">
        <f>-J17</f>
        <v>903738.7278212332</v>
      </c>
      <c r="K33" s="387"/>
      <c r="L33" s="12">
        <f t="shared" si="13"/>
        <v>20</v>
      </c>
      <c r="M33" s="261" t="s">
        <v>9</v>
      </c>
      <c r="N33" s="68">
        <v>0</v>
      </c>
      <c r="O33" s="68">
        <v>0</v>
      </c>
      <c r="P33" s="94">
        <f t="shared" si="33"/>
        <v>0</v>
      </c>
      <c r="Q33" s="12">
        <f>Q32+1</f>
        <v>20</v>
      </c>
      <c r="R33" s="3" t="s">
        <v>112</v>
      </c>
      <c r="U33" s="52">
        <f>U20-U27</f>
        <v>-451713.5</v>
      </c>
      <c r="V33" s="12">
        <f t="shared" si="15"/>
        <v>20</v>
      </c>
      <c r="W33" s="3" t="s">
        <v>86</v>
      </c>
      <c r="X33" s="302"/>
      <c r="Y33" s="477">
        <f>-Y32</f>
        <v>-8012347.350649425</v>
      </c>
      <c r="Z33" s="469">
        <f t="shared" si="0"/>
        <v>20</v>
      </c>
      <c r="AA33" s="261" t="s">
        <v>93</v>
      </c>
      <c r="AB33" s="379"/>
      <c r="AC33" s="379"/>
      <c r="AD33" s="379">
        <v>0</v>
      </c>
      <c r="AE33" s="437">
        <f t="shared" si="16"/>
        <v>20</v>
      </c>
      <c r="AF33" s="267" t="s">
        <v>311</v>
      </c>
      <c r="AG33" s="102"/>
      <c r="AH33" s="102"/>
      <c r="AI33" s="102" t="s">
        <v>313</v>
      </c>
      <c r="AQ33" s="73">
        <f t="shared" si="17"/>
        <v>21</v>
      </c>
      <c r="AR33" s="33"/>
      <c r="AS33" s="241"/>
      <c r="AT33" s="76"/>
      <c r="AU33" s="20"/>
      <c r="BD33" s="3"/>
      <c r="BO33" s="45">
        <f t="shared" si="18"/>
        <v>20</v>
      </c>
      <c r="BP33" s="226" t="s">
        <v>68</v>
      </c>
      <c r="BQ33" s="357">
        <f>BQ30-BQ31</f>
        <v>420031</v>
      </c>
      <c r="BR33" s="128">
        <f>BQ33</f>
        <v>420031</v>
      </c>
      <c r="BZ33" s="15"/>
      <c r="CF33" s="350"/>
      <c r="CM33" s="12">
        <f t="shared" si="6"/>
        <v>20</v>
      </c>
      <c r="CN33" s="339" t="s">
        <v>68</v>
      </c>
      <c r="CO33" s="340"/>
      <c r="CP33" s="340"/>
      <c r="CQ33" s="480">
        <f>CQ31-CQ32</f>
        <v>94756.5793725599</v>
      </c>
      <c r="DF33" s="495">
        <f t="shared" si="21"/>
        <v>20</v>
      </c>
      <c r="DG33" s="136"/>
      <c r="DH33" s="136"/>
      <c r="DI33" s="136"/>
      <c r="DJ33" s="136"/>
      <c r="DM33" s="2"/>
      <c r="DQ33" s="12">
        <f>+DQ32+1</f>
        <v>18</v>
      </c>
      <c r="DR33" s="13" t="s">
        <v>7</v>
      </c>
      <c r="DS33" s="56">
        <v>40817492</v>
      </c>
      <c r="DT33" s="52"/>
      <c r="DU33" s="52"/>
      <c r="DV33" s="52"/>
      <c r="DW33" s="52"/>
      <c r="DX33" s="52"/>
      <c r="DY33" s="12">
        <f>+DY32+1</f>
        <v>18</v>
      </c>
      <c r="DZ33" s="13" t="s">
        <v>7</v>
      </c>
      <c r="EA33" s="52"/>
      <c r="EB33" s="52"/>
      <c r="EC33" s="52"/>
      <c r="ED33" s="56">
        <f>+AU17</f>
        <v>442344</v>
      </c>
      <c r="EE33" s="52"/>
      <c r="EF33" s="52"/>
      <c r="EG33" s="52"/>
      <c r="EH33" s="12">
        <f>+EH32+1</f>
        <v>18</v>
      </c>
      <c r="EI33" s="13" t="s">
        <v>7</v>
      </c>
      <c r="EJ33" s="52"/>
      <c r="EK33" s="52"/>
      <c r="EL33" s="52"/>
      <c r="EM33" s="52"/>
      <c r="EN33" s="52"/>
      <c r="EO33" s="52">
        <f>CL19</f>
        <v>1099143</v>
      </c>
      <c r="EP33" s="12">
        <f t="shared" si="26"/>
        <v>18</v>
      </c>
      <c r="EQ33" s="13" t="s">
        <v>7</v>
      </c>
      <c r="ER33" s="70"/>
      <c r="ES33" s="52"/>
      <c r="ET33" s="52">
        <f>CZ19</f>
        <v>253426</v>
      </c>
      <c r="EU33" s="52"/>
      <c r="EV33" s="52"/>
      <c r="EW33" s="52">
        <f>SUM(DT33:EV33)-EH33-DY33-EP33</f>
        <v>1794913</v>
      </c>
      <c r="EX33" s="52">
        <f t="shared" si="34"/>
        <v>42612405</v>
      </c>
      <c r="EY33" s="12">
        <f>+EY32+1</f>
        <v>18</v>
      </c>
      <c r="EZ33" s="13" t="s">
        <v>7</v>
      </c>
      <c r="FA33" s="52">
        <f t="shared" si="35"/>
        <v>40817492</v>
      </c>
      <c r="FB33" s="123">
        <f t="shared" si="36"/>
        <v>1794913</v>
      </c>
      <c r="FC33" s="94">
        <f t="shared" si="37"/>
        <v>42612405</v>
      </c>
      <c r="FD33" s="94"/>
      <c r="FE33" s="94">
        <f t="shared" si="38"/>
        <v>42612405</v>
      </c>
      <c r="FF33" s="94"/>
      <c r="FG33" s="94"/>
    </row>
    <row r="34" spans="1:163" ht="15" thickBot="1" thickTop="1">
      <c r="A34" s="12">
        <f t="shared" si="11"/>
        <v>21</v>
      </c>
      <c r="B34" s="267"/>
      <c r="C34" s="263" t="s">
        <v>298</v>
      </c>
      <c r="D34" s="136"/>
      <c r="E34" s="388">
        <v>0.07790955901145935</v>
      </c>
      <c r="F34" s="267"/>
      <c r="G34" s="12">
        <f t="shared" si="12"/>
        <v>21</v>
      </c>
      <c r="H34" s="267" t="s">
        <v>340</v>
      </c>
      <c r="I34" s="324"/>
      <c r="J34" s="429"/>
      <c r="K34" s="136">
        <f>SUM(J29:J34)</f>
        <v>1198418.7878212328</v>
      </c>
      <c r="L34" s="12">
        <f t="shared" si="13"/>
        <v>21</v>
      </c>
      <c r="M34" s="261" t="s">
        <v>10</v>
      </c>
      <c r="N34" s="68">
        <v>0</v>
      </c>
      <c r="O34" s="68">
        <v>0</v>
      </c>
      <c r="P34" s="94">
        <f t="shared" si="33"/>
        <v>0</v>
      </c>
      <c r="Q34" s="12">
        <f>Q33+1</f>
        <v>21</v>
      </c>
      <c r="R34" s="13" t="s">
        <v>113</v>
      </c>
      <c r="S34" s="13"/>
      <c r="T34" s="13"/>
      <c r="U34" s="352">
        <f>-SUM(U31:U33)</f>
        <v>378372.83355097193</v>
      </c>
      <c r="V34" s="83"/>
      <c r="W34" s="87"/>
      <c r="X34" s="87"/>
      <c r="Y34" s="87"/>
      <c r="Z34" s="469">
        <f t="shared" si="0"/>
        <v>21</v>
      </c>
      <c r="AA34" s="261" t="s">
        <v>388</v>
      </c>
      <c r="AB34" s="379"/>
      <c r="AC34" s="379"/>
      <c r="AD34" s="379">
        <v>0</v>
      </c>
      <c r="AE34" s="437">
        <f t="shared" si="16"/>
        <v>21</v>
      </c>
      <c r="AF34" s="102" t="s">
        <v>235</v>
      </c>
      <c r="AG34" s="102"/>
      <c r="AH34" s="102"/>
      <c r="AI34" s="441">
        <f>SUM(AI29:AI33)</f>
        <v>-95826740.59</v>
      </c>
      <c r="AQ34" s="73">
        <f t="shared" si="17"/>
        <v>22</v>
      </c>
      <c r="AR34" s="13" t="s">
        <v>245</v>
      </c>
      <c r="AS34" s="20"/>
      <c r="AT34" s="25"/>
      <c r="AU34" s="25">
        <f>SUM(AU15:AU31)</f>
        <v>-356873.38851487346</v>
      </c>
      <c r="BD34" s="3"/>
      <c r="BO34" s="45">
        <f t="shared" si="18"/>
        <v>21</v>
      </c>
      <c r="BP34" s="226"/>
      <c r="BQ34" s="296"/>
      <c r="BR34" s="345"/>
      <c r="BZ34" s="15"/>
      <c r="CL34" s="3" t="s">
        <v>19</v>
      </c>
      <c r="CM34" s="12">
        <f t="shared" si="6"/>
        <v>21</v>
      </c>
      <c r="CN34" s="334"/>
      <c r="CO34" s="332"/>
      <c r="CP34" s="332"/>
      <c r="CQ34" s="123"/>
      <c r="CV34" s="350"/>
      <c r="DA34" s="350"/>
      <c r="DF34" s="495">
        <f t="shared" si="21"/>
        <v>21</v>
      </c>
      <c r="DG34" s="226" t="s">
        <v>82</v>
      </c>
      <c r="DH34" s="136"/>
      <c r="DI34" s="136"/>
      <c r="DJ34" s="460">
        <f>+DJ16-DJ32</f>
        <v>763895.188784</v>
      </c>
      <c r="DK34" s="37"/>
      <c r="DM34" s="2"/>
      <c r="DO34" s="268" t="s">
        <v>382</v>
      </c>
      <c r="DP34" s="26"/>
      <c r="DQ34" s="12">
        <f t="shared" si="23"/>
        <v>19</v>
      </c>
      <c r="DR34" s="84" t="s">
        <v>8</v>
      </c>
      <c r="DS34" s="56">
        <v>25226971</v>
      </c>
      <c r="DT34" s="54">
        <f>+E43</f>
        <v>-68068</v>
      </c>
      <c r="DU34" s="54">
        <f>J40</f>
        <v>-114121.0926469697</v>
      </c>
      <c r="DV34" s="54"/>
      <c r="DW34" s="54"/>
      <c r="DX34" s="54"/>
      <c r="DY34" s="12">
        <f t="shared" si="24"/>
        <v>19</v>
      </c>
      <c r="DZ34" s="84" t="s">
        <v>8</v>
      </c>
      <c r="EA34" s="54"/>
      <c r="EB34" s="52">
        <f>AI23</f>
        <v>-272022.3228029976</v>
      </c>
      <c r="EC34" s="54">
        <f>AP25</f>
        <v>424823</v>
      </c>
      <c r="ED34" s="247"/>
      <c r="EE34" s="54"/>
      <c r="EF34" s="52"/>
      <c r="EG34" s="52"/>
      <c r="EH34" s="12">
        <f t="shared" si="25"/>
        <v>19</v>
      </c>
      <c r="EI34" s="84" t="s">
        <v>8</v>
      </c>
      <c r="EJ34" s="52">
        <f>BN14</f>
        <v>187784</v>
      </c>
      <c r="EK34" s="52"/>
      <c r="EL34" s="52"/>
      <c r="EM34" s="52"/>
      <c r="EN34" s="52"/>
      <c r="EO34" s="52">
        <f>+CL20</f>
        <v>424761</v>
      </c>
      <c r="EP34" s="12">
        <f aca="true" t="shared" si="39" ref="EP34:EP60">+EP33+1</f>
        <v>19</v>
      </c>
      <c r="EQ34" s="84" t="s">
        <v>8</v>
      </c>
      <c r="ER34" s="70"/>
      <c r="ES34" s="52"/>
      <c r="ET34" s="52">
        <f>CZ20</f>
        <v>93492</v>
      </c>
      <c r="EU34" s="52"/>
      <c r="EV34" s="52">
        <f>DJ20</f>
        <v>3414.91864</v>
      </c>
      <c r="EW34" s="52">
        <f>SUM(DT34:EV34)-EH34-DY34-EP34</f>
        <v>680063.5031900327</v>
      </c>
      <c r="EX34" s="52">
        <f t="shared" si="34"/>
        <v>25907034.503190033</v>
      </c>
      <c r="EY34" s="12">
        <f t="shared" si="27"/>
        <v>19</v>
      </c>
      <c r="EZ34" s="84" t="s">
        <v>117</v>
      </c>
      <c r="FA34" s="52">
        <f t="shared" si="35"/>
        <v>25226971</v>
      </c>
      <c r="FB34" s="123">
        <f t="shared" si="36"/>
        <v>680063.5031900327</v>
      </c>
      <c r="FC34" s="94">
        <f t="shared" si="37"/>
        <v>25907034.503190033</v>
      </c>
      <c r="FD34" s="94">
        <f>FD20*(DO17)</f>
        <v>136811.29765999998</v>
      </c>
      <c r="FE34" s="94">
        <f t="shared" si="38"/>
        <v>26043845.800850034</v>
      </c>
      <c r="FF34" s="94"/>
      <c r="FG34" s="94"/>
    </row>
    <row r="35" spans="1:163" s="26" customFormat="1" ht="15" thickBot="1" thickTop="1">
      <c r="A35" s="12">
        <f t="shared" si="11"/>
        <v>22</v>
      </c>
      <c r="B35" s="267"/>
      <c r="C35" s="263" t="s">
        <v>299</v>
      </c>
      <c r="D35" s="136"/>
      <c r="E35" s="388">
        <v>0.07790955901145935</v>
      </c>
      <c r="F35" s="267"/>
      <c r="G35" s="12">
        <f t="shared" si="12"/>
        <v>22</v>
      </c>
      <c r="H35" s="387"/>
      <c r="I35" s="387"/>
      <c r="J35" s="300"/>
      <c r="K35" s="328"/>
      <c r="L35" s="12">
        <f t="shared" si="13"/>
        <v>22</v>
      </c>
      <c r="M35" s="261" t="s">
        <v>11</v>
      </c>
      <c r="N35" s="68">
        <v>0</v>
      </c>
      <c r="O35" s="68">
        <v>0</v>
      </c>
      <c r="P35" s="94">
        <f t="shared" si="33"/>
        <v>0</v>
      </c>
      <c r="Q35" s="12"/>
      <c r="R35" s="13"/>
      <c r="S35" s="16"/>
      <c r="T35" s="76"/>
      <c r="U35" s="132"/>
      <c r="V35" s="350"/>
      <c r="W35" s="3"/>
      <c r="X35" s="3"/>
      <c r="Y35" s="136"/>
      <c r="Z35" s="12">
        <f t="shared" si="0"/>
        <v>22</v>
      </c>
      <c r="AA35" s="261" t="s">
        <v>77</v>
      </c>
      <c r="AB35" s="379"/>
      <c r="AC35" s="468">
        <v>0.35</v>
      </c>
      <c r="AD35" s="379"/>
      <c r="AE35" s="437">
        <f t="shared" si="16"/>
        <v>22</v>
      </c>
      <c r="AF35" s="102"/>
      <c r="AG35" s="102"/>
      <c r="AH35" s="102"/>
      <c r="AI35" s="441"/>
      <c r="AJ35" s="3"/>
      <c r="AQ35" s="73">
        <f t="shared" si="17"/>
        <v>23</v>
      </c>
      <c r="AR35" s="13" t="s">
        <v>77</v>
      </c>
      <c r="AS35" s="20"/>
      <c r="AT35" s="16">
        <f>_FEDERAL_INCOME_TAX</f>
        <v>0.35</v>
      </c>
      <c r="AU35" s="70">
        <f>-ROUND(AT35*AU34,0)</f>
        <v>124906</v>
      </c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45">
        <f t="shared" si="18"/>
        <v>22</v>
      </c>
      <c r="BP35" s="226"/>
      <c r="BQ35" s="262"/>
      <c r="BR35" s="295"/>
      <c r="BS35" s="3"/>
      <c r="BT35" s="3"/>
      <c r="BU35" s="3"/>
      <c r="BZ35" s="219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197" t="s">
        <v>19</v>
      </c>
      <c r="CM35" s="12">
        <f t="shared" si="6"/>
        <v>22</v>
      </c>
      <c r="CN35" s="261" t="s">
        <v>75</v>
      </c>
      <c r="CO35" s="16">
        <f>_FEDERAL_INCOME_TAX</f>
        <v>0.35</v>
      </c>
      <c r="CP35" s="16"/>
      <c r="CQ35" s="125">
        <f>ROUND(-CQ33*CO35,0)</f>
        <v>-33165</v>
      </c>
      <c r="CU35" s="208"/>
      <c r="CV35" s="3"/>
      <c r="CW35" s="3"/>
      <c r="CX35" s="3"/>
      <c r="CY35" s="3"/>
      <c r="CZ35" s="3"/>
      <c r="DA35" s="3"/>
      <c r="DF35" s="3"/>
      <c r="DK35" s="106"/>
      <c r="DL35" s="3"/>
      <c r="DM35" s="2"/>
      <c r="DN35" s="3"/>
      <c r="DO35" s="1" t="str">
        <f>DO3</f>
        <v>Attachment H to Bench Request No. 06</v>
      </c>
      <c r="DP35" s="3"/>
      <c r="DQ35" s="12">
        <f t="shared" si="23"/>
        <v>20</v>
      </c>
      <c r="DR35" s="13" t="s">
        <v>9</v>
      </c>
      <c r="DS35" s="56">
        <v>4652566</v>
      </c>
      <c r="DT35" s="52"/>
      <c r="DU35" s="52"/>
      <c r="DV35" s="52"/>
      <c r="DW35" s="52"/>
      <c r="DX35" s="52"/>
      <c r="DY35" s="12">
        <f t="shared" si="24"/>
        <v>20</v>
      </c>
      <c r="DZ35" s="13" t="s">
        <v>9</v>
      </c>
      <c r="EA35" s="52"/>
      <c r="EB35" s="52">
        <f>AI29</f>
        <v>-3344943</v>
      </c>
      <c r="EC35" s="52"/>
      <c r="ED35" s="56">
        <f>AU19</f>
        <v>-30140.883295</v>
      </c>
      <c r="EE35" s="52"/>
      <c r="EF35" s="52"/>
      <c r="EG35" s="52"/>
      <c r="EH35" s="12">
        <f t="shared" si="25"/>
        <v>20</v>
      </c>
      <c r="EI35" s="13" t="s">
        <v>9</v>
      </c>
      <c r="EJ35" s="52"/>
      <c r="EK35" s="52"/>
      <c r="EL35" s="52"/>
      <c r="EM35" s="52"/>
      <c r="EN35" s="52"/>
      <c r="EO35" s="52">
        <f>+CL21+CL22</f>
        <v>60646</v>
      </c>
      <c r="EP35" s="12">
        <f t="shared" si="39"/>
        <v>20</v>
      </c>
      <c r="EQ35" s="13" t="s">
        <v>9</v>
      </c>
      <c r="ER35" s="70"/>
      <c r="ES35" s="52"/>
      <c r="ET35" s="52">
        <f>CZ21+CZ22</f>
        <v>15709</v>
      </c>
      <c r="EU35" s="52"/>
      <c r="EV35" s="52"/>
      <c r="EW35" s="52">
        <f>SUM(DT35:EV35)-EH35-DY35-EP35</f>
        <v>-3298728.883295</v>
      </c>
      <c r="EX35" s="52">
        <f t="shared" si="34"/>
        <v>1353837.116705</v>
      </c>
      <c r="EY35" s="12">
        <f t="shared" si="27"/>
        <v>20</v>
      </c>
      <c r="EZ35" s="13" t="s">
        <v>9</v>
      </c>
      <c r="FA35" s="52">
        <f t="shared" si="35"/>
        <v>4652566</v>
      </c>
      <c r="FB35" s="123">
        <f t="shared" si="36"/>
        <v>-3298728.883295</v>
      </c>
      <c r="FC35" s="94">
        <f t="shared" si="37"/>
        <v>1353837.116705</v>
      </c>
      <c r="FD35" s="94"/>
      <c r="FE35" s="94">
        <f t="shared" si="38"/>
        <v>1353837.116705</v>
      </c>
      <c r="FF35" s="94"/>
      <c r="FG35" s="94"/>
    </row>
    <row r="36" spans="1:163" ht="14.25" customHeight="1" thickBot="1" thickTop="1">
      <c r="A36" s="12">
        <f t="shared" si="11"/>
        <v>23</v>
      </c>
      <c r="B36" s="267"/>
      <c r="C36" s="263" t="s">
        <v>295</v>
      </c>
      <c r="D36" s="136"/>
      <c r="E36" s="388">
        <v>-135930.8908635676</v>
      </c>
      <c r="F36" s="267"/>
      <c r="G36" s="12">
        <f t="shared" si="12"/>
        <v>23</v>
      </c>
      <c r="H36" s="267" t="s">
        <v>341</v>
      </c>
      <c r="I36" s="387"/>
      <c r="J36" s="206"/>
      <c r="K36" s="300">
        <f>SUM(K15:K35)</f>
        <v>-41050752.75070853</v>
      </c>
      <c r="L36" s="12">
        <f t="shared" si="13"/>
        <v>23</v>
      </c>
      <c r="M36" s="261" t="s">
        <v>203</v>
      </c>
      <c r="N36" s="68">
        <v>578771.64</v>
      </c>
      <c r="O36" s="68">
        <v>0</v>
      </c>
      <c r="P36" s="94">
        <f t="shared" si="33"/>
        <v>578771.64</v>
      </c>
      <c r="Q36" s="350"/>
      <c r="S36" s="76"/>
      <c r="T36" s="76"/>
      <c r="U36" s="132"/>
      <c r="V36" s="12" t="s">
        <v>19</v>
      </c>
      <c r="W36" s="302"/>
      <c r="X36" s="139"/>
      <c r="Y36" s="55"/>
      <c r="Z36" s="12">
        <f t="shared" si="0"/>
        <v>23</v>
      </c>
      <c r="AA36" s="261" t="s">
        <v>82</v>
      </c>
      <c r="AB36" s="379"/>
      <c r="AC36" s="379"/>
      <c r="AD36" s="502">
        <f>-AD32-AD33-AD35</f>
        <v>-14032672.941647712</v>
      </c>
      <c r="AE36" s="437">
        <f t="shared" si="16"/>
        <v>23</v>
      </c>
      <c r="AF36" s="102" t="s">
        <v>367</v>
      </c>
      <c r="AG36" s="102"/>
      <c r="AH36" s="102"/>
      <c r="AI36" s="102">
        <f>-AI20-AI26-AI34</f>
        <v>2203115.1651308835</v>
      </c>
      <c r="AQ36" s="73">
        <f t="shared" si="17"/>
        <v>24</v>
      </c>
      <c r="AR36" s="13"/>
      <c r="AS36" s="20"/>
      <c r="AT36" s="77"/>
      <c r="AU36" s="20"/>
      <c r="AZ36" s="208"/>
      <c r="BD36" s="3"/>
      <c r="BJ36" s="37"/>
      <c r="BK36" s="37"/>
      <c r="BL36" s="37"/>
      <c r="BM36" s="37"/>
      <c r="BN36" s="37"/>
      <c r="BO36" s="45">
        <f t="shared" si="18"/>
        <v>23</v>
      </c>
      <c r="BP36" s="226" t="s">
        <v>235</v>
      </c>
      <c r="BQ36" s="262"/>
      <c r="BR36" s="287">
        <f>BR18+BR23+BR33</f>
        <v>67686</v>
      </c>
      <c r="BZ36" s="15"/>
      <c r="CA36" s="26"/>
      <c r="CB36" s="26"/>
      <c r="CC36" s="26"/>
      <c r="CD36" s="26"/>
      <c r="CM36" s="12">
        <f t="shared" si="6"/>
        <v>23</v>
      </c>
      <c r="CN36" s="261" t="s">
        <v>86</v>
      </c>
      <c r="CO36" s="332"/>
      <c r="CP36" s="332"/>
      <c r="CQ36" s="481">
        <f>-CQ33-CQ35</f>
        <v>-61591.57937255991</v>
      </c>
      <c r="DK36" s="37"/>
      <c r="DL36" s="37"/>
      <c r="DM36" s="37"/>
      <c r="DO36" s="523" t="s">
        <v>406</v>
      </c>
      <c r="DQ36" s="12">
        <f t="shared" si="23"/>
        <v>21</v>
      </c>
      <c r="DR36" s="13" t="s">
        <v>10</v>
      </c>
      <c r="DS36" s="56">
        <v>4796112</v>
      </c>
      <c r="DT36" s="52"/>
      <c r="DU36" s="52"/>
      <c r="DV36" s="52"/>
      <c r="DW36" s="52"/>
      <c r="DX36" s="52"/>
      <c r="DY36" s="12">
        <f t="shared" si="24"/>
        <v>21</v>
      </c>
      <c r="DZ36" s="13" t="s">
        <v>10</v>
      </c>
      <c r="EA36" s="52"/>
      <c r="EB36" s="54">
        <f>AI30</f>
        <v>-4796112.4</v>
      </c>
      <c r="EC36" s="52"/>
      <c r="ED36" s="56"/>
      <c r="EE36" s="52"/>
      <c r="EF36" s="54"/>
      <c r="EG36" s="54"/>
      <c r="EH36" s="12">
        <f t="shared" si="25"/>
        <v>21</v>
      </c>
      <c r="EI36" s="13" t="s">
        <v>10</v>
      </c>
      <c r="EJ36" s="54"/>
      <c r="EK36" s="54"/>
      <c r="EL36" s="54"/>
      <c r="EM36" s="54"/>
      <c r="EN36" s="54"/>
      <c r="EO36" s="54"/>
      <c r="EP36" s="12">
        <f t="shared" si="39"/>
        <v>21</v>
      </c>
      <c r="EQ36" s="13" t="s">
        <v>10</v>
      </c>
      <c r="ER36" s="71"/>
      <c r="ES36" s="54"/>
      <c r="ET36" s="54"/>
      <c r="EU36" s="54"/>
      <c r="EV36" s="54"/>
      <c r="EW36" s="52">
        <f>SUM(DT36:EV36)-EH36-DY36-EP36</f>
        <v>-4796112.4</v>
      </c>
      <c r="EX36" s="52">
        <f t="shared" si="34"/>
        <v>-0.40000000037252903</v>
      </c>
      <c r="EY36" s="12">
        <f t="shared" si="27"/>
        <v>21</v>
      </c>
      <c r="EZ36" s="13" t="s">
        <v>10</v>
      </c>
      <c r="FA36" s="52">
        <f t="shared" si="35"/>
        <v>4796112</v>
      </c>
      <c r="FB36" s="123">
        <f t="shared" si="36"/>
        <v>-4796112.4</v>
      </c>
      <c r="FC36" s="94">
        <f t="shared" si="37"/>
        <v>-0.40000000037252903</v>
      </c>
      <c r="FD36" s="94"/>
      <c r="FE36" s="94">
        <f t="shared" si="38"/>
        <v>-0.40000000037252903</v>
      </c>
      <c r="FF36" s="94"/>
      <c r="FG36" s="94"/>
    </row>
    <row r="37" spans="1:163" ht="14.25" customHeight="1" thickBot="1" thickTop="1">
      <c r="A37" s="12">
        <f t="shared" si="11"/>
        <v>24</v>
      </c>
      <c r="B37" s="267"/>
      <c r="C37" s="263" t="s">
        <v>300</v>
      </c>
      <c r="D37" s="136"/>
      <c r="E37" s="388">
        <v>-304427.87561170757</v>
      </c>
      <c r="F37" s="267"/>
      <c r="G37" s="12">
        <f t="shared" si="12"/>
        <v>24</v>
      </c>
      <c r="H37" s="267"/>
      <c r="I37" s="387"/>
      <c r="J37" s="206"/>
      <c r="K37" s="300"/>
      <c r="L37" s="12">
        <f t="shared" si="13"/>
        <v>24</v>
      </c>
      <c r="M37" s="261" t="s">
        <v>49</v>
      </c>
      <c r="N37" s="68">
        <v>0</v>
      </c>
      <c r="O37" s="68">
        <v>0</v>
      </c>
      <c r="P37" s="94">
        <f>+N37+O37</f>
        <v>0</v>
      </c>
      <c r="Q37" s="12"/>
      <c r="U37" s="30" t="s">
        <v>19</v>
      </c>
      <c r="V37" s="12"/>
      <c r="W37" s="302"/>
      <c r="X37" s="139"/>
      <c r="Y37" s="102"/>
      <c r="Z37" s="12">
        <f t="shared" si="0"/>
        <v>24</v>
      </c>
      <c r="AA37" s="261"/>
      <c r="AB37" s="379"/>
      <c r="AC37" s="379"/>
      <c r="AD37" s="379"/>
      <c r="AE37" s="437">
        <f t="shared" si="16"/>
        <v>24</v>
      </c>
      <c r="AF37" s="3" t="s">
        <v>170</v>
      </c>
      <c r="AI37" s="102">
        <f>AI36*0.35</f>
        <v>771090.3077958091</v>
      </c>
      <c r="AQ37" s="73">
        <f t="shared" si="17"/>
        <v>25</v>
      </c>
      <c r="AR37" s="13" t="s">
        <v>82</v>
      </c>
      <c r="AS37" s="20"/>
      <c r="AT37" s="25"/>
      <c r="AU37" s="487">
        <f>-AU34-AU35</f>
        <v>231967.38851487346</v>
      </c>
      <c r="BE37" s="37"/>
      <c r="BF37" s="37"/>
      <c r="BG37" s="37"/>
      <c r="BH37" s="37"/>
      <c r="BI37" s="37"/>
      <c r="BJ37" s="35"/>
      <c r="BK37" s="35"/>
      <c r="BL37" s="35"/>
      <c r="BM37" s="35"/>
      <c r="BN37" s="35"/>
      <c r="BO37" s="45">
        <f t="shared" si="18"/>
        <v>24</v>
      </c>
      <c r="BP37" s="292"/>
      <c r="BQ37" s="262"/>
      <c r="BR37" s="297"/>
      <c r="BS37" s="37"/>
      <c r="BT37" s="37"/>
      <c r="BU37" s="37"/>
      <c r="BZ37" s="15"/>
      <c r="CR37" s="78"/>
      <c r="CS37" s="2"/>
      <c r="CU37" s="37"/>
      <c r="CV37" s="37"/>
      <c r="DA37" s="37"/>
      <c r="DF37" s="37"/>
      <c r="DJ37" s="449"/>
      <c r="DK37" s="35" t="str">
        <f>PSE</f>
        <v>PUGET SOUND ENERGY-GAS </v>
      </c>
      <c r="DL37" s="5"/>
      <c r="DM37" s="5"/>
      <c r="DN37" s="5"/>
      <c r="DO37" s="5"/>
      <c r="DQ37" s="12">
        <f t="shared" si="23"/>
        <v>22</v>
      </c>
      <c r="DR37" s="13" t="s">
        <v>11</v>
      </c>
      <c r="DS37" s="56">
        <v>38296978.76673601</v>
      </c>
      <c r="DT37" s="52">
        <f>+E44</f>
        <v>-48970</v>
      </c>
      <c r="DU37" s="52">
        <f>J41</f>
        <v>-82101.50550141705</v>
      </c>
      <c r="DV37" s="52"/>
      <c r="DW37" s="52"/>
      <c r="DX37" s="52"/>
      <c r="DY37" s="12">
        <f t="shared" si="24"/>
        <v>22</v>
      </c>
      <c r="DZ37" s="13" t="s">
        <v>11</v>
      </c>
      <c r="EA37" s="52"/>
      <c r="EB37" s="52">
        <f>AI24</f>
        <v>-195699.51280791196</v>
      </c>
      <c r="EC37" s="52">
        <v>0</v>
      </c>
      <c r="ED37" s="56">
        <f>AU18+AU20+AU21+AU23+AU29+AU31+AU26</f>
        <v>790017.8046985867</v>
      </c>
      <c r="EE37" s="52"/>
      <c r="EF37" s="52">
        <f>BD20</f>
        <v>-76329.91449999996</v>
      </c>
      <c r="EG37" s="52">
        <f>BI18</f>
        <v>-20617.90689204703</v>
      </c>
      <c r="EH37" s="12">
        <f t="shared" si="25"/>
        <v>22</v>
      </c>
      <c r="EI37" s="13" t="s">
        <v>11</v>
      </c>
      <c r="EJ37" s="52"/>
      <c r="EK37" s="52">
        <f>BR36</f>
        <v>67686</v>
      </c>
      <c r="EL37" s="52"/>
      <c r="EM37" s="52">
        <f>BZ16</f>
        <v>164261.76227024844</v>
      </c>
      <c r="EN37" s="52">
        <f>CE17</f>
        <v>-408850.68279997923</v>
      </c>
      <c r="EO37" s="52">
        <f>+CL23</f>
        <v>478692</v>
      </c>
      <c r="EP37" s="12">
        <f t="shared" si="39"/>
        <v>22</v>
      </c>
      <c r="EQ37" s="13" t="s">
        <v>11</v>
      </c>
      <c r="ER37" s="52">
        <f>CQ33</f>
        <v>94756.5793725599</v>
      </c>
      <c r="ES37" s="52">
        <f>CU21</f>
        <v>888341.571473049</v>
      </c>
      <c r="ET37" s="52">
        <f>CZ23</f>
        <v>132331</v>
      </c>
      <c r="EU37" s="52">
        <f>+DE15</f>
        <v>-158844</v>
      </c>
      <c r="EV37" s="52">
        <f>DJ21</f>
        <v>2456.776</v>
      </c>
      <c r="EW37" s="52">
        <f>SUM(DT37:EV37)-EH37-DY37-EP37</f>
        <v>1627129.971313089</v>
      </c>
      <c r="EX37" s="52">
        <f t="shared" si="34"/>
        <v>39924108.7380491</v>
      </c>
      <c r="EY37" s="12">
        <f t="shared" si="27"/>
        <v>22</v>
      </c>
      <c r="EZ37" s="13" t="s">
        <v>11</v>
      </c>
      <c r="FA37" s="52">
        <f t="shared" si="35"/>
        <v>38296978.76673601</v>
      </c>
      <c r="FB37" s="123">
        <f t="shared" si="36"/>
        <v>1627129.971313089</v>
      </c>
      <c r="FC37" s="94">
        <f t="shared" si="37"/>
        <v>39924108.7380491</v>
      </c>
      <c r="FD37" s="94">
        <f>FD20*(DO23)</f>
        <v>98425.394</v>
      </c>
      <c r="FE37" s="94">
        <f t="shared" si="38"/>
        <v>40022534.1320491</v>
      </c>
      <c r="FF37" s="94"/>
      <c r="FG37" s="94"/>
    </row>
    <row r="38" spans="1:163" ht="14.25" customHeight="1" thickBot="1" thickTop="1">
      <c r="A38" s="12">
        <f t="shared" si="11"/>
        <v>25</v>
      </c>
      <c r="B38" s="267"/>
      <c r="C38" s="390" t="s">
        <v>301</v>
      </c>
      <c r="D38" s="136"/>
      <c r="E38" s="388">
        <v>-296094.6636107117</v>
      </c>
      <c r="F38" s="267"/>
      <c r="G38" s="12">
        <f t="shared" si="12"/>
        <v>25</v>
      </c>
      <c r="H38" s="267" t="s">
        <v>349</v>
      </c>
      <c r="I38" s="387"/>
      <c r="J38" s="206"/>
      <c r="K38" s="300"/>
      <c r="L38" s="12">
        <f t="shared" si="13"/>
        <v>25</v>
      </c>
      <c r="M38" s="261" t="s">
        <v>119</v>
      </c>
      <c r="N38" s="68">
        <v>0</v>
      </c>
      <c r="O38" s="68">
        <v>0</v>
      </c>
      <c r="P38" s="94">
        <f t="shared" si="33"/>
        <v>0</v>
      </c>
      <c r="V38" s="12"/>
      <c r="X38" s="139"/>
      <c r="Y38" s="102"/>
      <c r="Z38" s="12">
        <f t="shared" si="0"/>
        <v>25</v>
      </c>
      <c r="AA38" s="261"/>
      <c r="AB38" s="379"/>
      <c r="AC38" s="379"/>
      <c r="AD38" s="379"/>
      <c r="AE38" s="437">
        <f t="shared" si="16"/>
        <v>25</v>
      </c>
      <c r="AF38" s="3" t="s">
        <v>86</v>
      </c>
      <c r="AI38" s="471">
        <f>AI36-AI37</f>
        <v>1432024.8573350743</v>
      </c>
      <c r="AK38" s="3" t="s">
        <v>118</v>
      </c>
      <c r="AQ38" s="73">
        <f t="shared" si="17"/>
        <v>26</v>
      </c>
      <c r="AS38" s="20"/>
      <c r="AU38" s="52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45">
        <f t="shared" si="18"/>
        <v>25</v>
      </c>
      <c r="BP38" s="292" t="s">
        <v>77</v>
      </c>
      <c r="BQ38" s="298">
        <f>_FEDERAL_INCOME_TAX</f>
        <v>0.35</v>
      </c>
      <c r="BR38" s="128">
        <f>-BR36*BQ38</f>
        <v>-23690.1</v>
      </c>
      <c r="BS38" s="35"/>
      <c r="BT38" s="35"/>
      <c r="BU38" s="35"/>
      <c r="BZ38" s="15"/>
      <c r="CM38" s="350"/>
      <c r="CV38" s="35"/>
      <c r="CW38" s="37"/>
      <c r="CX38" s="37"/>
      <c r="CY38" s="37"/>
      <c r="CZ38" s="37"/>
      <c r="DA38" s="35"/>
      <c r="DF38" s="35"/>
      <c r="DJ38" s="449"/>
      <c r="DK38" s="35" t="s">
        <v>191</v>
      </c>
      <c r="DL38" s="5"/>
      <c r="DM38" s="39"/>
      <c r="DN38" s="5"/>
      <c r="DO38" s="5"/>
      <c r="DQ38" s="12">
        <f t="shared" si="23"/>
        <v>23</v>
      </c>
      <c r="DR38" s="13" t="s">
        <v>203</v>
      </c>
      <c r="DS38" s="56">
        <v>72897010</v>
      </c>
      <c r="DT38" s="52"/>
      <c r="DU38" s="52"/>
      <c r="DV38" s="52"/>
      <c r="DW38" s="52"/>
      <c r="DX38" s="52"/>
      <c r="DY38" s="12">
        <f t="shared" si="24"/>
        <v>23</v>
      </c>
      <c r="DZ38" s="13" t="s">
        <v>203</v>
      </c>
      <c r="EA38" s="52">
        <f>AD24+AD30</f>
        <v>14033312.613397712</v>
      </c>
      <c r="EB38" s="52"/>
      <c r="EC38" s="52"/>
      <c r="ED38" s="56"/>
      <c r="EE38" s="52"/>
      <c r="EF38" s="52"/>
      <c r="EG38" s="52"/>
      <c r="EH38" s="12">
        <f t="shared" si="25"/>
        <v>23</v>
      </c>
      <c r="EI38" s="13" t="s">
        <v>203</v>
      </c>
      <c r="EJ38" s="52"/>
      <c r="EK38" s="52"/>
      <c r="EL38" s="52"/>
      <c r="EM38" s="52"/>
      <c r="EN38" s="52"/>
      <c r="EO38" s="52"/>
      <c r="EP38" s="12">
        <f t="shared" si="39"/>
        <v>23</v>
      </c>
      <c r="EQ38" s="13" t="s">
        <v>203</v>
      </c>
      <c r="ER38" s="70"/>
      <c r="ES38" s="52"/>
      <c r="ET38" s="52"/>
      <c r="EU38" s="52"/>
      <c r="EV38" s="52"/>
      <c r="EW38" s="52">
        <f>SUM(DT38:EV38)-EH38-DY38-EP38</f>
        <v>14033312.613397712</v>
      </c>
      <c r="EX38" s="52">
        <f t="shared" si="34"/>
        <v>86930322.61339772</v>
      </c>
      <c r="EY38" s="12">
        <f t="shared" si="27"/>
        <v>23</v>
      </c>
      <c r="EZ38" s="13" t="s">
        <v>203</v>
      </c>
      <c r="FA38" s="52">
        <f t="shared" si="35"/>
        <v>72897010</v>
      </c>
      <c r="FB38" s="123">
        <f t="shared" si="36"/>
        <v>14033312.613397712</v>
      </c>
      <c r="FC38" s="94">
        <f t="shared" si="37"/>
        <v>86930322.61339772</v>
      </c>
      <c r="FD38" s="94"/>
      <c r="FE38" s="94">
        <f t="shared" si="38"/>
        <v>86930322.61339772</v>
      </c>
      <c r="FF38" s="94"/>
      <c r="FG38" s="94"/>
    </row>
    <row r="39" spans="1:163" ht="14.25" thickBot="1" thickTop="1">
      <c r="A39" s="12">
        <f t="shared" si="11"/>
        <v>26</v>
      </c>
      <c r="B39" s="267"/>
      <c r="C39" s="390" t="s">
        <v>296</v>
      </c>
      <c r="D39" s="136"/>
      <c r="E39" s="388">
        <v>-31414.664674479514</v>
      </c>
      <c r="F39" s="267"/>
      <c r="G39" s="12">
        <f t="shared" si="12"/>
        <v>26</v>
      </c>
      <c r="H39" s="267" t="s">
        <v>350</v>
      </c>
      <c r="I39" s="267"/>
      <c r="J39" s="361">
        <v>-65382955.70796704</v>
      </c>
      <c r="K39" s="267"/>
      <c r="L39" s="12">
        <f t="shared" si="13"/>
        <v>26</v>
      </c>
      <c r="M39" s="261" t="s">
        <v>12</v>
      </c>
      <c r="N39" s="68">
        <v>0</v>
      </c>
      <c r="O39" s="68">
        <v>0</v>
      </c>
      <c r="P39" s="94">
        <f t="shared" si="33"/>
        <v>0</v>
      </c>
      <c r="V39" s="89"/>
      <c r="W39" s="26"/>
      <c r="X39" s="139"/>
      <c r="Y39" s="140"/>
      <c r="Z39" s="12">
        <f t="shared" si="0"/>
        <v>26</v>
      </c>
      <c r="AA39" s="403" t="s">
        <v>85</v>
      </c>
      <c r="AB39" s="379"/>
      <c r="AC39" s="379"/>
      <c r="AD39" s="379"/>
      <c r="AQ39" s="73">
        <f t="shared" si="17"/>
        <v>27</v>
      </c>
      <c r="AS39" s="20"/>
      <c r="BE39" s="35"/>
      <c r="BF39" s="35"/>
      <c r="BG39" s="35"/>
      <c r="BH39" s="35"/>
      <c r="BI39" s="35"/>
      <c r="BJ39" s="5"/>
      <c r="BK39" s="5"/>
      <c r="BL39" s="5"/>
      <c r="BM39" s="5"/>
      <c r="BN39" s="5"/>
      <c r="BO39" s="45">
        <f t="shared" si="18"/>
        <v>26</v>
      </c>
      <c r="BP39" s="292" t="s">
        <v>82</v>
      </c>
      <c r="BQ39" s="262"/>
      <c r="BR39" s="359">
        <f>-BR36-BR38</f>
        <v>-43995.9</v>
      </c>
      <c r="BS39" s="35"/>
      <c r="BT39" s="35"/>
      <c r="BU39" s="35"/>
      <c r="BZ39" s="15"/>
      <c r="CV39" s="35"/>
      <c r="CW39" s="35"/>
      <c r="CX39" s="35"/>
      <c r="CY39" s="35"/>
      <c r="CZ39" s="35"/>
      <c r="DA39" s="35"/>
      <c r="DF39" s="35"/>
      <c r="DK39" s="5" t="str">
        <f>TESTYEAR</f>
        <v>FOR THE TWELVE MONTHS ENDED SEPTEMBER 30, 2007</v>
      </c>
      <c r="DL39" s="5"/>
      <c r="DM39" s="5"/>
      <c r="DN39" s="5"/>
      <c r="DO39" s="5"/>
      <c r="DQ39" s="12">
        <f t="shared" si="23"/>
        <v>24</v>
      </c>
      <c r="DR39" s="13" t="s">
        <v>49</v>
      </c>
      <c r="DS39" s="56">
        <v>14088267</v>
      </c>
      <c r="DT39" s="52"/>
      <c r="DU39" s="52"/>
      <c r="DV39" s="52"/>
      <c r="DW39" s="52"/>
      <c r="DX39" s="52"/>
      <c r="DY39" s="12">
        <f t="shared" si="24"/>
        <v>24</v>
      </c>
      <c r="DZ39" s="13" t="s">
        <v>49</v>
      </c>
      <c r="EA39" s="52">
        <f>AD28</f>
        <v>-639.67175</v>
      </c>
      <c r="EB39" s="52"/>
      <c r="EC39" s="52"/>
      <c r="ED39" s="56"/>
      <c r="EE39" s="52"/>
      <c r="EF39" s="52"/>
      <c r="EG39" s="52"/>
      <c r="EH39" s="12">
        <f t="shared" si="25"/>
        <v>24</v>
      </c>
      <c r="EI39" s="13" t="s">
        <v>49</v>
      </c>
      <c r="EJ39" s="52"/>
      <c r="EK39" s="52"/>
      <c r="EL39" s="52"/>
      <c r="EM39" s="52"/>
      <c r="EN39" s="52"/>
      <c r="EO39" s="52"/>
      <c r="EP39" s="12">
        <f t="shared" si="39"/>
        <v>24</v>
      </c>
      <c r="EQ39" s="13" t="s">
        <v>49</v>
      </c>
      <c r="ER39" s="52"/>
      <c r="ES39" s="52"/>
      <c r="ET39" s="52"/>
      <c r="EU39" s="52"/>
      <c r="EV39" s="52"/>
      <c r="EW39" s="52">
        <f>SUM(DT39:EV39)-EH39-DY39-EP39</f>
        <v>-639.67175</v>
      </c>
      <c r="EX39" s="52">
        <f t="shared" si="34"/>
        <v>14087627.32825</v>
      </c>
      <c r="EY39" s="12">
        <f t="shared" si="27"/>
        <v>24</v>
      </c>
      <c r="EZ39" s="13" t="s">
        <v>49</v>
      </c>
      <c r="FA39" s="52">
        <f t="shared" si="35"/>
        <v>14088267</v>
      </c>
      <c r="FB39" s="123">
        <f>EW39</f>
        <v>-639.67175</v>
      </c>
      <c r="FC39" s="94">
        <f>+FA39+FB39</f>
        <v>14087627.32825</v>
      </c>
      <c r="FD39" s="94"/>
      <c r="FE39" s="94">
        <f>+FC39+FD39</f>
        <v>14087627.32825</v>
      </c>
      <c r="FF39" s="94"/>
      <c r="FG39" s="94"/>
    </row>
    <row r="40" spans="1:163" ht="13.5" thickTop="1">
      <c r="A40" s="12">
        <f t="shared" si="11"/>
        <v>27</v>
      </c>
      <c r="B40" s="267"/>
      <c r="C40" s="390" t="s">
        <v>302</v>
      </c>
      <c r="D40" s="136"/>
      <c r="E40" s="389">
        <v>-11711.067872121232</v>
      </c>
      <c r="F40" s="267"/>
      <c r="G40" s="12">
        <f t="shared" si="12"/>
        <v>27</v>
      </c>
      <c r="H40" s="261" t="s">
        <v>287</v>
      </c>
      <c r="I40" s="432">
        <f>DO17</f>
        <v>0.00278</v>
      </c>
      <c r="J40" s="361">
        <f>+K36*I40</f>
        <v>-114121.0926469697</v>
      </c>
      <c r="K40" s="136"/>
      <c r="L40" s="12">
        <f t="shared" si="13"/>
        <v>27</v>
      </c>
      <c r="M40" s="334" t="s">
        <v>216</v>
      </c>
      <c r="N40" s="68">
        <v>0</v>
      </c>
      <c r="O40" s="68">
        <v>0</v>
      </c>
      <c r="P40" s="94">
        <f>+N40+O40</f>
        <v>0</v>
      </c>
      <c r="V40" s="12"/>
      <c r="X40" s="139"/>
      <c r="Y40" s="102"/>
      <c r="Z40" s="12">
        <f t="shared" si="0"/>
        <v>27</v>
      </c>
      <c r="AA40" s="261" t="s">
        <v>355</v>
      </c>
      <c r="AB40" s="243"/>
      <c r="AC40" s="267"/>
      <c r="AD40" s="489">
        <f>-AD32*0.5</f>
        <v>-7016336.470823856</v>
      </c>
      <c r="AQ40" s="73">
        <f t="shared" si="17"/>
        <v>28</v>
      </c>
      <c r="AR40" s="78" t="s">
        <v>124</v>
      </c>
      <c r="AS40" s="20"/>
      <c r="AU40" s="244" t="s">
        <v>19</v>
      </c>
      <c r="BE40" s="5"/>
      <c r="BF40" s="5"/>
      <c r="BG40" s="5"/>
      <c r="BH40" s="5"/>
      <c r="BI40" s="5"/>
      <c r="BJ40" s="35"/>
      <c r="BK40" s="35"/>
      <c r="BL40" s="35"/>
      <c r="BM40" s="35"/>
      <c r="BN40" s="35"/>
      <c r="BO40" s="45"/>
      <c r="BS40" s="5"/>
      <c r="BT40" s="5"/>
      <c r="BU40" s="5"/>
      <c r="BZ40" s="15"/>
      <c r="CS40" s="144"/>
      <c r="CT40" s="144"/>
      <c r="CV40" s="5"/>
      <c r="CW40" s="35"/>
      <c r="CX40" s="35"/>
      <c r="CY40" s="35"/>
      <c r="CZ40" s="35"/>
      <c r="DA40" s="5"/>
      <c r="DF40" s="5"/>
      <c r="DK40" s="35" t="str">
        <f>DOCKET</f>
        <v>GENERAL RATE INCREASE</v>
      </c>
      <c r="DL40" s="5"/>
      <c r="DM40" s="5"/>
      <c r="DN40" s="5"/>
      <c r="DO40" s="5"/>
      <c r="DQ40" s="12">
        <f t="shared" si="23"/>
        <v>25</v>
      </c>
      <c r="DR40" s="13" t="s">
        <v>119</v>
      </c>
      <c r="DS40" s="56">
        <v>0</v>
      </c>
      <c r="DT40" s="52"/>
      <c r="DU40" s="52"/>
      <c r="DV40" s="52"/>
      <c r="DW40" s="52"/>
      <c r="DX40" s="52"/>
      <c r="DY40" s="12">
        <f t="shared" si="24"/>
        <v>25</v>
      </c>
      <c r="DZ40" s="13" t="s">
        <v>119</v>
      </c>
      <c r="EA40" s="52"/>
      <c r="EB40" s="52"/>
      <c r="EC40" s="52"/>
      <c r="ED40" s="56"/>
      <c r="EE40" s="52"/>
      <c r="EF40" s="52"/>
      <c r="EG40" s="52"/>
      <c r="EH40" s="12">
        <f t="shared" si="25"/>
        <v>25</v>
      </c>
      <c r="EI40" s="13" t="s">
        <v>119</v>
      </c>
      <c r="EJ40" s="52"/>
      <c r="EK40" s="52"/>
      <c r="EL40" s="52"/>
      <c r="EM40" s="52"/>
      <c r="EN40" s="52"/>
      <c r="EO40" s="52"/>
      <c r="EP40" s="12">
        <f t="shared" si="39"/>
        <v>25</v>
      </c>
      <c r="EQ40" s="13" t="s">
        <v>119</v>
      </c>
      <c r="ER40" s="70"/>
      <c r="ES40" s="52"/>
      <c r="ET40" s="52"/>
      <c r="EU40" s="52"/>
      <c r="EV40" s="52"/>
      <c r="EW40" s="52">
        <f>SUM(DT40:EV40)-EH40-DY40-EP40</f>
        <v>0</v>
      </c>
      <c r="EX40" s="52">
        <f t="shared" si="34"/>
        <v>0</v>
      </c>
      <c r="EY40" s="12">
        <f t="shared" si="27"/>
        <v>25</v>
      </c>
      <c r="EZ40" s="13" t="s">
        <v>119</v>
      </c>
      <c r="FA40" s="52">
        <f t="shared" si="35"/>
        <v>0</v>
      </c>
      <c r="FB40" s="123">
        <f t="shared" si="36"/>
        <v>0</v>
      </c>
      <c r="FC40" s="94">
        <f t="shared" si="37"/>
        <v>0</v>
      </c>
      <c r="FD40" s="94"/>
      <c r="FE40" s="94">
        <f t="shared" si="38"/>
        <v>0</v>
      </c>
      <c r="FF40" s="94"/>
      <c r="FG40" s="94"/>
    </row>
    <row r="41" spans="1:163" ht="14.25" customHeight="1">
      <c r="A41" s="12">
        <f t="shared" si="11"/>
        <v>28</v>
      </c>
      <c r="B41" s="267" t="s">
        <v>286</v>
      </c>
      <c r="C41" s="267"/>
      <c r="D41" s="267"/>
      <c r="E41" s="258"/>
      <c r="F41" s="361">
        <f>SUM(E31:E40)</f>
        <v>-24484887.630362354</v>
      </c>
      <c r="G41" s="12">
        <f t="shared" si="12"/>
        <v>28</v>
      </c>
      <c r="H41" s="261" t="s">
        <v>288</v>
      </c>
      <c r="I41" s="432">
        <f>WUTC_FILING_FEE</f>
        <v>0.002</v>
      </c>
      <c r="J41" s="67">
        <f>+K36*I41</f>
        <v>-82101.50550141705</v>
      </c>
      <c r="K41" s="136"/>
      <c r="L41" s="12">
        <f t="shared" si="13"/>
        <v>28</v>
      </c>
      <c r="M41" s="261" t="s">
        <v>269</v>
      </c>
      <c r="N41" s="68">
        <v>491909.5219141876</v>
      </c>
      <c r="O41" s="68">
        <v>0</v>
      </c>
      <c r="P41" s="94">
        <f>+N41+O41</f>
        <v>491909.5219141876</v>
      </c>
      <c r="V41" s="12"/>
      <c r="X41" s="139"/>
      <c r="Y41" s="102"/>
      <c r="Z41" s="12">
        <f t="shared" si="0"/>
        <v>28</v>
      </c>
      <c r="AA41" s="261" t="s">
        <v>356</v>
      </c>
      <c r="AB41" s="503"/>
      <c r="AC41" s="503"/>
      <c r="AD41" s="379">
        <f>-AD35*0.5</f>
        <v>0</v>
      </c>
      <c r="AQ41" s="73">
        <f t="shared" si="17"/>
        <v>29</v>
      </c>
      <c r="AR41" s="3" t="s">
        <v>148</v>
      </c>
      <c r="AS41" s="245"/>
      <c r="AT41" s="48"/>
      <c r="AU41" s="52">
        <v>2458688</v>
      </c>
      <c r="BE41" s="35"/>
      <c r="BF41" s="35"/>
      <c r="BG41" s="35"/>
      <c r="BH41" s="35"/>
      <c r="BI41" s="35"/>
      <c r="BJ41" s="40"/>
      <c r="BK41" s="40"/>
      <c r="BL41" s="40"/>
      <c r="BM41" s="40"/>
      <c r="BN41" s="40"/>
      <c r="BO41" s="45"/>
      <c r="BS41" s="35"/>
      <c r="BT41" s="35"/>
      <c r="BU41" s="35"/>
      <c r="CR41" s="146"/>
      <c r="CS41" s="141"/>
      <c r="CT41" s="141"/>
      <c r="CV41" s="35"/>
      <c r="CW41" s="5"/>
      <c r="CX41" s="5"/>
      <c r="CY41" s="5"/>
      <c r="CZ41" s="5"/>
      <c r="DA41" s="35"/>
      <c r="DF41" s="35"/>
      <c r="DK41" s="37"/>
      <c r="DL41" s="37"/>
      <c r="DM41" s="37"/>
      <c r="DN41" s="37"/>
      <c r="DO41" s="37"/>
      <c r="DQ41" s="12">
        <f t="shared" si="23"/>
        <v>26</v>
      </c>
      <c r="DR41" s="13" t="s">
        <v>12</v>
      </c>
      <c r="DS41" s="56">
        <v>511054</v>
      </c>
      <c r="DT41" s="52">
        <v>0</v>
      </c>
      <c r="DU41" s="52">
        <v>0</v>
      </c>
      <c r="DV41" s="52"/>
      <c r="DW41" s="52"/>
      <c r="DX41" s="52"/>
      <c r="DY41" s="12">
        <f t="shared" si="24"/>
        <v>26</v>
      </c>
      <c r="DZ41" s="13" t="s">
        <v>12</v>
      </c>
      <c r="EA41" s="52"/>
      <c r="EB41" s="52"/>
      <c r="EC41" s="52"/>
      <c r="ED41" s="52">
        <f>+AU15+AU25</f>
        <v>-1564443.5</v>
      </c>
      <c r="EE41" s="52"/>
      <c r="EF41" s="52"/>
      <c r="EG41" s="52"/>
      <c r="EH41" s="12">
        <f t="shared" si="25"/>
        <v>26</v>
      </c>
      <c r="EI41" s="13" t="s">
        <v>12</v>
      </c>
      <c r="EJ41" s="52"/>
      <c r="EK41" s="52"/>
      <c r="EL41" s="52">
        <f>BU22</f>
        <v>217801.59478666604</v>
      </c>
      <c r="EM41" s="52"/>
      <c r="EN41" s="52"/>
      <c r="EO41" s="52"/>
      <c r="EP41" s="12">
        <f t="shared" si="39"/>
        <v>26</v>
      </c>
      <c r="EQ41" s="13" t="s">
        <v>12</v>
      </c>
      <c r="ER41" s="70"/>
      <c r="ES41" s="52"/>
      <c r="ET41" s="52"/>
      <c r="EU41" s="52"/>
      <c r="EV41" s="52"/>
      <c r="EW41" s="52">
        <f>SUM(DT41:EV41)-EH41-DY41-EP41</f>
        <v>-1346641.905213334</v>
      </c>
      <c r="EX41" s="52">
        <f t="shared" si="34"/>
        <v>-835587.9052133339</v>
      </c>
      <c r="EY41" s="12">
        <f t="shared" si="27"/>
        <v>26</v>
      </c>
      <c r="EZ41" s="13" t="s">
        <v>12</v>
      </c>
      <c r="FA41" s="52">
        <f t="shared" si="35"/>
        <v>511054</v>
      </c>
      <c r="FB41" s="123">
        <f t="shared" si="36"/>
        <v>-1346641.905213334</v>
      </c>
      <c r="FC41" s="94">
        <f t="shared" si="37"/>
        <v>-835587.9052133339</v>
      </c>
      <c r="FD41" s="94"/>
      <c r="FE41" s="94">
        <f t="shared" si="38"/>
        <v>-835587.9052133339</v>
      </c>
      <c r="FF41" s="94"/>
      <c r="FG41" s="94"/>
    </row>
    <row r="42" spans="1:163" ht="14.25" customHeight="1" thickBot="1">
      <c r="A42" s="12">
        <f t="shared" si="11"/>
        <v>29</v>
      </c>
      <c r="B42" s="383"/>
      <c r="C42" s="383"/>
      <c r="D42" s="384"/>
      <c r="E42" s="206"/>
      <c r="F42" s="267"/>
      <c r="G42" s="12">
        <f t="shared" si="12"/>
        <v>29</v>
      </c>
      <c r="H42" s="385" t="s">
        <v>289</v>
      </c>
      <c r="I42" s="432"/>
      <c r="J42" s="431"/>
      <c r="K42" s="300">
        <f>SUM(J39:J42)</f>
        <v>-65579178.30611543</v>
      </c>
      <c r="L42" s="12">
        <f t="shared" si="13"/>
        <v>29</v>
      </c>
      <c r="M42" s="261" t="s">
        <v>261</v>
      </c>
      <c r="N42" s="68">
        <f>(N17-N36-N41)*35%</f>
        <v>1077884.7933300342</v>
      </c>
      <c r="O42" s="68">
        <f>(O17-O36-O41)*35%</f>
        <v>-1452623.2</v>
      </c>
      <c r="P42" s="94">
        <f>+N42+O42</f>
        <v>-374738.4066699657</v>
      </c>
      <c r="V42" s="12"/>
      <c r="X42" s="139"/>
      <c r="Y42" s="102"/>
      <c r="Z42" s="12">
        <f t="shared" si="0"/>
        <v>29</v>
      </c>
      <c r="AA42" s="261" t="s">
        <v>128</v>
      </c>
      <c r="AB42" s="10"/>
      <c r="AC42" s="10"/>
      <c r="AD42" s="504">
        <f>SUM(AD40:AD41)</f>
        <v>-7016336.470823856</v>
      </c>
      <c r="AQ42" s="73">
        <f t="shared" si="17"/>
        <v>30</v>
      </c>
      <c r="BE42" s="40"/>
      <c r="BF42" s="40"/>
      <c r="BG42" s="40"/>
      <c r="BH42" s="40"/>
      <c r="BI42" s="40"/>
      <c r="BJ42" s="37"/>
      <c r="BK42" s="37"/>
      <c r="BL42" s="37"/>
      <c r="BM42" s="37"/>
      <c r="BN42" s="37"/>
      <c r="BO42" s="45"/>
      <c r="BS42" s="40"/>
      <c r="BT42" s="40"/>
      <c r="BU42" s="40"/>
      <c r="CR42" s="146"/>
      <c r="CS42" s="141"/>
      <c r="CT42" s="141"/>
      <c r="CU42" s="40"/>
      <c r="CV42" s="40"/>
      <c r="CW42" s="35"/>
      <c r="CX42" s="35"/>
      <c r="CY42" s="35"/>
      <c r="CZ42" s="35"/>
      <c r="DA42" s="40"/>
      <c r="DB42" s="35"/>
      <c r="DC42" s="35"/>
      <c r="DD42" s="35"/>
      <c r="DE42" s="35"/>
      <c r="DF42" s="40"/>
      <c r="DG42" s="35"/>
      <c r="DH42" s="35"/>
      <c r="DI42" s="35"/>
      <c r="DJ42" s="35"/>
      <c r="DK42" s="37"/>
      <c r="DL42" s="37"/>
      <c r="DM42" s="37"/>
      <c r="DN42" s="37"/>
      <c r="DO42" s="37"/>
      <c r="DQ42" s="12">
        <f aca="true" t="shared" si="40" ref="DQ42:DQ60">+DQ41+1</f>
        <v>27</v>
      </c>
      <c r="DR42" s="3" t="s">
        <v>216</v>
      </c>
      <c r="DS42" s="56">
        <v>0</v>
      </c>
      <c r="DY42" s="12">
        <f aca="true" t="shared" si="41" ref="DY42:DY60">+DY41+1</f>
        <v>27</v>
      </c>
      <c r="DZ42" s="3" t="s">
        <v>216</v>
      </c>
      <c r="EH42" s="12">
        <f aca="true" t="shared" si="42" ref="EH42:EH60">+EH41+1</f>
        <v>27</v>
      </c>
      <c r="EI42" s="3" t="s">
        <v>216</v>
      </c>
      <c r="EP42" s="12">
        <f t="shared" si="39"/>
        <v>27</v>
      </c>
      <c r="EQ42" s="3" t="s">
        <v>216</v>
      </c>
      <c r="EW42" s="52">
        <f>SUM(DT42:EV42)-EH42-DY42-EP42</f>
        <v>0</v>
      </c>
      <c r="EX42" s="52">
        <f t="shared" si="34"/>
        <v>0</v>
      </c>
      <c r="EY42" s="12">
        <f aca="true" t="shared" si="43" ref="EY42:EY60">+EY41+1</f>
        <v>27</v>
      </c>
      <c r="EZ42" s="3" t="s">
        <v>216</v>
      </c>
      <c r="FA42" s="52">
        <f t="shared" si="35"/>
        <v>0</v>
      </c>
      <c r="FB42" s="123">
        <f>EW42</f>
        <v>0</v>
      </c>
      <c r="FC42" s="94">
        <f>+FA42+FB42</f>
        <v>0</v>
      </c>
      <c r="FD42" s="94"/>
      <c r="FE42" s="94">
        <f>+FC42+FD42</f>
        <v>0</v>
      </c>
      <c r="FF42" s="94"/>
      <c r="FG42" s="94"/>
    </row>
    <row r="43" spans="1:163" ht="14.25" customHeight="1" thickTop="1">
      <c r="A43" s="12">
        <f t="shared" si="11"/>
        <v>30</v>
      </c>
      <c r="B43" s="261" t="s">
        <v>287</v>
      </c>
      <c r="C43" s="261"/>
      <c r="D43" s="417">
        <f>$DO$17</f>
        <v>0.00278</v>
      </c>
      <c r="E43" s="93">
        <f>ROUND(F41*D43,0)</f>
        <v>-68068</v>
      </c>
      <c r="F43" s="136"/>
      <c r="G43" s="12">
        <f t="shared" si="12"/>
        <v>30</v>
      </c>
      <c r="H43" s="261"/>
      <c r="I43" s="430"/>
      <c r="J43" s="326"/>
      <c r="K43" s="136"/>
      <c r="L43" s="12">
        <f t="shared" si="13"/>
        <v>30</v>
      </c>
      <c r="M43" s="334" t="s">
        <v>13</v>
      </c>
      <c r="N43" s="68">
        <v>0</v>
      </c>
      <c r="O43" s="68">
        <v>0</v>
      </c>
      <c r="P43" s="95">
        <f>+N43+O43</f>
        <v>0</v>
      </c>
      <c r="V43" s="12"/>
      <c r="X43" s="139"/>
      <c r="Y43" s="102"/>
      <c r="Z43" s="40"/>
      <c r="AB43" s="35"/>
      <c r="AC43" s="35"/>
      <c r="AD43" s="35"/>
      <c r="AQ43" s="73">
        <f t="shared" si="17"/>
        <v>31</v>
      </c>
      <c r="AS43" s="26"/>
      <c r="AT43" s="26"/>
      <c r="AU43" s="54"/>
      <c r="BE43" s="37"/>
      <c r="BF43" s="37"/>
      <c r="BG43" s="37"/>
      <c r="BH43" s="37"/>
      <c r="BI43" s="37"/>
      <c r="BJ43" s="141"/>
      <c r="BK43" s="141"/>
      <c r="BL43" s="141"/>
      <c r="BM43" s="141"/>
      <c r="BN43" s="141"/>
      <c r="BO43" s="45"/>
      <c r="BS43" s="37"/>
      <c r="BT43" s="37"/>
      <c r="BU43" s="37"/>
      <c r="CA43" s="106"/>
      <c r="CR43" s="146"/>
      <c r="CS43" s="141"/>
      <c r="CT43" s="141"/>
      <c r="CU43" s="37"/>
      <c r="CV43" s="37"/>
      <c r="CW43" s="40"/>
      <c r="CX43" s="40"/>
      <c r="CY43" s="40"/>
      <c r="CZ43" s="40"/>
      <c r="DA43" s="37"/>
      <c r="DB43" s="40"/>
      <c r="DC43" s="40"/>
      <c r="DD43" s="40"/>
      <c r="DE43" s="40"/>
      <c r="DF43" s="37"/>
      <c r="DG43" s="40"/>
      <c r="DH43" s="40"/>
      <c r="DI43" s="40"/>
      <c r="DJ43" s="40"/>
      <c r="DK43" s="11" t="s">
        <v>26</v>
      </c>
      <c r="DL43" s="37"/>
      <c r="DM43" s="11" t="s">
        <v>190</v>
      </c>
      <c r="DN43" s="11"/>
      <c r="DO43" s="11" t="s">
        <v>114</v>
      </c>
      <c r="DP43" s="11"/>
      <c r="DQ43" s="12">
        <f t="shared" si="40"/>
        <v>28</v>
      </c>
      <c r="DR43" s="13" t="s">
        <v>262</v>
      </c>
      <c r="DS43" s="56">
        <v>110684986.74582</v>
      </c>
      <c r="DT43" s="52">
        <f>+E47</f>
        <v>-940465</v>
      </c>
      <c r="DU43" s="52">
        <f>K46</f>
        <v>-1576759.4131547145</v>
      </c>
      <c r="DV43" s="52"/>
      <c r="DW43" s="52"/>
      <c r="DX43" s="52"/>
      <c r="DY43" s="12">
        <f t="shared" si="41"/>
        <v>28</v>
      </c>
      <c r="DZ43" s="13" t="s">
        <v>262</v>
      </c>
      <c r="EA43" s="52"/>
      <c r="EB43" s="52">
        <f>AI25+AI32</f>
        <v>-53330649.07347595</v>
      </c>
      <c r="EC43" s="52"/>
      <c r="ED43" s="56">
        <f>+AU30</f>
        <v>-1311.8099184599998</v>
      </c>
      <c r="EE43" s="52">
        <f>AZ16</f>
        <v>1054351.2300000004</v>
      </c>
      <c r="EF43" s="52">
        <f>BD16</f>
        <v>-391831.1134150028</v>
      </c>
      <c r="EG43" s="52"/>
      <c r="EH43" s="12">
        <f t="shared" si="42"/>
        <v>28</v>
      </c>
      <c r="EI43" s="13" t="s">
        <v>262</v>
      </c>
      <c r="EJ43" s="52"/>
      <c r="EK43" s="52"/>
      <c r="EL43" s="52"/>
      <c r="EM43" s="52"/>
      <c r="EN43" s="52"/>
      <c r="EO43" s="52">
        <f>+CL26</f>
        <v>136381</v>
      </c>
      <c r="EP43" s="12">
        <f t="shared" si="39"/>
        <v>28</v>
      </c>
      <c r="EQ43" s="13" t="s">
        <v>262</v>
      </c>
      <c r="ER43" s="70"/>
      <c r="ES43" s="52"/>
      <c r="ET43" s="52">
        <f>CZ26</f>
        <v>37141</v>
      </c>
      <c r="EU43" s="52"/>
      <c r="EV43" s="52">
        <f>DJ26</f>
        <v>47292.938</v>
      </c>
      <c r="EW43" s="52">
        <f>SUM(DT43:EV43)-EH43-DY43-EP43</f>
        <v>-54965850.241964124</v>
      </c>
      <c r="EX43" s="52">
        <f t="shared" si="34"/>
        <v>55719136.50385588</v>
      </c>
      <c r="EY43" s="12">
        <f t="shared" si="43"/>
        <v>28</v>
      </c>
      <c r="EZ43" s="13" t="s">
        <v>262</v>
      </c>
      <c r="FA43" s="52">
        <f t="shared" si="35"/>
        <v>110684986.74582</v>
      </c>
      <c r="FB43" s="123">
        <f>EW43</f>
        <v>-54965850.241964124</v>
      </c>
      <c r="FC43" s="94">
        <f>+FA43+FB43</f>
        <v>55719136.50385588</v>
      </c>
      <c r="FD43" s="94">
        <f>FD20*(DO22)</f>
        <v>1890259.69177</v>
      </c>
      <c r="FE43" s="94">
        <f>+FC43+FD43</f>
        <v>57609396.19562588</v>
      </c>
      <c r="FF43" s="94"/>
      <c r="FG43" s="67"/>
    </row>
    <row r="44" spans="1:163" ht="14.25" customHeight="1">
      <c r="A44" s="12">
        <f t="shared" si="11"/>
        <v>31</v>
      </c>
      <c r="B44" s="261" t="s">
        <v>288</v>
      </c>
      <c r="C44" s="261"/>
      <c r="D44" s="417">
        <f>$DO$23</f>
        <v>0.002</v>
      </c>
      <c r="E44" s="95">
        <f>ROUND(F41*D44,0)</f>
        <v>-48970</v>
      </c>
      <c r="F44" s="136"/>
      <c r="G44" s="12">
        <f aca="true" t="shared" si="44" ref="G44:G50">G43+1</f>
        <v>31</v>
      </c>
      <c r="H44" s="261" t="s">
        <v>290</v>
      </c>
      <c r="I44" s="432">
        <f>DO22</f>
        <v>0.03841</v>
      </c>
      <c r="J44" s="206">
        <f>+K36*I44</f>
        <v>-1576759.4131547145</v>
      </c>
      <c r="K44" s="136"/>
      <c r="L44" s="12">
        <f t="shared" si="13"/>
        <v>31</v>
      </c>
      <c r="M44" s="261" t="s">
        <v>14</v>
      </c>
      <c r="N44" s="363">
        <f>SUM(N29:N43)</f>
        <v>2148565.9552442217</v>
      </c>
      <c r="O44" s="363">
        <f>SUM(O29:O43)</f>
        <v>-1452623.2</v>
      </c>
      <c r="P44" s="363">
        <f>SUM(P29:P43)</f>
        <v>695942.7552442218</v>
      </c>
      <c r="V44" s="12"/>
      <c r="X44" s="139"/>
      <c r="Y44" s="102"/>
      <c r="Z44" s="37"/>
      <c r="AA44" s="40"/>
      <c r="AB44" s="40"/>
      <c r="AC44" s="40"/>
      <c r="AD44" s="40"/>
      <c r="AQ44" s="73">
        <f t="shared" si="17"/>
        <v>32</v>
      </c>
      <c r="AR44" s="3" t="s">
        <v>19</v>
      </c>
      <c r="AU44" s="52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45"/>
      <c r="BS44" s="141"/>
      <c r="BT44" s="141"/>
      <c r="BU44" s="141"/>
      <c r="CS44" s="146"/>
      <c r="CT44" s="141"/>
      <c r="CU44" s="141"/>
      <c r="CV44" s="141"/>
      <c r="CW44" s="37"/>
      <c r="CX44" s="37"/>
      <c r="CY44" s="37"/>
      <c r="CZ44" s="37"/>
      <c r="DA44" s="141"/>
      <c r="DB44" s="37"/>
      <c r="DC44" s="37"/>
      <c r="DD44" s="37"/>
      <c r="DE44" s="37"/>
      <c r="DF44" s="141"/>
      <c r="DG44" s="37"/>
      <c r="DH44" s="37"/>
      <c r="DI44" s="37"/>
      <c r="DJ44" s="37"/>
      <c r="DK44" s="248" t="s">
        <v>41</v>
      </c>
      <c r="DL44" s="249" t="s">
        <v>42</v>
      </c>
      <c r="DM44" s="248" t="s">
        <v>120</v>
      </c>
      <c r="DN44" s="248" t="s">
        <v>115</v>
      </c>
      <c r="DO44" s="248" t="s">
        <v>116</v>
      </c>
      <c r="DP44" s="99"/>
      <c r="DQ44" s="12">
        <f t="shared" si="40"/>
        <v>29</v>
      </c>
      <c r="DR44" s="13" t="s">
        <v>261</v>
      </c>
      <c r="DS44" s="56">
        <v>10002284</v>
      </c>
      <c r="DT44" s="52">
        <f>+F52</f>
        <v>-8199585</v>
      </c>
      <c r="DU44" s="52">
        <f>K49+K54</f>
        <v>9136815</v>
      </c>
      <c r="DV44" s="52">
        <f>O42</f>
        <v>-1452623.2</v>
      </c>
      <c r="DW44" s="52">
        <f>U31</f>
        <v>-2165855.1765509667</v>
      </c>
      <c r="DX44" s="52">
        <f>+Y32</f>
        <v>8012347.350649425</v>
      </c>
      <c r="DY44" s="12">
        <f t="shared" si="41"/>
        <v>29</v>
      </c>
      <c r="DZ44" s="13" t="s">
        <v>261</v>
      </c>
      <c r="EA44" s="52">
        <f>AD33</f>
        <v>0</v>
      </c>
      <c r="EB44" s="52">
        <f>AI37</f>
        <v>771090.3077958091</v>
      </c>
      <c r="EC44" s="52">
        <f>AP27</f>
        <v>-148688</v>
      </c>
      <c r="ED44" s="56">
        <f>AU35</f>
        <v>124906</v>
      </c>
      <c r="EE44" s="52">
        <f>AZ18</f>
        <v>-369022.93050000013</v>
      </c>
      <c r="EF44" s="52">
        <f>BD24</f>
        <v>163856.35977025097</v>
      </c>
      <c r="EG44" s="52">
        <f>BI20</f>
        <v>7216.26741221646</v>
      </c>
      <c r="EH44" s="12">
        <f t="shared" si="42"/>
        <v>29</v>
      </c>
      <c r="EI44" s="13" t="s">
        <v>261</v>
      </c>
      <c r="EJ44" s="52"/>
      <c r="EK44" s="30">
        <f>BR38</f>
        <v>-23690.1</v>
      </c>
      <c r="EL44" s="52">
        <f>BU24</f>
        <v>-76230.5581753331</v>
      </c>
      <c r="EM44" s="52">
        <f>BZ19</f>
        <v>-57491.616794586946</v>
      </c>
      <c r="EN44" s="52">
        <f>CE20</f>
        <v>143097.73897999272</v>
      </c>
      <c r="EO44" s="52">
        <f>CL30</f>
        <v>-793854.6</v>
      </c>
      <c r="EP44" s="12">
        <f t="shared" si="39"/>
        <v>29</v>
      </c>
      <c r="EQ44" s="13" t="s">
        <v>261</v>
      </c>
      <c r="ER44" s="52">
        <f>CQ35</f>
        <v>-33165</v>
      </c>
      <c r="ES44" s="52">
        <f>CU23</f>
        <v>-310919.5500155671</v>
      </c>
      <c r="ET44" s="52">
        <f>CZ31</f>
        <v>-192549</v>
      </c>
      <c r="EU44" s="52">
        <f>+DE21</f>
        <v>55595</v>
      </c>
      <c r="EV44" s="52">
        <f>DJ29</f>
        <v>411328.1785759999</v>
      </c>
      <c r="EW44" s="52">
        <f>SUM(DT44:EV44)-EH44-DY44-EP44</f>
        <v>5002577.47114724</v>
      </c>
      <c r="EX44" s="52">
        <f t="shared" si="34"/>
        <v>15004861.47114724</v>
      </c>
      <c r="EY44" s="12">
        <f t="shared" si="43"/>
        <v>29</v>
      </c>
      <c r="EZ44" s="13" t="s">
        <v>261</v>
      </c>
      <c r="FA44" s="52">
        <f t="shared" si="35"/>
        <v>10002284</v>
      </c>
      <c r="FB44" s="123">
        <f>EW44</f>
        <v>5002577.47114724</v>
      </c>
      <c r="FC44" s="94">
        <f>+FA44+FB44</f>
        <v>15004861.47114724</v>
      </c>
      <c r="FD44" s="94">
        <f>FD20*DO25</f>
        <v>16480347.97136</v>
      </c>
      <c r="FE44" s="94">
        <f>+FC44+FD44</f>
        <v>31485209.442507237</v>
      </c>
      <c r="FF44" s="67"/>
      <c r="FG44" s="194"/>
    </row>
    <row r="45" spans="1:163" ht="14.25" customHeight="1" thickBot="1">
      <c r="A45" s="12">
        <f t="shared" si="11"/>
        <v>32</v>
      </c>
      <c r="B45" s="385" t="s">
        <v>289</v>
      </c>
      <c r="C45" s="261"/>
      <c r="D45" s="418"/>
      <c r="E45" s="327"/>
      <c r="F45" s="465">
        <f>SUM(E43:E44)</f>
        <v>-117038</v>
      </c>
      <c r="G45" s="12">
        <f t="shared" si="44"/>
        <v>32</v>
      </c>
      <c r="H45" s="385"/>
      <c r="I45" s="267"/>
      <c r="J45" s="426"/>
      <c r="K45" s="136"/>
      <c r="L45" s="12">
        <f t="shared" si="13"/>
        <v>32</v>
      </c>
      <c r="M45" s="334"/>
      <c r="N45" s="364"/>
      <c r="O45" s="364"/>
      <c r="P45" s="364" t="s">
        <v>19</v>
      </c>
      <c r="V45" s="12"/>
      <c r="X45" s="139"/>
      <c r="Y45" s="102"/>
      <c r="Z45" s="141"/>
      <c r="AA45" s="37"/>
      <c r="AB45" s="37"/>
      <c r="AC45" s="37"/>
      <c r="AD45" s="37"/>
      <c r="AQ45" s="73">
        <f t="shared" si="17"/>
        <v>33</v>
      </c>
      <c r="AR45" s="246" t="s">
        <v>128</v>
      </c>
      <c r="AS45" s="79"/>
      <c r="AT45" s="2"/>
      <c r="AU45" s="349">
        <f>SUM(AU40:AU44)</f>
        <v>2458688</v>
      </c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45"/>
      <c r="BS45" s="141"/>
      <c r="BT45" s="141"/>
      <c r="BU45" s="141"/>
      <c r="CS45" s="146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4"/>
      <c r="DL45" s="4"/>
      <c r="DM45" s="4"/>
      <c r="DN45" s="4"/>
      <c r="DO45" s="4"/>
      <c r="DP45" s="4"/>
      <c r="DQ45" s="12">
        <f t="shared" si="40"/>
        <v>30</v>
      </c>
      <c r="DR45" s="3" t="s">
        <v>13</v>
      </c>
      <c r="DS45" s="65">
        <v>7046149</v>
      </c>
      <c r="DT45" s="52"/>
      <c r="DU45" s="52"/>
      <c r="DV45" s="52"/>
      <c r="DW45" s="52">
        <f>U32+U33</f>
        <v>1787482.3429999948</v>
      </c>
      <c r="DX45" s="52"/>
      <c r="DY45" s="12">
        <f t="shared" si="41"/>
        <v>30</v>
      </c>
      <c r="DZ45" s="3" t="s">
        <v>13</v>
      </c>
      <c r="EA45" s="52">
        <f>AD35</f>
        <v>0</v>
      </c>
      <c r="EB45" s="53"/>
      <c r="EC45" s="52"/>
      <c r="ED45" s="52"/>
      <c r="EE45" s="56"/>
      <c r="EF45" s="53"/>
      <c r="EG45" s="70"/>
      <c r="EH45" s="12">
        <f t="shared" si="42"/>
        <v>30</v>
      </c>
      <c r="EI45" s="3" t="s">
        <v>13</v>
      </c>
      <c r="EJ45" s="53"/>
      <c r="EK45" s="53"/>
      <c r="EL45" s="70"/>
      <c r="EM45" s="53"/>
      <c r="EN45" s="53"/>
      <c r="EO45" s="53"/>
      <c r="EP45" s="12">
        <f t="shared" si="39"/>
        <v>30</v>
      </c>
      <c r="EQ45" s="3" t="s">
        <v>13</v>
      </c>
      <c r="ER45" s="53"/>
      <c r="ES45" s="53"/>
      <c r="ET45" s="53"/>
      <c r="EU45" s="53"/>
      <c r="EV45" s="70"/>
      <c r="EW45" s="52">
        <f>SUM(DT45:EV45)-EH45-DY45-EP45</f>
        <v>1787482.3429999948</v>
      </c>
      <c r="EX45" s="53">
        <f t="shared" si="34"/>
        <v>8833631.342999995</v>
      </c>
      <c r="EY45" s="12">
        <f t="shared" si="43"/>
        <v>30</v>
      </c>
      <c r="EZ45" s="3" t="s">
        <v>13</v>
      </c>
      <c r="FA45" s="53">
        <f t="shared" si="35"/>
        <v>7046149</v>
      </c>
      <c r="FB45" s="128">
        <f>EW45</f>
        <v>1787482.3429999948</v>
      </c>
      <c r="FC45" s="95">
        <f>+FA45+FB45</f>
        <v>8833631.342999995</v>
      </c>
      <c r="FD45" s="95"/>
      <c r="FE45" s="95">
        <f>+FC45+FD45</f>
        <v>8833631.342999995</v>
      </c>
      <c r="FF45" s="59"/>
      <c r="FG45" s="311"/>
    </row>
    <row r="46" spans="1:163" ht="14.25" customHeight="1" thickTop="1">
      <c r="A46" s="12">
        <f t="shared" si="11"/>
        <v>33</v>
      </c>
      <c r="B46" s="261"/>
      <c r="C46" s="261"/>
      <c r="D46" s="419"/>
      <c r="E46" s="326"/>
      <c r="F46" s="136"/>
      <c r="G46" s="12">
        <f t="shared" si="44"/>
        <v>33</v>
      </c>
      <c r="H46" s="385" t="s">
        <v>291</v>
      </c>
      <c r="I46" s="267"/>
      <c r="J46" s="326"/>
      <c r="K46" s="463">
        <f>SUM(J44:J45)</f>
        <v>-1576759.4131547145</v>
      </c>
      <c r="L46" s="12">
        <f t="shared" si="13"/>
        <v>33</v>
      </c>
      <c r="M46" s="334" t="s">
        <v>15</v>
      </c>
      <c r="N46" s="8">
        <f>N18-N27-N44</f>
        <v>2001786.0447557783</v>
      </c>
      <c r="O46" s="8">
        <f>O18-O27-O44</f>
        <v>-2697728.8</v>
      </c>
      <c r="P46" s="8">
        <f>P18-P27-P44</f>
        <v>-695942.7552442218</v>
      </c>
      <c r="V46" s="12"/>
      <c r="X46" s="139"/>
      <c r="Y46" s="102"/>
      <c r="Z46" s="141"/>
      <c r="AA46" s="141"/>
      <c r="AB46" s="141"/>
      <c r="AC46" s="141"/>
      <c r="AD46" s="141"/>
      <c r="AQ46" s="73">
        <f t="shared" si="17"/>
        <v>34</v>
      </c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45"/>
      <c r="BS46" s="141"/>
      <c r="BT46" s="141"/>
      <c r="BU46" s="141"/>
      <c r="CS46" s="146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2">
        <v>1</v>
      </c>
      <c r="DL46" s="3" t="s">
        <v>121</v>
      </c>
      <c r="DM46" s="250">
        <f>DM49-SUM(DM47:DM48)</f>
        <v>0.5397</v>
      </c>
      <c r="DN46" s="250">
        <v>0.0664</v>
      </c>
      <c r="DO46" s="250">
        <f>ROUND(DM46*DN46,4)</f>
        <v>0.0358</v>
      </c>
      <c r="DP46" s="69"/>
      <c r="DQ46" s="12">
        <f t="shared" si="40"/>
        <v>31</v>
      </c>
      <c r="DR46" s="13" t="s">
        <v>14</v>
      </c>
      <c r="DS46" s="51">
        <f aca="true" t="shared" si="45" ref="DS46:DX46">SUM(DS31:DS45)</f>
        <v>331290534.512556</v>
      </c>
      <c r="DT46" s="51">
        <f t="shared" si="45"/>
        <v>-9257088</v>
      </c>
      <c r="DU46" s="51">
        <f>SUM(DU31:DU45)</f>
        <v>7363832.988696899</v>
      </c>
      <c r="DV46" s="51">
        <f t="shared" si="45"/>
        <v>-1452623.2</v>
      </c>
      <c r="DW46" s="51">
        <f t="shared" si="45"/>
        <v>-378372.83355097193</v>
      </c>
      <c r="DX46" s="51">
        <f t="shared" si="45"/>
        <v>8012347.350649425</v>
      </c>
      <c r="DY46" s="12">
        <f t="shared" si="41"/>
        <v>31</v>
      </c>
      <c r="DZ46" s="13" t="s">
        <v>14</v>
      </c>
      <c r="EA46" s="51">
        <f>SUM(EA31:EA45)</f>
        <v>14032672.941647712</v>
      </c>
      <c r="EB46" s="51">
        <f aca="true" t="shared" si="46" ref="EB46:EG46">SUM(EB31:EB45)</f>
        <v>-61168336.00129105</v>
      </c>
      <c r="EC46" s="51">
        <f t="shared" si="46"/>
        <v>276135</v>
      </c>
      <c r="ED46" s="51">
        <f t="shared" si="46"/>
        <v>-231967.3885148734</v>
      </c>
      <c r="EE46" s="51">
        <f t="shared" si="46"/>
        <v>685328.2995000003</v>
      </c>
      <c r="EF46" s="51">
        <f t="shared" si="46"/>
        <v>-304304.6681447518</v>
      </c>
      <c r="EG46" s="51">
        <f t="shared" si="46"/>
        <v>-13401.63947983057</v>
      </c>
      <c r="EH46" s="12">
        <f t="shared" si="42"/>
        <v>31</v>
      </c>
      <c r="EI46" s="13" t="s">
        <v>14</v>
      </c>
      <c r="EJ46" s="51">
        <f>SUM(EJ31:EJ45)</f>
        <v>187784</v>
      </c>
      <c r="EK46" s="51">
        <f>SUM(EK31:EK45)</f>
        <v>43995.9</v>
      </c>
      <c r="EL46" s="51">
        <f>SUM(EL31:EL45)</f>
        <v>141571.03661133294</v>
      </c>
      <c r="EM46" s="51">
        <f>SUM(EM31:EM45)</f>
        <v>106770.1454756615</v>
      </c>
      <c r="EN46" s="51">
        <f>SUM(EN31:EN45)</f>
        <v>-265752.94381998654</v>
      </c>
      <c r="EO46" s="51">
        <f>SUM(EO31:EO45)</f>
        <v>1474301.4</v>
      </c>
      <c r="EP46" s="12">
        <f t="shared" si="39"/>
        <v>31</v>
      </c>
      <c r="EQ46" s="13" t="s">
        <v>14</v>
      </c>
      <c r="ER46" s="51">
        <f>SUM(ER31:ER45)</f>
        <v>61591.57937255991</v>
      </c>
      <c r="ES46" s="51">
        <f>SUM(ES31:ES45)</f>
        <v>577422.0214574819</v>
      </c>
      <c r="ET46" s="51">
        <f>SUM(ET31:ET45)</f>
        <v>357590</v>
      </c>
      <c r="EU46" s="51">
        <f>SUM(EU31:EU45)</f>
        <v>-103249</v>
      </c>
      <c r="EV46" s="51">
        <f>SUM(EV31:EV45)</f>
        <v>464492.81121599994</v>
      </c>
      <c r="EW46" s="51">
        <f>SUM(EW31:EW45)</f>
        <v>-39389260.20017439</v>
      </c>
      <c r="EX46" s="51">
        <f>SUM(EX31:EX45)</f>
        <v>291901274.3123816</v>
      </c>
      <c r="EY46" s="12">
        <f t="shared" si="43"/>
        <v>31</v>
      </c>
      <c r="EZ46" s="13" t="s">
        <v>14</v>
      </c>
      <c r="FA46" s="51">
        <f>SUM(FA31:FA45)</f>
        <v>331290534.512556</v>
      </c>
      <c r="FB46" s="51">
        <f>SUM(FB31:FB45)</f>
        <v>-39389260.20017439</v>
      </c>
      <c r="FC46" s="51">
        <f>SUM(FC31:FC45)</f>
        <v>291901274.3123816</v>
      </c>
      <c r="FD46" s="51">
        <f>SUM(FD31:FD45)</f>
        <v>18605844.35479</v>
      </c>
      <c r="FE46" s="51">
        <f>SUM(FE31:FE45)</f>
        <v>310507118.66717166</v>
      </c>
      <c r="FF46" s="30"/>
      <c r="FG46" s="8"/>
    </row>
    <row r="47" spans="1:163" ht="14.25" customHeight="1">
      <c r="A47" s="12">
        <f t="shared" si="11"/>
        <v>34</v>
      </c>
      <c r="B47" s="261" t="s">
        <v>290</v>
      </c>
      <c r="C47" s="261"/>
      <c r="D47" s="417">
        <f>$DO$22</f>
        <v>0.03841</v>
      </c>
      <c r="E47" s="466">
        <f>ROUND(F41*D47,0)</f>
        <v>-940465</v>
      </c>
      <c r="F47" s="136"/>
      <c r="G47" s="12">
        <f t="shared" si="44"/>
        <v>34</v>
      </c>
      <c r="H47" s="261"/>
      <c r="I47" s="267"/>
      <c r="J47" s="267"/>
      <c r="K47" s="426"/>
      <c r="L47" s="12">
        <f t="shared" si="13"/>
        <v>34</v>
      </c>
      <c r="M47" s="261"/>
      <c r="N47" s="31"/>
      <c r="O47" s="31"/>
      <c r="P47" s="31"/>
      <c r="V47" s="12"/>
      <c r="X47" s="139"/>
      <c r="Y47" s="102"/>
      <c r="Z47" s="141"/>
      <c r="AA47" s="141"/>
      <c r="AB47" s="141"/>
      <c r="AC47" s="141"/>
      <c r="AD47" s="141"/>
      <c r="AQ47" s="73">
        <f t="shared" si="17"/>
        <v>35</v>
      </c>
      <c r="BA47" s="12"/>
      <c r="BB47" s="105"/>
      <c r="BC47" s="2"/>
      <c r="BD47" s="70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70"/>
      <c r="BS47" s="141"/>
      <c r="BT47" s="141"/>
      <c r="BU47" s="141"/>
      <c r="CS47" s="146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2">
        <v>2</v>
      </c>
      <c r="DL47" s="3" t="s">
        <v>210</v>
      </c>
      <c r="DM47" s="250">
        <v>0.0003</v>
      </c>
      <c r="DN47" s="250">
        <v>0.0861</v>
      </c>
      <c r="DO47" s="250">
        <f>ROUND(DM47*DN47,4)</f>
        <v>0</v>
      </c>
      <c r="DP47" s="69"/>
      <c r="DQ47" s="12">
        <f t="shared" si="40"/>
        <v>32</v>
      </c>
      <c r="DS47" s="30"/>
      <c r="DT47" s="31" t="s">
        <v>19</v>
      </c>
      <c r="DU47" s="31" t="s">
        <v>19</v>
      </c>
      <c r="DV47" s="31"/>
      <c r="DW47" s="31" t="s">
        <v>19</v>
      </c>
      <c r="DX47" s="31" t="s">
        <v>19</v>
      </c>
      <c r="DY47" s="12">
        <f t="shared" si="41"/>
        <v>32</v>
      </c>
      <c r="EA47" s="31" t="s">
        <v>19</v>
      </c>
      <c r="EB47" s="20"/>
      <c r="EC47" s="31" t="s">
        <v>19</v>
      </c>
      <c r="ED47" s="222"/>
      <c r="EE47" s="91"/>
      <c r="EF47" s="27"/>
      <c r="EG47" s="20"/>
      <c r="EH47" s="12">
        <f t="shared" si="42"/>
        <v>32</v>
      </c>
      <c r="EJ47" s="20"/>
      <c r="EK47" s="27" t="s">
        <v>19</v>
      </c>
      <c r="EL47" s="20"/>
      <c r="EM47" s="27"/>
      <c r="EN47" s="27"/>
      <c r="EO47" s="20"/>
      <c r="EP47" s="12">
        <f t="shared" si="39"/>
        <v>32</v>
      </c>
      <c r="ER47" s="20"/>
      <c r="ES47" s="20"/>
      <c r="ET47" s="20"/>
      <c r="EU47" s="20"/>
      <c r="EV47" s="20"/>
      <c r="EW47" s="25" t="s">
        <v>19</v>
      </c>
      <c r="EX47" s="25"/>
      <c r="EY47" s="12">
        <f t="shared" si="43"/>
        <v>32</v>
      </c>
      <c r="FA47" s="30"/>
      <c r="FB47" s="30"/>
      <c r="FC47" s="30" t="s">
        <v>19</v>
      </c>
      <c r="FD47" s="30"/>
      <c r="FE47" s="30"/>
      <c r="FF47" s="8"/>
      <c r="FG47" s="31"/>
    </row>
    <row r="48" spans="1:163" ht="14.25" customHeight="1">
      <c r="A48" s="12">
        <f t="shared" si="11"/>
        <v>35</v>
      </c>
      <c r="B48" s="385" t="s">
        <v>291</v>
      </c>
      <c r="C48" s="261"/>
      <c r="D48" s="267"/>
      <c r="E48" s="326"/>
      <c r="F48" s="467">
        <f>SUM(E47:E47)</f>
        <v>-940465</v>
      </c>
      <c r="G48" s="12">
        <f t="shared" si="44"/>
        <v>35</v>
      </c>
      <c r="H48" s="261" t="s">
        <v>268</v>
      </c>
      <c r="I48" s="267"/>
      <c r="J48" s="327"/>
      <c r="K48" s="463">
        <f>K36-K42-K46</f>
        <v>26105184.96856162</v>
      </c>
      <c r="L48" s="12">
        <f t="shared" si="13"/>
        <v>35</v>
      </c>
      <c r="M48" s="261" t="s">
        <v>16</v>
      </c>
      <c r="N48" s="364">
        <f>N59</f>
        <v>23765912.4875</v>
      </c>
      <c r="O48" s="365">
        <v>0</v>
      </c>
      <c r="P48" s="364">
        <f>+N48+O48</f>
        <v>23765912.4875</v>
      </c>
      <c r="V48" s="12"/>
      <c r="X48" s="139"/>
      <c r="Y48" s="102"/>
      <c r="Z48" s="141"/>
      <c r="AA48" s="141"/>
      <c r="AB48" s="141"/>
      <c r="AC48" s="141"/>
      <c r="A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350"/>
      <c r="BP48" s="70"/>
      <c r="BQ48" s="70"/>
      <c r="BR48" s="70"/>
      <c r="BS48" s="141"/>
      <c r="BT48" s="141"/>
      <c r="BU48" s="141"/>
      <c r="CS48" s="146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2">
        <v>3</v>
      </c>
      <c r="DL48" s="3" t="s">
        <v>123</v>
      </c>
      <c r="DM48" s="251">
        <v>0.46</v>
      </c>
      <c r="DN48" s="252">
        <v>0.1015</v>
      </c>
      <c r="DO48" s="250">
        <f>ROUND(DM48*DN48,4)</f>
        <v>0.0467</v>
      </c>
      <c r="DP48" s="69"/>
      <c r="DQ48" s="12">
        <f t="shared" si="40"/>
        <v>33</v>
      </c>
      <c r="DR48" s="13" t="s">
        <v>15</v>
      </c>
      <c r="DS48" s="8">
        <f aca="true" t="shared" si="47" ref="DS48:DX48">DS20-DS29-DS46</f>
        <v>103964431.84744388</v>
      </c>
      <c r="DT48" s="8">
        <f t="shared" si="47"/>
        <v>-15227799.630362354</v>
      </c>
      <c r="DU48" s="8">
        <f t="shared" si="47"/>
        <v>16968369.968561616</v>
      </c>
      <c r="DV48" s="8">
        <f t="shared" si="47"/>
        <v>-2697728.8</v>
      </c>
      <c r="DW48" s="8">
        <f t="shared" si="47"/>
        <v>378372.83355097193</v>
      </c>
      <c r="DX48" s="8">
        <f t="shared" si="47"/>
        <v>-8012347.350649425</v>
      </c>
      <c r="DY48" s="12">
        <f t="shared" si="41"/>
        <v>33</v>
      </c>
      <c r="DZ48" s="13" t="s">
        <v>15</v>
      </c>
      <c r="EA48" s="8">
        <f aca="true" t="shared" si="48" ref="EA48:EG48">EA20-EA29-EA46</f>
        <v>-14032672.941647712</v>
      </c>
      <c r="EB48" s="8">
        <f t="shared" si="48"/>
        <v>1432024.8573350683</v>
      </c>
      <c r="EC48" s="8">
        <f t="shared" si="48"/>
        <v>-276135</v>
      </c>
      <c r="ED48" s="8">
        <f t="shared" si="48"/>
        <v>231967.3885148734</v>
      </c>
      <c r="EE48" s="8">
        <f t="shared" si="48"/>
        <v>-685328.2995000003</v>
      </c>
      <c r="EF48" s="8">
        <f t="shared" si="48"/>
        <v>304304.6681447518</v>
      </c>
      <c r="EG48" s="8">
        <f t="shared" si="48"/>
        <v>13401.63947983057</v>
      </c>
      <c r="EH48" s="12">
        <f t="shared" si="42"/>
        <v>33</v>
      </c>
      <c r="EI48" s="13" t="s">
        <v>15</v>
      </c>
      <c r="EJ48" s="8">
        <f aca="true" t="shared" si="49" ref="EJ48:EO48">EJ20-EJ29-EJ46</f>
        <v>-187784</v>
      </c>
      <c r="EK48" s="8">
        <f t="shared" si="49"/>
        <v>-43995.9</v>
      </c>
      <c r="EL48" s="8">
        <f t="shared" si="49"/>
        <v>-141571.03661133294</v>
      </c>
      <c r="EM48" s="8">
        <f t="shared" si="49"/>
        <v>-106770.1454756615</v>
      </c>
      <c r="EN48" s="8">
        <f t="shared" si="49"/>
        <v>265752.94381998654</v>
      </c>
      <c r="EO48" s="8">
        <f t="shared" si="49"/>
        <v>-1474301.4</v>
      </c>
      <c r="EP48" s="12">
        <f t="shared" si="39"/>
        <v>33</v>
      </c>
      <c r="EQ48" s="13" t="s">
        <v>15</v>
      </c>
      <c r="ER48" s="8">
        <f aca="true" t="shared" si="50" ref="ER48:EX48">ER20-ER29-ER46</f>
        <v>-61591.57937255991</v>
      </c>
      <c r="ES48" s="8">
        <f t="shared" si="50"/>
        <v>-577422.0214574819</v>
      </c>
      <c r="ET48" s="8">
        <f t="shared" si="50"/>
        <v>-357590</v>
      </c>
      <c r="EU48" s="8">
        <f t="shared" si="50"/>
        <v>103249</v>
      </c>
      <c r="EV48" s="8">
        <f t="shared" si="50"/>
        <v>763895.188784</v>
      </c>
      <c r="EW48" s="8">
        <f t="shared" si="50"/>
        <v>-23421699.616885424</v>
      </c>
      <c r="EX48" s="8">
        <f t="shared" si="50"/>
        <v>80542732.23055851</v>
      </c>
      <c r="EY48" s="12">
        <f t="shared" si="43"/>
        <v>33</v>
      </c>
      <c r="EZ48" s="3" t="str">
        <f>DR48</f>
        <v>NET OPERATING INCOME</v>
      </c>
      <c r="FA48" s="8">
        <f>FA20-FA29-FA46</f>
        <v>103964431.84744388</v>
      </c>
      <c r="FB48" s="8">
        <f>FB20-FB29-FB46</f>
        <v>-23421699.616885424</v>
      </c>
      <c r="FC48" s="8">
        <f>FC20-FC29-FC46</f>
        <v>80542732.23055851</v>
      </c>
      <c r="FD48" s="8">
        <f>FD20-FD29-FD46</f>
        <v>30606852.64521</v>
      </c>
      <c r="FE48" s="8">
        <f>FE20-FE29-FE46</f>
        <v>111149584.87576848</v>
      </c>
      <c r="FF48" s="31"/>
      <c r="FG48" s="30"/>
    </row>
    <row r="49" spans="1:162" ht="12.75" customHeight="1">
      <c r="A49" s="12">
        <f t="shared" si="11"/>
        <v>36</v>
      </c>
      <c r="B49" s="261"/>
      <c r="C49" s="261"/>
      <c r="D49" s="267"/>
      <c r="E49" s="267"/>
      <c r="F49" s="136"/>
      <c r="G49" s="12">
        <f t="shared" si="44"/>
        <v>36</v>
      </c>
      <c r="H49" s="261" t="s">
        <v>75</v>
      </c>
      <c r="I49" s="282">
        <v>0.35</v>
      </c>
      <c r="J49" s="327"/>
      <c r="K49" s="300">
        <f>ROUND(K48*I49,0)</f>
        <v>9136815</v>
      </c>
      <c r="L49" s="12">
        <f t="shared" si="13"/>
        <v>36</v>
      </c>
      <c r="M49" s="334"/>
      <c r="N49" s="334"/>
      <c r="O49" s="334"/>
      <c r="P49" s="334"/>
      <c r="V49" s="12"/>
      <c r="X49" s="139"/>
      <c r="Y49" s="102"/>
      <c r="Z49" s="141"/>
      <c r="AA49" s="141"/>
      <c r="AB49" s="141"/>
      <c r="AC49" s="141"/>
      <c r="AD49" s="141"/>
      <c r="BA49" s="12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P49" s="70"/>
      <c r="BQ49" s="70"/>
      <c r="BR49" s="70"/>
      <c r="BS49" s="141"/>
      <c r="BT49" s="141"/>
      <c r="BU49" s="141"/>
      <c r="CS49" s="146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2">
        <f aca="true" t="shared" si="51" ref="DK49:DK54">DK48+1</f>
        <v>4</v>
      </c>
      <c r="DL49" s="3" t="s">
        <v>40</v>
      </c>
      <c r="DM49" s="347">
        <v>1</v>
      </c>
      <c r="DN49" s="250"/>
      <c r="DO49" s="347">
        <f>SUM(DO46:DO48)</f>
        <v>0.08249999999999999</v>
      </c>
      <c r="DP49" s="100"/>
      <c r="DQ49" s="12">
        <f t="shared" si="40"/>
        <v>34</v>
      </c>
      <c r="DS49" s="30"/>
      <c r="DT49" s="30"/>
      <c r="DU49" s="30"/>
      <c r="DV49" s="30"/>
      <c r="DW49" s="30"/>
      <c r="DX49" s="30"/>
      <c r="DY49" s="12">
        <f t="shared" si="41"/>
        <v>34</v>
      </c>
      <c r="EA49" s="30"/>
      <c r="EB49" s="17" t="s">
        <v>19</v>
      </c>
      <c r="EC49" s="30"/>
      <c r="ED49" s="30"/>
      <c r="EE49" s="30"/>
      <c r="EG49" s="17"/>
      <c r="EH49" s="12">
        <f t="shared" si="42"/>
        <v>34</v>
      </c>
      <c r="EJ49" s="17"/>
      <c r="EL49" s="17"/>
      <c r="EO49" s="453" t="s">
        <v>19</v>
      </c>
      <c r="EP49" s="12">
        <f t="shared" si="39"/>
        <v>34</v>
      </c>
      <c r="ER49" s="17" t="s">
        <v>19</v>
      </c>
      <c r="ES49" s="17" t="s">
        <v>19</v>
      </c>
      <c r="ET49" s="17"/>
      <c r="EU49" s="17"/>
      <c r="EV49" s="17"/>
      <c r="EW49" s="25"/>
      <c r="EX49" s="25"/>
      <c r="EY49" s="12">
        <f t="shared" si="43"/>
        <v>34</v>
      </c>
      <c r="EZ49" s="13"/>
      <c r="FA49" s="31"/>
      <c r="FB49" s="31"/>
      <c r="FC49" s="31"/>
      <c r="FD49" s="31"/>
      <c r="FE49" s="31"/>
      <c r="FF49" s="30"/>
    </row>
    <row r="50" spans="1:163" ht="12.75" customHeight="1" thickBot="1">
      <c r="A50" s="12">
        <f t="shared" si="11"/>
        <v>37</v>
      </c>
      <c r="B50" s="261" t="s">
        <v>268</v>
      </c>
      <c r="C50" s="261"/>
      <c r="D50" s="267"/>
      <c r="E50" s="327"/>
      <c r="F50" s="463">
        <f>F41-F45-F48</f>
        <v>-23427384.630362354</v>
      </c>
      <c r="G50" s="12">
        <f t="shared" si="44"/>
        <v>37</v>
      </c>
      <c r="H50" s="261" t="s">
        <v>86</v>
      </c>
      <c r="I50" s="267"/>
      <c r="J50" s="327"/>
      <c r="K50" s="464">
        <f>K48-K49</f>
        <v>16968369.96856162</v>
      </c>
      <c r="L50" s="12">
        <f t="shared" si="13"/>
        <v>37</v>
      </c>
      <c r="M50" s="261" t="s">
        <v>17</v>
      </c>
      <c r="N50" s="366">
        <f>N46/N48</f>
        <v>0.08422929461718098</v>
      </c>
      <c r="O50" s="334"/>
      <c r="P50" s="366">
        <f>P46/P48</f>
        <v>-0.029283233101622425</v>
      </c>
      <c r="V50" s="12"/>
      <c r="X50" s="139"/>
      <c r="Y50" s="102"/>
      <c r="Z50" s="141"/>
      <c r="AA50" s="141"/>
      <c r="AB50" s="141"/>
      <c r="AC50" s="141"/>
      <c r="AD50" s="141"/>
      <c r="BA50" s="12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P50" s="70"/>
      <c r="BQ50" s="70"/>
      <c r="BR50" s="70"/>
      <c r="BS50" s="141"/>
      <c r="BT50" s="141"/>
      <c r="BU50" s="141"/>
      <c r="CS50" s="146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2">
        <f t="shared" si="51"/>
        <v>5</v>
      </c>
      <c r="DM50" s="250"/>
      <c r="DN50" s="250"/>
      <c r="DO50" s="250"/>
      <c r="DQ50" s="12">
        <f t="shared" si="40"/>
        <v>35</v>
      </c>
      <c r="DR50" s="13" t="s">
        <v>16</v>
      </c>
      <c r="DS50" s="8">
        <f>+DS61</f>
        <v>1351825342</v>
      </c>
      <c r="DT50" s="30"/>
      <c r="DU50" s="30"/>
      <c r="DV50" s="30"/>
      <c r="DW50" s="30"/>
      <c r="DX50" s="30"/>
      <c r="DY50" s="12">
        <f t="shared" si="41"/>
        <v>35</v>
      </c>
      <c r="DZ50" s="13" t="s">
        <v>16</v>
      </c>
      <c r="EA50" s="30">
        <f>EA61</f>
        <v>-7016336.470823856</v>
      </c>
      <c r="EB50" s="24"/>
      <c r="EC50" s="30"/>
      <c r="ED50" s="30">
        <f>AU45</f>
        <v>2458688</v>
      </c>
      <c r="EE50" s="30"/>
      <c r="EF50" s="30"/>
      <c r="EG50" s="55"/>
      <c r="EH50" s="12">
        <f t="shared" si="42"/>
        <v>35</v>
      </c>
      <c r="EI50" s="13" t="s">
        <v>16</v>
      </c>
      <c r="EJ50" s="55">
        <f>BN29</f>
        <v>0</v>
      </c>
      <c r="EK50" s="30"/>
      <c r="EL50" s="55"/>
      <c r="EM50" s="30"/>
      <c r="EN50" s="30"/>
      <c r="EO50" s="24"/>
      <c r="EP50" s="12">
        <f t="shared" si="39"/>
        <v>35</v>
      </c>
      <c r="EQ50" s="13" t="s">
        <v>16</v>
      </c>
      <c r="ER50" s="20"/>
      <c r="ES50" s="55"/>
      <c r="ET50" s="55"/>
      <c r="EU50" s="55"/>
      <c r="EV50" s="55"/>
      <c r="EW50" s="30">
        <f>SUM(DT50:EV50)-EH50-DY50-EP50</f>
        <v>-4557648.470823856</v>
      </c>
      <c r="EX50" s="30">
        <f>DS50+EW50</f>
        <v>1347267693.5291762</v>
      </c>
      <c r="EY50" s="12">
        <f t="shared" si="43"/>
        <v>35</v>
      </c>
      <c r="EZ50" s="13" t="s">
        <v>16</v>
      </c>
      <c r="FA50" s="30">
        <f>DS50</f>
        <v>1351825342</v>
      </c>
      <c r="FB50" s="497">
        <f>EW50</f>
        <v>-4557648.470823856</v>
      </c>
      <c r="FC50" s="30">
        <f>+FA50+FB50</f>
        <v>1347267693.5291762</v>
      </c>
      <c r="FD50" s="30">
        <v>0</v>
      </c>
      <c r="FE50" s="30">
        <f>+FC50+FD50</f>
        <v>1347267693.5291762</v>
      </c>
      <c r="FG50" s="69"/>
    </row>
    <row r="51" spans="1:162" ht="12.75" customHeight="1" thickTop="1">
      <c r="A51" s="12">
        <f t="shared" si="11"/>
        <v>38</v>
      </c>
      <c r="B51" s="261"/>
      <c r="C51" s="261"/>
      <c r="D51" s="267"/>
      <c r="E51" s="327"/>
      <c r="F51" s="327"/>
      <c r="G51" s="21"/>
      <c r="H51" s="2"/>
      <c r="I51" s="2"/>
      <c r="J51" s="2"/>
      <c r="K51" s="2"/>
      <c r="L51" s="12">
        <f t="shared" si="13"/>
        <v>38</v>
      </c>
      <c r="M51" s="334"/>
      <c r="N51" s="367"/>
      <c r="O51" s="334"/>
      <c r="P51" s="367"/>
      <c r="V51" s="12"/>
      <c r="X51" s="139"/>
      <c r="Y51" s="102"/>
      <c r="Z51" s="141"/>
      <c r="AA51" s="141"/>
      <c r="AB51" s="141"/>
      <c r="AC51" s="141"/>
      <c r="AD51" s="141"/>
      <c r="BA51" s="12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P51" s="70"/>
      <c r="BQ51" s="70"/>
      <c r="BR51" s="70"/>
      <c r="BS51" s="141"/>
      <c r="BT51" s="141"/>
      <c r="BU51" s="141"/>
      <c r="CS51" s="146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2">
        <f t="shared" si="51"/>
        <v>6</v>
      </c>
      <c r="DL51" s="3" t="s">
        <v>193</v>
      </c>
      <c r="DM51" s="250">
        <f>DM46</f>
        <v>0.5397</v>
      </c>
      <c r="DN51" s="250">
        <f>DN46*0.65</f>
        <v>0.043160000000000004</v>
      </c>
      <c r="DO51" s="250">
        <f>ROUND(DO46*0.65,4)</f>
        <v>0.0233</v>
      </c>
      <c r="DQ51" s="12">
        <f t="shared" si="40"/>
        <v>36</v>
      </c>
      <c r="DY51" s="12">
        <f t="shared" si="41"/>
        <v>36</v>
      </c>
      <c r="EB51" s="20"/>
      <c r="EG51" s="2"/>
      <c r="EH51" s="12">
        <f t="shared" si="42"/>
        <v>36</v>
      </c>
      <c r="EJ51" s="2"/>
      <c r="EL51" s="2"/>
      <c r="EO51" s="2"/>
      <c r="EP51" s="12">
        <f t="shared" si="39"/>
        <v>36</v>
      </c>
      <c r="ER51" s="2"/>
      <c r="ES51" s="2"/>
      <c r="ET51" s="2"/>
      <c r="EU51" s="2"/>
      <c r="EV51" s="2"/>
      <c r="EW51" s="25"/>
      <c r="EX51" s="25"/>
      <c r="EY51" s="12">
        <f t="shared" si="43"/>
        <v>36</v>
      </c>
      <c r="FF51" s="69"/>
    </row>
    <row r="52" spans="1:163" ht="12.75" customHeight="1">
      <c r="A52" s="12">
        <f t="shared" si="11"/>
        <v>39</v>
      </c>
      <c r="B52" s="261" t="s">
        <v>75</v>
      </c>
      <c r="C52" s="261"/>
      <c r="D52" s="193">
        <f>_FEDERAL_INCOME_TAX</f>
        <v>0.35</v>
      </c>
      <c r="E52" s="327"/>
      <c r="F52" s="300">
        <f>ROUND(F50*D52,0)</f>
        <v>-8199585</v>
      </c>
      <c r="G52" s="21"/>
      <c r="H52" s="111"/>
      <c r="I52" s="2"/>
      <c r="J52" s="206"/>
      <c r="K52" s="2"/>
      <c r="L52" s="12">
        <f t="shared" si="13"/>
        <v>39</v>
      </c>
      <c r="M52" s="334" t="s">
        <v>150</v>
      </c>
      <c r="N52" s="334"/>
      <c r="O52" s="334"/>
      <c r="P52" s="334"/>
      <c r="V52" s="12"/>
      <c r="X52" s="139"/>
      <c r="Y52" s="102"/>
      <c r="Z52" s="141"/>
      <c r="AA52" s="141"/>
      <c r="AB52" s="141"/>
      <c r="AC52" s="141"/>
      <c r="A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P52" s="70"/>
      <c r="BQ52" s="70"/>
      <c r="BR52" s="70"/>
      <c r="BS52" s="141"/>
      <c r="BT52" s="141"/>
      <c r="BU52" s="141"/>
      <c r="CS52" s="146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2">
        <f t="shared" si="51"/>
        <v>7</v>
      </c>
      <c r="DL52" s="3" t="s">
        <v>122</v>
      </c>
      <c r="DM52" s="250">
        <f>DM47</f>
        <v>0.0003</v>
      </c>
      <c r="DN52" s="250">
        <f>DN47</f>
        <v>0.0861</v>
      </c>
      <c r="DO52" s="250">
        <f>ROUND(DM52*DN52,4)</f>
        <v>0</v>
      </c>
      <c r="DP52" s="57"/>
      <c r="DQ52" s="12">
        <f t="shared" si="40"/>
        <v>37</v>
      </c>
      <c r="DR52" s="13" t="s">
        <v>17</v>
      </c>
      <c r="DS52" s="147">
        <f>DS48/DS50</f>
        <v>0.07690670430370129</v>
      </c>
      <c r="DY52" s="12">
        <f t="shared" si="41"/>
        <v>37</v>
      </c>
      <c r="DZ52" s="13" t="s">
        <v>17</v>
      </c>
      <c r="EA52" s="148"/>
      <c r="EB52" s="2"/>
      <c r="EG52" s="2"/>
      <c r="EH52" s="12">
        <f t="shared" si="42"/>
        <v>37</v>
      </c>
      <c r="EI52" s="13" t="s">
        <v>17</v>
      </c>
      <c r="EJ52" s="2"/>
      <c r="EL52" s="2"/>
      <c r="EO52" s="2"/>
      <c r="EP52" s="12">
        <f t="shared" si="39"/>
        <v>37</v>
      </c>
      <c r="EQ52" s="13" t="s">
        <v>17</v>
      </c>
      <c r="ER52" s="2"/>
      <c r="ES52" s="2"/>
      <c r="ET52" s="2"/>
      <c r="EU52" s="2"/>
      <c r="EV52" s="2"/>
      <c r="EX52" s="69">
        <f>EX48/EX50</f>
        <v>0.059782278323305085</v>
      </c>
      <c r="EY52" s="12">
        <f t="shared" si="43"/>
        <v>37</v>
      </c>
      <c r="EZ52" s="13" t="s">
        <v>17</v>
      </c>
      <c r="FA52" s="69">
        <f>DS52</f>
        <v>0.07690670430370129</v>
      </c>
      <c r="FC52" s="69">
        <f>FC48/FC50</f>
        <v>0.059782278323305085</v>
      </c>
      <c r="FD52" s="69"/>
      <c r="FE52" s="69">
        <f>FE48/FE50</f>
        <v>0.08250000011847047</v>
      </c>
      <c r="FF52" s="97"/>
      <c r="FG52" s="312"/>
    </row>
    <row r="53" spans="1:163" ht="12.75" customHeight="1" thickBot="1">
      <c r="A53" s="12">
        <f t="shared" si="11"/>
        <v>40</v>
      </c>
      <c r="B53" s="261" t="s">
        <v>86</v>
      </c>
      <c r="C53" s="261"/>
      <c r="D53" s="267"/>
      <c r="E53" s="327"/>
      <c r="F53" s="464">
        <f>F50-F52</f>
        <v>-15227799.630362354</v>
      </c>
      <c r="G53" s="21"/>
      <c r="H53" s="353"/>
      <c r="I53" s="2"/>
      <c r="J53" s="2"/>
      <c r="K53" s="70"/>
      <c r="L53" s="12">
        <f t="shared" si="13"/>
        <v>40</v>
      </c>
      <c r="M53" s="315" t="s">
        <v>228</v>
      </c>
      <c r="N53" s="8">
        <v>30624284</v>
      </c>
      <c r="O53" s="312">
        <v>0</v>
      </c>
      <c r="P53" s="8">
        <f>+O53+N53</f>
        <v>30624284</v>
      </c>
      <c r="V53" s="12"/>
      <c r="X53" s="139"/>
      <c r="Y53" s="102"/>
      <c r="Z53" s="141"/>
      <c r="AA53" s="141"/>
      <c r="AB53" s="141"/>
      <c r="AC53" s="141"/>
      <c r="AD53" s="141"/>
      <c r="AW53" s="106"/>
      <c r="BA53" s="12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S53" s="141"/>
      <c r="BT53" s="141"/>
      <c r="BU53" s="141"/>
      <c r="CS53" s="146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2">
        <f t="shared" si="51"/>
        <v>8</v>
      </c>
      <c r="DL53" s="3" t="s">
        <v>123</v>
      </c>
      <c r="DM53" s="251">
        <f>DM48</f>
        <v>0.46</v>
      </c>
      <c r="DN53" s="252">
        <f>DN48</f>
        <v>0.1015</v>
      </c>
      <c r="DO53" s="250">
        <f>ROUND(DM53*DN53,4)</f>
        <v>0.0467</v>
      </c>
      <c r="DP53" s="10"/>
      <c r="DQ53" s="12">
        <f t="shared" si="40"/>
        <v>38</v>
      </c>
      <c r="DY53" s="12">
        <f t="shared" si="41"/>
        <v>38</v>
      </c>
      <c r="EH53" s="12">
        <f t="shared" si="42"/>
        <v>38</v>
      </c>
      <c r="EP53" s="12">
        <f t="shared" si="39"/>
        <v>38</v>
      </c>
      <c r="EY53" s="12">
        <f t="shared" si="43"/>
        <v>38</v>
      </c>
      <c r="FA53" s="97"/>
      <c r="FC53" s="97"/>
      <c r="FD53" s="97"/>
      <c r="FE53" s="97"/>
      <c r="FG53" s="313"/>
    </row>
    <row r="54" spans="1:163" ht="12.75" customHeight="1" thickTop="1">
      <c r="A54" s="12"/>
      <c r="F54" s="12"/>
      <c r="G54" s="21"/>
      <c r="H54" s="353"/>
      <c r="I54" s="434"/>
      <c r="J54" s="2"/>
      <c r="K54" s="435"/>
      <c r="L54" s="12">
        <f t="shared" si="13"/>
        <v>41</v>
      </c>
      <c r="M54" s="314" t="s">
        <v>151</v>
      </c>
      <c r="N54" s="368">
        <v>-1374635.5125</v>
      </c>
      <c r="O54" s="368">
        <v>0</v>
      </c>
      <c r="P54" s="368">
        <f>+O54+N54</f>
        <v>-1374635.5125</v>
      </c>
      <c r="V54" s="12"/>
      <c r="X54" s="139"/>
      <c r="Y54" s="102"/>
      <c r="Z54" s="141"/>
      <c r="AA54" s="141"/>
      <c r="AB54" s="141"/>
      <c r="AC54" s="141"/>
      <c r="AD54" s="141"/>
      <c r="BA54" s="12"/>
      <c r="BB54" s="2"/>
      <c r="BC54" s="2"/>
      <c r="BD54" s="70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70"/>
      <c r="BS54" s="141"/>
      <c r="BT54" s="141"/>
      <c r="BU54" s="141"/>
      <c r="CS54" s="146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2">
        <f t="shared" si="51"/>
        <v>9</v>
      </c>
      <c r="DL54" s="3" t="s">
        <v>194</v>
      </c>
      <c r="DM54" s="347">
        <f>SUM(DM51:DM53)</f>
        <v>1</v>
      </c>
      <c r="DN54" s="250"/>
      <c r="DO54" s="347">
        <f>SUM(DO51:DO53)</f>
        <v>0.07</v>
      </c>
      <c r="DP54" s="10"/>
      <c r="DQ54" s="12">
        <f t="shared" si="40"/>
        <v>39</v>
      </c>
      <c r="DR54" s="3" t="s">
        <v>150</v>
      </c>
      <c r="DY54" s="12">
        <f t="shared" si="41"/>
        <v>39</v>
      </c>
      <c r="DZ54" s="3" t="s">
        <v>150</v>
      </c>
      <c r="EB54" s="2"/>
      <c r="EG54" s="2"/>
      <c r="EH54" s="12">
        <f t="shared" si="42"/>
        <v>39</v>
      </c>
      <c r="EI54" s="3" t="s">
        <v>150</v>
      </c>
      <c r="EJ54" s="2"/>
      <c r="EL54" s="2"/>
      <c r="EO54" s="2"/>
      <c r="EP54" s="12">
        <f t="shared" si="39"/>
        <v>39</v>
      </c>
      <c r="EQ54" s="3" t="s">
        <v>150</v>
      </c>
      <c r="ER54" s="2"/>
      <c r="ES54" s="2"/>
      <c r="ET54" s="2"/>
      <c r="EU54" s="2"/>
      <c r="EV54" s="2"/>
      <c r="EX54" s="25"/>
      <c r="EY54" s="12">
        <f t="shared" si="43"/>
        <v>39</v>
      </c>
      <c r="EZ54" s="3" t="s">
        <v>150</v>
      </c>
      <c r="FG54" s="314"/>
    </row>
    <row r="55" spans="1:163" ht="12.75" customHeight="1">
      <c r="A55" s="12"/>
      <c r="G55" s="21"/>
      <c r="H55" s="353"/>
      <c r="I55" s="2"/>
      <c r="J55" s="2"/>
      <c r="K55" s="206"/>
      <c r="L55" s="12">
        <f t="shared" si="13"/>
        <v>42</v>
      </c>
      <c r="M55" s="314" t="s">
        <v>152</v>
      </c>
      <c r="N55" s="184">
        <v>-5483736</v>
      </c>
      <c r="O55" s="184">
        <v>0</v>
      </c>
      <c r="P55" s="184">
        <f>+O55+N55</f>
        <v>-5483736</v>
      </c>
      <c r="V55" s="12"/>
      <c r="X55" s="139"/>
      <c r="Y55" s="102"/>
      <c r="Z55" s="141"/>
      <c r="AA55" s="141"/>
      <c r="AB55" s="141"/>
      <c r="AC55" s="141"/>
      <c r="AD55" s="141"/>
      <c r="AR55" s="302"/>
      <c r="AS55" s="302"/>
      <c r="AT55" s="302"/>
      <c r="BA55" s="12"/>
      <c r="BB55" s="2"/>
      <c r="BC55" s="149"/>
      <c r="BD55" s="70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70"/>
      <c r="BS55" s="141"/>
      <c r="BT55" s="141"/>
      <c r="BU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350"/>
      <c r="DM55" s="100"/>
      <c r="DN55" s="69"/>
      <c r="DO55" s="100"/>
      <c r="DP55" s="10"/>
      <c r="DQ55" s="12">
        <f t="shared" si="40"/>
        <v>40</v>
      </c>
      <c r="DR55" s="315" t="s">
        <v>228</v>
      </c>
      <c r="DS55" s="8">
        <v>2268630640</v>
      </c>
      <c r="DT55" s="8">
        <v>0</v>
      </c>
      <c r="DU55" s="8">
        <v>0</v>
      </c>
      <c r="DV55" s="8"/>
      <c r="DW55" s="8">
        <v>0</v>
      </c>
      <c r="DX55" s="8">
        <v>0</v>
      </c>
      <c r="DY55" s="12">
        <f t="shared" si="41"/>
        <v>40</v>
      </c>
      <c r="DZ55" s="315" t="s">
        <v>228</v>
      </c>
      <c r="EA55" s="8"/>
      <c r="EB55" s="8">
        <v>0</v>
      </c>
      <c r="EC55" s="8">
        <v>0</v>
      </c>
      <c r="ED55" s="8">
        <f>AU41</f>
        <v>2458688</v>
      </c>
      <c r="EE55" s="8">
        <v>0</v>
      </c>
      <c r="EF55" s="8">
        <v>0</v>
      </c>
      <c r="EG55" s="8"/>
      <c r="EH55" s="12">
        <f t="shared" si="42"/>
        <v>40</v>
      </c>
      <c r="EI55" s="315" t="s">
        <v>228</v>
      </c>
      <c r="EJ55" s="8">
        <f>BM26</f>
        <v>0</v>
      </c>
      <c r="EK55" s="8">
        <v>0</v>
      </c>
      <c r="EL55" s="8"/>
      <c r="EM55" s="8">
        <v>0</v>
      </c>
      <c r="EN55" s="8">
        <v>0</v>
      </c>
      <c r="EO55" s="8">
        <v>0</v>
      </c>
      <c r="EP55" s="12">
        <f t="shared" si="39"/>
        <v>40</v>
      </c>
      <c r="EQ55" s="315" t="s">
        <v>228</v>
      </c>
      <c r="ER55" s="8">
        <v>0</v>
      </c>
      <c r="ES55" s="8">
        <v>0</v>
      </c>
      <c r="ET55" s="8">
        <v>0</v>
      </c>
      <c r="EU55" s="8">
        <v>0</v>
      </c>
      <c r="EV55" s="8">
        <v>0</v>
      </c>
      <c r="EW55" s="8">
        <f>SUM(DT55:EV55)-EH55-DY55-EP55</f>
        <v>2458688</v>
      </c>
      <c r="EX55" s="8">
        <f>+EW55+DS55</f>
        <v>2271089328</v>
      </c>
      <c r="EY55" s="12">
        <f t="shared" si="43"/>
        <v>40</v>
      </c>
      <c r="EZ55" s="315" t="s">
        <v>228</v>
      </c>
      <c r="FA55" s="8">
        <f>+DS55</f>
        <v>2268630640</v>
      </c>
      <c r="FB55" s="312">
        <f>+EW55</f>
        <v>2458688</v>
      </c>
      <c r="FC55" s="8">
        <f>+FB55+FA55</f>
        <v>2271089328</v>
      </c>
      <c r="FE55" s="132"/>
      <c r="FF55" s="314"/>
      <c r="FG55" s="316"/>
    </row>
    <row r="56" spans="1:163" ht="12.75" customHeight="1">
      <c r="A56" s="12"/>
      <c r="L56" s="12">
        <f t="shared" si="13"/>
        <v>43</v>
      </c>
      <c r="M56" s="314" t="s">
        <v>227</v>
      </c>
      <c r="N56" s="369">
        <v>0</v>
      </c>
      <c r="O56" s="369">
        <v>0</v>
      </c>
      <c r="P56" s="369">
        <f>+O56+N56</f>
        <v>0</v>
      </c>
      <c r="V56" s="12"/>
      <c r="X56" s="139"/>
      <c r="Y56" s="102"/>
      <c r="Z56" s="141"/>
      <c r="AA56" s="141"/>
      <c r="AB56" s="141"/>
      <c r="AC56" s="141"/>
      <c r="AD56" s="141"/>
      <c r="AR56" s="302"/>
      <c r="AS56" s="302"/>
      <c r="AT56" s="302"/>
      <c r="BA56" s="12"/>
      <c r="BB56" s="2"/>
      <c r="BC56" s="2"/>
      <c r="BD56" s="70"/>
      <c r="BE56" s="141"/>
      <c r="BF56" s="141"/>
      <c r="BG56" s="141"/>
      <c r="BH56" s="141"/>
      <c r="BI56" s="141"/>
      <c r="BJ56" s="2"/>
      <c r="BK56" s="2"/>
      <c r="BL56" s="2"/>
      <c r="BM56" s="2"/>
      <c r="BN56" s="2"/>
      <c r="BO56" s="70"/>
      <c r="BP56" s="70"/>
      <c r="BQ56" s="70"/>
      <c r="BR56" s="70"/>
      <c r="BS56" s="141"/>
      <c r="BT56" s="141"/>
      <c r="BU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37"/>
      <c r="DL56" s="1"/>
      <c r="DM56" s="209"/>
      <c r="DO56" s="268" t="s">
        <v>382</v>
      </c>
      <c r="DP56" s="10"/>
      <c r="DQ56" s="12">
        <f t="shared" si="40"/>
        <v>41</v>
      </c>
      <c r="DR56" s="314" t="s">
        <v>151</v>
      </c>
      <c r="DS56" s="56">
        <v>-754747709</v>
      </c>
      <c r="DT56" s="56"/>
      <c r="DU56" s="56"/>
      <c r="DV56" s="56"/>
      <c r="DW56" s="56"/>
      <c r="DX56" s="56"/>
      <c r="DY56" s="12">
        <f t="shared" si="41"/>
        <v>41</v>
      </c>
      <c r="DZ56" s="314" t="s">
        <v>151</v>
      </c>
      <c r="EA56" s="56">
        <f>AD40</f>
        <v>-7016336.470823856</v>
      </c>
      <c r="EB56" s="56"/>
      <c r="EC56" s="56"/>
      <c r="ED56" s="56">
        <f>AU43</f>
        <v>0</v>
      </c>
      <c r="EE56" s="56"/>
      <c r="EF56" s="56"/>
      <c r="EG56" s="131"/>
      <c r="EH56" s="12">
        <f t="shared" si="42"/>
        <v>41</v>
      </c>
      <c r="EI56" s="314" t="s">
        <v>151</v>
      </c>
      <c r="EJ56" s="131">
        <f>BM27</f>
        <v>0</v>
      </c>
      <c r="EK56" s="56"/>
      <c r="EL56" s="131"/>
      <c r="EM56" s="56"/>
      <c r="EN56" s="56"/>
      <c r="EO56" s="56"/>
      <c r="EP56" s="12">
        <f t="shared" si="39"/>
        <v>41</v>
      </c>
      <c r="EQ56" s="314" t="s">
        <v>151</v>
      </c>
      <c r="ER56" s="56"/>
      <c r="ES56" s="56"/>
      <c r="ET56" s="56"/>
      <c r="EU56" s="56"/>
      <c r="EV56" s="56"/>
      <c r="EW56" s="131">
        <f>SUM(DT56:EV56)-EH56-DY56-EP56</f>
        <v>-7016336.470823856</v>
      </c>
      <c r="EX56" s="56">
        <f>+EW56+DS56</f>
        <v>-761764045.4708239</v>
      </c>
      <c r="EY56" s="12">
        <f t="shared" si="43"/>
        <v>41</v>
      </c>
      <c r="EZ56" s="314" t="s">
        <v>151</v>
      </c>
      <c r="FA56" s="56">
        <f>+DS56</f>
        <v>-754747709</v>
      </c>
      <c r="FB56" s="56">
        <f>+EW56</f>
        <v>-7016336.470823856</v>
      </c>
      <c r="FC56" s="56">
        <f>+FB56+FA56</f>
        <v>-761764045.4708239</v>
      </c>
      <c r="FD56" s="314"/>
      <c r="FE56" s="132"/>
      <c r="FF56" s="316"/>
      <c r="FG56" s="312"/>
    </row>
    <row r="57" spans="1:163" ht="13.5" customHeight="1" thickBot="1">
      <c r="A57" s="19"/>
      <c r="L57" s="12">
        <f t="shared" si="13"/>
        <v>44</v>
      </c>
      <c r="M57" s="314" t="s">
        <v>155</v>
      </c>
      <c r="N57" s="370">
        <f>SUM(N53:N56)</f>
        <v>23765912.4875</v>
      </c>
      <c r="O57" s="370">
        <f>SUM(O53:O56)</f>
        <v>0</v>
      </c>
      <c r="P57" s="370">
        <f>SUM(P53:P56)</f>
        <v>23765912.4875</v>
      </c>
      <c r="Q57" s="2"/>
      <c r="V57" s="12"/>
      <c r="X57" s="139"/>
      <c r="Y57" s="102"/>
      <c r="Z57" s="141"/>
      <c r="AA57" s="141"/>
      <c r="AB57" s="141"/>
      <c r="AC57" s="141"/>
      <c r="AD57" s="141"/>
      <c r="AR57" s="302"/>
      <c r="AS57" s="302"/>
      <c r="AT57" s="302"/>
      <c r="BA57" s="12"/>
      <c r="BB57" s="143"/>
      <c r="BC57" s="149"/>
      <c r="BD57" s="70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70"/>
      <c r="BS57" s="2"/>
      <c r="BT57" s="2"/>
      <c r="BU57" s="2"/>
      <c r="CT57" s="2"/>
      <c r="CU57" s="2"/>
      <c r="CV57" s="2"/>
      <c r="CW57" s="141"/>
      <c r="CX57" s="141"/>
      <c r="CY57" s="141"/>
      <c r="CZ57" s="141"/>
      <c r="DA57" s="2"/>
      <c r="DB57" s="141"/>
      <c r="DC57" s="141"/>
      <c r="DD57" s="141"/>
      <c r="DE57" s="141"/>
      <c r="DF57" s="2"/>
      <c r="DG57" s="141"/>
      <c r="DH57" s="141"/>
      <c r="DI57" s="141"/>
      <c r="DJ57" s="141"/>
      <c r="DK57" s="106"/>
      <c r="DO57" s="1" t="str">
        <f>DO3</f>
        <v>Attachment H to Bench Request No. 06</v>
      </c>
      <c r="DP57" s="10"/>
      <c r="DQ57" s="12">
        <f t="shared" si="40"/>
        <v>42</v>
      </c>
      <c r="DR57" s="314" t="s">
        <v>308</v>
      </c>
      <c r="DS57" s="184">
        <v>-181249183</v>
      </c>
      <c r="DT57" s="184"/>
      <c r="DU57" s="184"/>
      <c r="DV57" s="184"/>
      <c r="DW57" s="184"/>
      <c r="DX57" s="184"/>
      <c r="DY57" s="12">
        <f t="shared" si="41"/>
        <v>42</v>
      </c>
      <c r="DZ57" s="314" t="s">
        <v>152</v>
      </c>
      <c r="EA57" s="184">
        <f>AD41</f>
        <v>0</v>
      </c>
      <c r="EB57" s="184"/>
      <c r="EC57" s="184"/>
      <c r="ED57" s="184"/>
      <c r="EE57" s="184"/>
      <c r="EF57" s="184"/>
      <c r="EG57" s="131"/>
      <c r="EH57" s="12">
        <f t="shared" si="42"/>
        <v>42</v>
      </c>
      <c r="EI57" s="314" t="s">
        <v>152</v>
      </c>
      <c r="EJ57" s="131">
        <f>BM28</f>
        <v>0</v>
      </c>
      <c r="EK57" s="184"/>
      <c r="EL57" s="131"/>
      <c r="EM57" s="184"/>
      <c r="EN57" s="184"/>
      <c r="EO57" s="184"/>
      <c r="EP57" s="12">
        <f t="shared" si="39"/>
        <v>42</v>
      </c>
      <c r="EQ57" s="314" t="s">
        <v>152</v>
      </c>
      <c r="ER57" s="184"/>
      <c r="ES57" s="184"/>
      <c r="ET57" s="184"/>
      <c r="EU57" s="184"/>
      <c r="EV57" s="184"/>
      <c r="EW57" s="131">
        <f>SUM(DT57:EV57)-EH57-DY57-EP57</f>
        <v>0</v>
      </c>
      <c r="EX57" s="56">
        <f>+EW57+DS57</f>
        <v>-181249183</v>
      </c>
      <c r="EY57" s="12">
        <f t="shared" si="43"/>
        <v>42</v>
      </c>
      <c r="EZ57" s="314" t="s">
        <v>152</v>
      </c>
      <c r="FA57" s="184">
        <f>+DS57</f>
        <v>-181249183</v>
      </c>
      <c r="FB57" s="184">
        <f>+EW57</f>
        <v>0</v>
      </c>
      <c r="FC57" s="184">
        <f>+FB57+FA57</f>
        <v>-181249183</v>
      </c>
      <c r="FD57" s="316"/>
      <c r="FE57" s="132"/>
      <c r="FF57" s="312"/>
      <c r="FG57" s="316"/>
    </row>
    <row r="58" spans="1:163" ht="15" customHeight="1" thickBot="1" thickTop="1">
      <c r="A58" s="19"/>
      <c r="L58" s="12">
        <f t="shared" si="13"/>
        <v>45</v>
      </c>
      <c r="M58" s="314" t="s">
        <v>153</v>
      </c>
      <c r="N58" s="369">
        <v>0</v>
      </c>
      <c r="O58" s="369">
        <v>0</v>
      </c>
      <c r="P58" s="369">
        <f>+O58+N58</f>
        <v>0</v>
      </c>
      <c r="Q58" s="2"/>
      <c r="V58" s="12"/>
      <c r="X58" s="139"/>
      <c r="Y58" s="102"/>
      <c r="Z58" s="2"/>
      <c r="AA58" s="141"/>
      <c r="AB58" s="141"/>
      <c r="AC58" s="141"/>
      <c r="AD58" s="141"/>
      <c r="BA58" s="12"/>
      <c r="BB58" s="143"/>
      <c r="BC58" s="149"/>
      <c r="BD58" s="70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70"/>
      <c r="BS58" s="2"/>
      <c r="BT58" s="2"/>
      <c r="BU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37"/>
      <c r="DL58" s="253"/>
      <c r="DO58" s="523" t="s">
        <v>404</v>
      </c>
      <c r="DQ58" s="12">
        <f t="shared" si="40"/>
        <v>43</v>
      </c>
      <c r="DR58" s="314" t="s">
        <v>227</v>
      </c>
      <c r="DS58" s="65">
        <v>-18315278</v>
      </c>
      <c r="DT58" s="65"/>
      <c r="DU58" s="65"/>
      <c r="DV58" s="65"/>
      <c r="DW58" s="65"/>
      <c r="DX58" s="65"/>
      <c r="DY58" s="12">
        <f t="shared" si="41"/>
        <v>43</v>
      </c>
      <c r="DZ58" s="314" t="s">
        <v>227</v>
      </c>
      <c r="EA58" s="65"/>
      <c r="EB58" s="65"/>
      <c r="EC58" s="65"/>
      <c r="ED58" s="65"/>
      <c r="EE58" s="65"/>
      <c r="EF58" s="65"/>
      <c r="EG58" s="65"/>
      <c r="EH58" s="12">
        <f t="shared" si="42"/>
        <v>43</v>
      </c>
      <c r="EI58" s="314" t="s">
        <v>227</v>
      </c>
      <c r="EJ58" s="65"/>
      <c r="EK58" s="65"/>
      <c r="EL58" s="65"/>
      <c r="EM58" s="65"/>
      <c r="EN58" s="65"/>
      <c r="EO58" s="65"/>
      <c r="EP58" s="12">
        <f t="shared" si="39"/>
        <v>43</v>
      </c>
      <c r="EQ58" s="314" t="s">
        <v>227</v>
      </c>
      <c r="ER58" s="65"/>
      <c r="ES58" s="65"/>
      <c r="ET58" s="65"/>
      <c r="EU58" s="65"/>
      <c r="EV58" s="65"/>
      <c r="EW58" s="304">
        <f>SUM(DT58:EV58)-EH58-DY58-EP58</f>
        <v>0</v>
      </c>
      <c r="EX58" s="65">
        <f>+EW58+DS58</f>
        <v>-18315278</v>
      </c>
      <c r="EY58" s="12">
        <f t="shared" si="43"/>
        <v>43</v>
      </c>
      <c r="EZ58" s="314" t="s">
        <v>227</v>
      </c>
      <c r="FA58" s="65">
        <f>+DS58</f>
        <v>-18315278</v>
      </c>
      <c r="FB58" s="65">
        <f>+EW58</f>
        <v>0</v>
      </c>
      <c r="FC58" s="65">
        <f>+FB58+FA58</f>
        <v>-18315278</v>
      </c>
      <c r="FD58" s="312"/>
      <c r="FE58" s="132"/>
      <c r="FF58" s="316"/>
      <c r="FG58" s="317"/>
    </row>
    <row r="59" spans="1:163" ht="12.75" customHeight="1" thickBot="1" thickTop="1">
      <c r="A59" s="19"/>
      <c r="L59" s="12">
        <f t="shared" si="13"/>
        <v>46</v>
      </c>
      <c r="M59" s="315" t="s">
        <v>154</v>
      </c>
      <c r="N59" s="320">
        <f>SUM(N57:N58)</f>
        <v>23765912.4875</v>
      </c>
      <c r="O59" s="320">
        <f>SUM(O57:O58)</f>
        <v>0</v>
      </c>
      <c r="P59" s="320">
        <f>SUM(P57:P58)</f>
        <v>23765912.4875</v>
      </c>
      <c r="Q59" s="2"/>
      <c r="Z59" s="2"/>
      <c r="AA59" s="2"/>
      <c r="AB59" s="2"/>
      <c r="AC59" s="2"/>
      <c r="AD59" s="2"/>
      <c r="BA59" s="106"/>
      <c r="BB59" s="143"/>
      <c r="BC59" s="149"/>
      <c r="BD59" s="70"/>
      <c r="BE59" s="2"/>
      <c r="BF59" s="2"/>
      <c r="BG59" s="2"/>
      <c r="BH59" s="2"/>
      <c r="BI59" s="2"/>
      <c r="BJ59" s="15"/>
      <c r="BK59" s="15"/>
      <c r="BL59" s="15"/>
      <c r="BM59" s="15"/>
      <c r="BN59" s="15"/>
      <c r="BO59" s="70"/>
      <c r="BS59" s="2"/>
      <c r="BT59" s="2"/>
      <c r="BU59" s="2"/>
      <c r="BV59" s="106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L59" s="10"/>
      <c r="DM59" s="5"/>
      <c r="DN59" s="39"/>
      <c r="DO59" s="10"/>
      <c r="DQ59" s="12">
        <f t="shared" si="40"/>
        <v>44</v>
      </c>
      <c r="DR59" s="314" t="s">
        <v>155</v>
      </c>
      <c r="DS59" s="312">
        <f>SUM(DS55:DS58)</f>
        <v>1314318470</v>
      </c>
      <c r="DT59" s="312">
        <f>SUM(DT55:DT58)</f>
        <v>0</v>
      </c>
      <c r="DU59" s="312">
        <f>SUM(DU55:DU58)</f>
        <v>0</v>
      </c>
      <c r="DV59" s="312"/>
      <c r="DW59" s="312">
        <f>SUM(DW55:DW58)</f>
        <v>0</v>
      </c>
      <c r="DX59" s="312">
        <f>SUM(DX55:DX58)</f>
        <v>0</v>
      </c>
      <c r="DY59" s="12">
        <f t="shared" si="41"/>
        <v>44</v>
      </c>
      <c r="DZ59" s="314" t="s">
        <v>155</v>
      </c>
      <c r="EA59" s="312">
        <f>SUM(EA55:EA58)</f>
        <v>-7016336.470823856</v>
      </c>
      <c r="EB59" s="312">
        <f aca="true" t="shared" si="52" ref="EB59:EG59">SUM(EB55:EB58)</f>
        <v>0</v>
      </c>
      <c r="EC59" s="312">
        <f t="shared" si="52"/>
        <v>0</v>
      </c>
      <c r="ED59" s="312">
        <f t="shared" si="52"/>
        <v>2458688</v>
      </c>
      <c r="EE59" s="312">
        <f t="shared" si="52"/>
        <v>0</v>
      </c>
      <c r="EF59" s="312">
        <f t="shared" si="52"/>
        <v>0</v>
      </c>
      <c r="EG59" s="312">
        <f t="shared" si="52"/>
        <v>0</v>
      </c>
      <c r="EH59" s="12">
        <f t="shared" si="42"/>
        <v>44</v>
      </c>
      <c r="EI59" s="314" t="s">
        <v>155</v>
      </c>
      <c r="EJ59" s="312">
        <f>SUM(EJ55:EJ58)</f>
        <v>0</v>
      </c>
      <c r="EK59" s="312">
        <f>SUM(EK55:EK58)</f>
        <v>0</v>
      </c>
      <c r="EL59" s="312">
        <f>SUM(EL55:EL58)</f>
        <v>0</v>
      </c>
      <c r="EM59" s="312">
        <f>SUM(EM55:EM58)</f>
        <v>0</v>
      </c>
      <c r="EN59" s="312">
        <f>SUM(EN55:EN58)</f>
        <v>0</v>
      </c>
      <c r="EO59" s="312">
        <f>SUM(EO55:EO58)</f>
        <v>0</v>
      </c>
      <c r="EP59" s="12">
        <f t="shared" si="39"/>
        <v>44</v>
      </c>
      <c r="EQ59" s="314" t="s">
        <v>155</v>
      </c>
      <c r="ER59" s="312">
        <f>SUM(ER55:ER58)</f>
        <v>0</v>
      </c>
      <c r="ES59" s="312">
        <f>SUM(ES55:ES58)</f>
        <v>0</v>
      </c>
      <c r="ET59" s="312">
        <f>SUM(ET55:ET58)</f>
        <v>0</v>
      </c>
      <c r="EU59" s="312">
        <f>SUM(EU55:EU58)</f>
        <v>0</v>
      </c>
      <c r="EV59" s="312">
        <f>SUM(EV55:EV58)</f>
        <v>0</v>
      </c>
      <c r="EW59" s="312">
        <f>SUM(EW55:EW58)</f>
        <v>-4557648.470823856</v>
      </c>
      <c r="EX59" s="312">
        <f>SUM(EX55:EX58)</f>
        <v>1309760821.5291762</v>
      </c>
      <c r="EY59" s="12">
        <f t="shared" si="43"/>
        <v>44</v>
      </c>
      <c r="EZ59" s="314" t="s">
        <v>155</v>
      </c>
      <c r="FA59" s="312">
        <f>SUM(FA55:FA58)</f>
        <v>1314318470</v>
      </c>
      <c r="FB59" s="312">
        <f>SUM(FB55:FB58)</f>
        <v>-4557648.470823856</v>
      </c>
      <c r="FC59" s="312">
        <f>SUM(FC55:FC58)</f>
        <v>1309760821.5291762</v>
      </c>
      <c r="FD59" s="316"/>
      <c r="FE59" s="132"/>
      <c r="FF59" s="317"/>
      <c r="FG59" s="318"/>
    </row>
    <row r="60" spans="1:163" ht="12" customHeight="1" thickTop="1">
      <c r="A60" s="2"/>
      <c r="G60" s="203"/>
      <c r="H60" s="203"/>
      <c r="I60" s="203"/>
      <c r="J60" s="203"/>
      <c r="K60" s="203"/>
      <c r="L60" s="12">
        <f t="shared" si="13"/>
        <v>47</v>
      </c>
      <c r="M60" s="334"/>
      <c r="N60" s="334"/>
      <c r="O60" s="334"/>
      <c r="P60" s="334"/>
      <c r="Q60" s="2"/>
      <c r="Z60" s="2"/>
      <c r="AA60" s="2"/>
      <c r="AB60" s="2"/>
      <c r="AC60" s="2"/>
      <c r="AD60" s="2"/>
      <c r="AE60" s="437"/>
      <c r="AJ60" s="106"/>
      <c r="BA60" s="21"/>
      <c r="BB60" s="143"/>
      <c r="BC60" s="150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S60" s="15"/>
      <c r="BT60" s="15"/>
      <c r="BU60" s="15"/>
      <c r="CT60" s="15"/>
      <c r="CU60" s="15"/>
      <c r="CV60" s="15"/>
      <c r="CW60" s="2"/>
      <c r="CX60" s="2"/>
      <c r="CY60" s="2"/>
      <c r="CZ60" s="2"/>
      <c r="DA60" s="15"/>
      <c r="DB60" s="2"/>
      <c r="DC60" s="2"/>
      <c r="DD60" s="2"/>
      <c r="DE60" s="2"/>
      <c r="DF60" s="15"/>
      <c r="DG60" s="2"/>
      <c r="DH60" s="2"/>
      <c r="DI60" s="2"/>
      <c r="DJ60" s="2"/>
      <c r="DK60" s="35" t="str">
        <f>PSE</f>
        <v>PUGET SOUND ENERGY-GAS </v>
      </c>
      <c r="DL60" s="10"/>
      <c r="DM60" s="5"/>
      <c r="DN60" s="39"/>
      <c r="DO60" s="10"/>
      <c r="DP60" s="48"/>
      <c r="DQ60" s="12">
        <f t="shared" si="40"/>
        <v>45</v>
      </c>
      <c r="DR60" s="314" t="s">
        <v>153</v>
      </c>
      <c r="DS60" s="65">
        <v>37506872</v>
      </c>
      <c r="DT60" s="65"/>
      <c r="DU60" s="65"/>
      <c r="DV60" s="65"/>
      <c r="DW60" s="65"/>
      <c r="DX60" s="65"/>
      <c r="DY60" s="12">
        <f t="shared" si="41"/>
        <v>45</v>
      </c>
      <c r="DZ60" s="314" t="s">
        <v>153</v>
      </c>
      <c r="EA60" s="65"/>
      <c r="EB60" s="65"/>
      <c r="EC60" s="65"/>
      <c r="ED60" s="65"/>
      <c r="EE60" s="65"/>
      <c r="EF60" s="65"/>
      <c r="EG60" s="65"/>
      <c r="EH60" s="12">
        <f t="shared" si="42"/>
        <v>45</v>
      </c>
      <c r="EI60" s="314" t="s">
        <v>153</v>
      </c>
      <c r="EJ60" s="65"/>
      <c r="EK60" s="65"/>
      <c r="EL60" s="65"/>
      <c r="EM60" s="65"/>
      <c r="EN60" s="65"/>
      <c r="EO60" s="65"/>
      <c r="EP60" s="12">
        <f t="shared" si="39"/>
        <v>45</v>
      </c>
      <c r="EQ60" s="314" t="s">
        <v>153</v>
      </c>
      <c r="ER60" s="65"/>
      <c r="ES60" s="65"/>
      <c r="ET60" s="65"/>
      <c r="EU60" s="65"/>
      <c r="EV60" s="65"/>
      <c r="EW60" s="65">
        <f>SUM(DT60:EV60)-EH60-DY60-EP60</f>
        <v>0</v>
      </c>
      <c r="EX60" s="65">
        <f>+EW60+DS60</f>
        <v>37506872</v>
      </c>
      <c r="EY60" s="12">
        <f t="shared" si="43"/>
        <v>45</v>
      </c>
      <c r="EZ60" s="314" t="s">
        <v>153</v>
      </c>
      <c r="FA60" s="65">
        <f>+DS60</f>
        <v>37506872</v>
      </c>
      <c r="FB60" s="65">
        <f>+EW60</f>
        <v>0</v>
      </c>
      <c r="FC60" s="65">
        <f>+FB60+FA60</f>
        <v>37506872</v>
      </c>
      <c r="FD60" s="317"/>
      <c r="FE60" s="132"/>
      <c r="FF60" s="318"/>
      <c r="FG60" s="319"/>
    </row>
    <row r="61" spans="1:162" ht="15.75" customHeight="1" thickBot="1">
      <c r="A61" s="19"/>
      <c r="G61" s="66"/>
      <c r="H61" s="66"/>
      <c r="I61" s="66"/>
      <c r="J61" s="66"/>
      <c r="K61" s="66"/>
      <c r="L61" s="12">
        <f t="shared" si="13"/>
        <v>48</v>
      </c>
      <c r="M61" s="334" t="s">
        <v>270</v>
      </c>
      <c r="N61" s="371">
        <f>+DO54</f>
        <v>0.07</v>
      </c>
      <c r="O61" s="371"/>
      <c r="P61" s="371">
        <f>+N61</f>
        <v>0.07</v>
      </c>
      <c r="Q61" s="2"/>
      <c r="Z61" s="15"/>
      <c r="AA61" s="2"/>
      <c r="AB61" s="2"/>
      <c r="AC61" s="2"/>
      <c r="AD61" s="2"/>
      <c r="AE61" s="437"/>
      <c r="AF61" s="102"/>
      <c r="AG61" s="102"/>
      <c r="AH61" s="102"/>
      <c r="AI61" s="102"/>
      <c r="BA61" s="21"/>
      <c r="BB61" s="143"/>
      <c r="BC61" s="150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S61" s="15"/>
      <c r="BT61" s="15"/>
      <c r="BU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35" t="s">
        <v>125</v>
      </c>
      <c r="DL61" s="10"/>
      <c r="DM61" s="5"/>
      <c r="DN61" s="5"/>
      <c r="DO61" s="10"/>
      <c r="DQ61" s="12">
        <v>46</v>
      </c>
      <c r="DR61" s="315" t="s">
        <v>154</v>
      </c>
      <c r="DS61" s="320">
        <f>SUM(DS59:DS60)</f>
        <v>1351825342</v>
      </c>
      <c r="DT61" s="320">
        <f>SUM(DT59:DT60)</f>
        <v>0</v>
      </c>
      <c r="DU61" s="320">
        <f>SUM(DU59:DU60)</f>
        <v>0</v>
      </c>
      <c r="DV61" s="320"/>
      <c r="DW61" s="320">
        <f>SUM(DW59:DW60)</f>
        <v>0</v>
      </c>
      <c r="DX61" s="320">
        <f>SUM(DX59:DX60)</f>
        <v>0</v>
      </c>
      <c r="DY61" s="12">
        <v>46</v>
      </c>
      <c r="DZ61" s="315" t="s">
        <v>154</v>
      </c>
      <c r="EA61" s="320">
        <f>SUM(EA59:EA60)</f>
        <v>-7016336.470823856</v>
      </c>
      <c r="EB61" s="320">
        <f aca="true" t="shared" si="53" ref="EB61:EG61">SUM(EB59:EB60)</f>
        <v>0</v>
      </c>
      <c r="EC61" s="320">
        <f t="shared" si="53"/>
        <v>0</v>
      </c>
      <c r="ED61" s="320">
        <f t="shared" si="53"/>
        <v>2458688</v>
      </c>
      <c r="EE61" s="320">
        <f t="shared" si="53"/>
        <v>0</v>
      </c>
      <c r="EF61" s="320">
        <f t="shared" si="53"/>
        <v>0</v>
      </c>
      <c r="EG61" s="320">
        <f t="shared" si="53"/>
        <v>0</v>
      </c>
      <c r="EH61" s="12">
        <v>46</v>
      </c>
      <c r="EI61" s="315" t="s">
        <v>154</v>
      </c>
      <c r="EJ61" s="320">
        <f>SUM(EJ59:EJ60)</f>
        <v>0</v>
      </c>
      <c r="EK61" s="320">
        <f>SUM(EK59:EK60)</f>
        <v>0</v>
      </c>
      <c r="EL61" s="320">
        <f>SUM(EL59:EL60)</f>
        <v>0</v>
      </c>
      <c r="EM61" s="320">
        <f>SUM(EM59:EM60)</f>
        <v>0</v>
      </c>
      <c r="EN61" s="320">
        <f>SUM(EN59:EN60)</f>
        <v>0</v>
      </c>
      <c r="EO61" s="320">
        <f>SUM(EO59:EO60)</f>
        <v>0</v>
      </c>
      <c r="EP61" s="12">
        <v>46</v>
      </c>
      <c r="EQ61" s="315" t="s">
        <v>154</v>
      </c>
      <c r="ER61" s="320">
        <f>SUM(ER59:ER60)</f>
        <v>0</v>
      </c>
      <c r="ES61" s="320">
        <f>SUM(ES59:ES60)</f>
        <v>0</v>
      </c>
      <c r="ET61" s="320">
        <f>SUM(ET59:ET60)</f>
        <v>0</v>
      </c>
      <c r="EU61" s="320">
        <f>SUM(EU59:EU60)</f>
        <v>0</v>
      </c>
      <c r="EV61" s="320">
        <f>SUM(EV59:EV60)</f>
        <v>0</v>
      </c>
      <c r="EW61" s="320">
        <f>SUM(EW59:EW60)</f>
        <v>-4557648.470823856</v>
      </c>
      <c r="EX61" s="320">
        <f>SUM(EX59:EX60)</f>
        <v>1347267693.5291762</v>
      </c>
      <c r="EY61" s="12">
        <v>46</v>
      </c>
      <c r="EZ61" s="315" t="s">
        <v>154</v>
      </c>
      <c r="FA61" s="320">
        <f>SUM(FA59:FA60)</f>
        <v>1351825342</v>
      </c>
      <c r="FB61" s="320">
        <f>SUM(FB59:FB60)</f>
        <v>-4557648.470823856</v>
      </c>
      <c r="FC61" s="320">
        <f>SUM(FC59:FC60)</f>
        <v>1347267693.5291762</v>
      </c>
      <c r="FD61" s="318"/>
      <c r="FE61" s="132"/>
      <c r="FF61" s="319"/>
    </row>
    <row r="62" spans="1:161" ht="15.75" customHeight="1" thickTop="1">
      <c r="A62" s="19"/>
      <c r="G62" s="66"/>
      <c r="H62" s="66"/>
      <c r="I62" s="66"/>
      <c r="J62" s="66"/>
      <c r="K62" s="66"/>
      <c r="L62" s="12">
        <f t="shared" si="13"/>
        <v>49</v>
      </c>
      <c r="M62" s="334" t="s">
        <v>271</v>
      </c>
      <c r="N62" s="498">
        <f>N59*N61</f>
        <v>1663613.8741250003</v>
      </c>
      <c r="O62" s="334"/>
      <c r="P62" s="498">
        <f>P59*P61</f>
        <v>1663613.8741250003</v>
      </c>
      <c r="Q62" s="2"/>
      <c r="V62" s="12"/>
      <c r="X62" s="139"/>
      <c r="Y62" s="102"/>
      <c r="Z62" s="15"/>
      <c r="AA62" s="15"/>
      <c r="AB62" s="15"/>
      <c r="AC62" s="15"/>
      <c r="AD62" s="15"/>
      <c r="AE62" s="437"/>
      <c r="AF62" s="102"/>
      <c r="AG62" s="102"/>
      <c r="AH62" s="102"/>
      <c r="AI62" s="102"/>
      <c r="BA62" s="21"/>
      <c r="BB62" s="143"/>
      <c r="BC62" s="150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S62" s="15"/>
      <c r="BT62" s="15"/>
      <c r="BU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5" t="str">
        <f>TESTYEAR</f>
        <v>FOR THE TWELVE MONTHS ENDED SEPTEMBER 30, 2007</v>
      </c>
      <c r="DL62" s="10"/>
      <c r="DM62" s="5"/>
      <c r="DN62" s="5"/>
      <c r="DO62" s="10"/>
      <c r="DP62" s="98"/>
      <c r="EY62" s="12"/>
      <c r="FB62" s="450"/>
      <c r="FC62" s="450"/>
      <c r="FD62" s="319"/>
      <c r="FE62" s="319"/>
    </row>
    <row r="63" spans="1:159" ht="15" customHeight="1">
      <c r="A63" s="2"/>
      <c r="G63" s="66"/>
      <c r="H63" s="66"/>
      <c r="I63" s="66"/>
      <c r="J63" s="66"/>
      <c r="K63" s="66"/>
      <c r="L63" s="12">
        <f t="shared" si="13"/>
        <v>50</v>
      </c>
      <c r="M63" s="334" t="s">
        <v>272</v>
      </c>
      <c r="N63" s="368">
        <f>N46</f>
        <v>2001786.0447557783</v>
      </c>
      <c r="O63" s="368"/>
      <c r="P63" s="368">
        <f>P46</f>
        <v>-695942.7552442218</v>
      </c>
      <c r="Q63" s="2"/>
      <c r="V63" s="12"/>
      <c r="X63" s="139"/>
      <c r="Y63" s="102"/>
      <c r="Z63" s="15"/>
      <c r="AA63" s="15"/>
      <c r="AB63" s="15"/>
      <c r="AC63" s="15"/>
      <c r="AD63" s="15"/>
      <c r="AE63" s="437"/>
      <c r="AF63" s="102"/>
      <c r="AG63" s="102"/>
      <c r="AH63" s="102"/>
      <c r="AI63" s="102"/>
      <c r="BA63" s="21"/>
      <c r="BB63" s="143"/>
      <c r="BC63" s="150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S63" s="15"/>
      <c r="BT63" s="15"/>
      <c r="BU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35" t="str">
        <f>DOCKET</f>
        <v>GENERAL RATE INCREASE</v>
      </c>
      <c r="DL63" s="5"/>
      <c r="DM63" s="5"/>
      <c r="DN63" s="5"/>
      <c r="DO63" s="10"/>
      <c r="DP63" s="100"/>
      <c r="DQ63" s="350"/>
      <c r="DR63" s="3" t="s">
        <v>307</v>
      </c>
      <c r="DS63" s="400" t="str">
        <f aca="true" t="shared" si="54" ref="DS63:DX63">IF(DS61=DS50,"OK","ERROR")</f>
        <v>OK</v>
      </c>
      <c r="DT63" s="400" t="str">
        <f t="shared" si="54"/>
        <v>OK</v>
      </c>
      <c r="DU63" s="400" t="str">
        <f t="shared" si="54"/>
        <v>OK</v>
      </c>
      <c r="DV63" s="400" t="str">
        <f t="shared" si="54"/>
        <v>OK</v>
      </c>
      <c r="DW63" s="400" t="str">
        <f t="shared" si="54"/>
        <v>OK</v>
      </c>
      <c r="DX63" s="400" t="str">
        <f t="shared" si="54"/>
        <v>OK</v>
      </c>
      <c r="DY63" s="350"/>
      <c r="DZ63" s="400"/>
      <c r="EA63" s="400" t="str">
        <f>IF(EA61=EA50,"OK","ERROR")</f>
        <v>OK</v>
      </c>
      <c r="EB63" s="400" t="str">
        <f aca="true" t="shared" si="55" ref="EB63:EG63">IF(EB61=EB50,"OK","ERROR")</f>
        <v>OK</v>
      </c>
      <c r="EC63" s="400" t="str">
        <f t="shared" si="55"/>
        <v>OK</v>
      </c>
      <c r="ED63" s="400" t="str">
        <f t="shared" si="55"/>
        <v>OK</v>
      </c>
      <c r="EE63" s="400" t="str">
        <f t="shared" si="55"/>
        <v>OK</v>
      </c>
      <c r="EF63" s="400" t="str">
        <f t="shared" si="55"/>
        <v>OK</v>
      </c>
      <c r="EG63" s="400" t="str">
        <f t="shared" si="55"/>
        <v>OK</v>
      </c>
      <c r="EH63" s="350"/>
      <c r="EJ63" s="400" t="str">
        <f aca="true" t="shared" si="56" ref="EJ63:EO63">IF(EJ61=EJ50,"OK","ERROR")</f>
        <v>OK</v>
      </c>
      <c r="EK63" s="400" t="str">
        <f t="shared" si="56"/>
        <v>OK</v>
      </c>
      <c r="EL63" s="400" t="str">
        <f t="shared" si="56"/>
        <v>OK</v>
      </c>
      <c r="EM63" s="400" t="str">
        <f t="shared" si="56"/>
        <v>OK</v>
      </c>
      <c r="EN63" s="400" t="str">
        <f t="shared" si="56"/>
        <v>OK</v>
      </c>
      <c r="EO63" s="400" t="str">
        <f t="shared" si="56"/>
        <v>OK</v>
      </c>
      <c r="EP63" s="208"/>
      <c r="EQ63" s="208"/>
      <c r="ER63" s="400" t="str">
        <f aca="true" t="shared" si="57" ref="ER63:EX63">IF(ER61=ER50,"OK","ERROR")</f>
        <v>OK</v>
      </c>
      <c r="ES63" s="400" t="str">
        <f t="shared" si="57"/>
        <v>OK</v>
      </c>
      <c r="ET63" s="400" t="str">
        <f t="shared" si="57"/>
        <v>OK</v>
      </c>
      <c r="EU63" s="400" t="str">
        <f t="shared" si="57"/>
        <v>OK</v>
      </c>
      <c r="EV63" s="400" t="str">
        <f t="shared" si="57"/>
        <v>OK</v>
      </c>
      <c r="EW63" s="400" t="str">
        <f t="shared" si="57"/>
        <v>OK</v>
      </c>
      <c r="EX63" s="400" t="str">
        <f t="shared" si="57"/>
        <v>OK</v>
      </c>
      <c r="EY63" s="350"/>
      <c r="FC63" s="208"/>
    </row>
    <row r="64" spans="1:155" ht="13.5" customHeight="1">
      <c r="A64" s="2"/>
      <c r="G64" s="66"/>
      <c r="H64" s="66"/>
      <c r="I64" s="66"/>
      <c r="J64" s="66"/>
      <c r="K64" s="66"/>
      <c r="L64" s="12">
        <f t="shared" si="13"/>
        <v>51</v>
      </c>
      <c r="M64" s="334" t="s">
        <v>273</v>
      </c>
      <c r="N64" s="368">
        <f>N62-N63</f>
        <v>-338172.17063077795</v>
      </c>
      <c r="O64" s="368"/>
      <c r="P64" s="368">
        <f>P62-P63</f>
        <v>2359556.629369222</v>
      </c>
      <c r="Q64" s="2"/>
      <c r="V64" s="2"/>
      <c r="W64" s="2"/>
      <c r="X64" s="2"/>
      <c r="Y64" s="2"/>
      <c r="Z64" s="15"/>
      <c r="AA64" s="15"/>
      <c r="AB64" s="15"/>
      <c r="AC64" s="15"/>
      <c r="AD64" s="15"/>
      <c r="AE64" s="2"/>
      <c r="AF64" s="102"/>
      <c r="AG64" s="102"/>
      <c r="AH64" s="102"/>
      <c r="AI64" s="102"/>
      <c r="BA64" s="21"/>
      <c r="BB64" s="143"/>
      <c r="BC64" s="150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S64" s="15"/>
      <c r="BT64" s="15"/>
      <c r="BU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37"/>
      <c r="DL64" s="37"/>
      <c r="DM64" s="37"/>
      <c r="DN64" s="37"/>
      <c r="EX64" s="185">
        <f>DS48+SUM(DT48:DX48)+SUM(EA48:EG48)+SUM(EJ48:EO48)+SUM(ER48:EV48)-EX48</f>
        <v>0</v>
      </c>
      <c r="EY64" s="3" t="s">
        <v>197</v>
      </c>
    </row>
    <row r="65" spans="1:120" ht="13.5" customHeight="1">
      <c r="A65" s="2"/>
      <c r="G65" s="59"/>
      <c r="H65" s="59"/>
      <c r="I65" s="59"/>
      <c r="J65" s="59"/>
      <c r="K65" s="59"/>
      <c r="L65" s="12">
        <f t="shared" si="13"/>
        <v>52</v>
      </c>
      <c r="M65" s="334" t="s">
        <v>23</v>
      </c>
      <c r="N65" s="372">
        <v>0.65</v>
      </c>
      <c r="O65" s="334"/>
      <c r="P65" s="372">
        <v>0.65</v>
      </c>
      <c r="Q65" s="2"/>
      <c r="V65" s="2"/>
      <c r="W65" s="2"/>
      <c r="X65" s="2"/>
      <c r="Y65" s="2"/>
      <c r="Z65" s="15"/>
      <c r="AA65" s="15"/>
      <c r="AB65" s="15"/>
      <c r="AC65" s="15"/>
      <c r="AD65" s="15"/>
      <c r="AF65" s="102"/>
      <c r="AG65" s="102"/>
      <c r="AH65" s="102"/>
      <c r="AI65" s="102"/>
      <c r="BA65" s="21"/>
      <c r="BB65" s="143"/>
      <c r="BC65" s="150"/>
      <c r="BE65" s="15"/>
      <c r="BF65" s="15"/>
      <c r="BG65" s="15"/>
      <c r="BH65" s="15"/>
      <c r="BI65" s="15"/>
      <c r="BS65" s="15"/>
      <c r="BT65" s="15"/>
      <c r="BU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2">
        <v>1</v>
      </c>
      <c r="DL65" s="3" t="s">
        <v>126</v>
      </c>
      <c r="DO65" s="93">
        <f>FC61</f>
        <v>1347267693.5291762</v>
      </c>
      <c r="DP65" s="321"/>
    </row>
    <row r="66" spans="1:155" ht="14.25" customHeight="1">
      <c r="A66" s="2"/>
      <c r="G66" s="59"/>
      <c r="H66" s="59"/>
      <c r="I66" s="59"/>
      <c r="J66" s="59"/>
      <c r="K66" s="59"/>
      <c r="L66" s="12">
        <f t="shared" si="13"/>
        <v>53</v>
      </c>
      <c r="M66" s="334" t="s">
        <v>274</v>
      </c>
      <c r="N66" s="364">
        <f>N64/N65</f>
        <v>-520264.8778935045</v>
      </c>
      <c r="O66" s="364"/>
      <c r="P66" s="364">
        <f>P64/P65</f>
        <v>3630087.1221064953</v>
      </c>
      <c r="Z66" s="15"/>
      <c r="AA66" s="15"/>
      <c r="AB66" s="15"/>
      <c r="AC66" s="15"/>
      <c r="AD66" s="15"/>
      <c r="AF66" s="102"/>
      <c r="AG66" s="102"/>
      <c r="AH66" s="102"/>
      <c r="AI66" s="102"/>
      <c r="AJ66" s="148"/>
      <c r="CM66" s="151"/>
      <c r="CN66" s="151"/>
      <c r="CO66" s="151"/>
      <c r="CP66" s="151"/>
      <c r="CQ66" s="151"/>
      <c r="CW66" s="15"/>
      <c r="CX66" s="15"/>
      <c r="CY66" s="15"/>
      <c r="CZ66" s="15"/>
      <c r="DB66" s="15"/>
      <c r="DC66" s="15"/>
      <c r="DD66" s="15"/>
      <c r="DE66" s="15"/>
      <c r="DG66" s="15"/>
      <c r="DH66" s="15"/>
      <c r="DI66" s="15"/>
      <c r="DJ66" s="15"/>
      <c r="DK66" s="12">
        <f aca="true" t="shared" si="58" ref="DK66:DK74">DK65+1</f>
        <v>2</v>
      </c>
      <c r="DL66" s="13" t="s">
        <v>17</v>
      </c>
      <c r="DO66" s="513">
        <f>DO49</f>
        <v>0.08249999999999999</v>
      </c>
      <c r="DP66" s="321"/>
      <c r="DR66" s="516"/>
      <c r="DS66" s="2"/>
      <c r="DT66" s="2"/>
      <c r="DU66" s="2"/>
      <c r="DV66" s="2"/>
      <c r="DW66" s="2"/>
      <c r="DX66" s="2"/>
      <c r="DY66" s="2"/>
      <c r="DZ66" s="517"/>
      <c r="EA66" s="2"/>
      <c r="EB66" s="2"/>
      <c r="EC66" s="2"/>
      <c r="ED66" s="2"/>
      <c r="EE66" s="2"/>
      <c r="EF66" s="2"/>
      <c r="EG66" s="2"/>
      <c r="EH66" s="2"/>
      <c r="EI66" s="517"/>
      <c r="EJ66" s="2"/>
      <c r="EK66" s="2"/>
      <c r="EL66" s="2"/>
      <c r="EM66" s="2"/>
      <c r="EN66" s="2"/>
      <c r="EO66" s="2"/>
      <c r="EP66" s="2"/>
      <c r="EQ66" s="517"/>
      <c r="ER66" s="2"/>
      <c r="ES66" s="2"/>
      <c r="ET66" s="2"/>
      <c r="EU66" s="2"/>
      <c r="EV66" s="2"/>
      <c r="EW66" s="2"/>
      <c r="EX66" s="2"/>
      <c r="EY66" s="2"/>
    </row>
    <row r="67" spans="1:163" ht="12.75" customHeight="1">
      <c r="A67" s="2"/>
      <c r="G67" s="186"/>
      <c r="H67" s="186"/>
      <c r="I67" s="186"/>
      <c r="J67" s="186"/>
      <c r="K67" s="186"/>
      <c r="M67" s="2"/>
      <c r="N67" s="2"/>
      <c r="O67" s="2"/>
      <c r="P67" s="2"/>
      <c r="AA67" s="15"/>
      <c r="AB67" s="15"/>
      <c r="AC67" s="15"/>
      <c r="AD67" s="15"/>
      <c r="AF67" s="102"/>
      <c r="AG67" s="102"/>
      <c r="AH67" s="102"/>
      <c r="AI67" s="102"/>
      <c r="AJ67" s="148"/>
      <c r="DK67" s="12">
        <f t="shared" si="58"/>
        <v>3</v>
      </c>
      <c r="DL67" s="13"/>
      <c r="DP67" s="321"/>
      <c r="DR67" s="456"/>
      <c r="DS67" s="457"/>
      <c r="DT67" s="457"/>
      <c r="DU67" s="457"/>
      <c r="DV67" s="457"/>
      <c r="DW67" s="457"/>
      <c r="DX67" s="457"/>
      <c r="DY67" s="457"/>
      <c r="DZ67" s="456"/>
      <c r="EA67" s="457"/>
      <c r="EB67" s="457"/>
      <c r="EC67" s="457"/>
      <c r="ED67" s="457"/>
      <c r="EE67" s="457"/>
      <c r="EF67" s="457"/>
      <c r="EG67" s="457"/>
      <c r="EH67" s="457"/>
      <c r="EI67" s="456"/>
      <c r="EJ67" s="457"/>
      <c r="EK67" s="457"/>
      <c r="EL67" s="457"/>
      <c r="EM67" s="70"/>
      <c r="EN67" s="457"/>
      <c r="EO67" s="457"/>
      <c r="EP67" s="457"/>
      <c r="EQ67" s="456"/>
      <c r="ER67" s="457"/>
      <c r="ES67" s="457"/>
      <c r="ET67" s="457"/>
      <c r="EU67" s="457"/>
      <c r="EV67" s="457"/>
      <c r="EW67" s="457"/>
      <c r="EX67" s="457"/>
      <c r="EY67" s="2"/>
      <c r="FG67" s="2"/>
    </row>
    <row r="68" spans="1:163" ht="12.75" customHeight="1">
      <c r="A68" s="2"/>
      <c r="G68" s="2"/>
      <c r="H68" s="2"/>
      <c r="I68" s="2"/>
      <c r="J68" s="2"/>
      <c r="K68" s="2"/>
      <c r="M68" s="142"/>
      <c r="N68" s="142"/>
      <c r="O68" s="142"/>
      <c r="P68" s="142"/>
      <c r="AF68" s="102"/>
      <c r="AG68" s="102"/>
      <c r="AH68" s="102"/>
      <c r="AI68" s="102"/>
      <c r="DK68" s="12">
        <f t="shared" si="58"/>
        <v>4</v>
      </c>
      <c r="DL68" s="3" t="s">
        <v>212</v>
      </c>
      <c r="DO68" s="25">
        <f>DO65*DO66</f>
        <v>111149584.71615702</v>
      </c>
      <c r="DP68" s="321"/>
      <c r="DR68" s="300"/>
      <c r="DS68" s="202"/>
      <c r="DT68" s="202"/>
      <c r="DU68" s="202"/>
      <c r="DV68" s="202"/>
      <c r="DW68" s="202"/>
      <c r="DX68" s="202"/>
      <c r="DY68" s="202"/>
      <c r="DZ68" s="456"/>
      <c r="EA68" s="202"/>
      <c r="EB68" s="202"/>
      <c r="EC68" s="202"/>
      <c r="ED68" s="202"/>
      <c r="EE68" s="202"/>
      <c r="EF68" s="202"/>
      <c r="EG68" s="202"/>
      <c r="EH68" s="202"/>
      <c r="EI68" s="300"/>
      <c r="EJ68" s="202"/>
      <c r="EK68" s="202"/>
      <c r="EL68" s="202"/>
      <c r="EM68" s="70"/>
      <c r="EN68" s="202"/>
      <c r="EO68" s="202"/>
      <c r="EP68" s="202"/>
      <c r="EQ68" s="300"/>
      <c r="ER68" s="202"/>
      <c r="ES68" s="202"/>
      <c r="ET68" s="202"/>
      <c r="EU68" s="202"/>
      <c r="EV68" s="202"/>
      <c r="EW68" s="202"/>
      <c r="EX68" s="202"/>
      <c r="EY68" s="2"/>
      <c r="FG68" s="2"/>
    </row>
    <row r="69" spans="1:163" ht="12.75" customHeight="1">
      <c r="A69" s="2"/>
      <c r="G69" s="70"/>
      <c r="H69" s="70"/>
      <c r="I69" s="70"/>
      <c r="J69" s="70"/>
      <c r="K69" s="70"/>
      <c r="M69" s="145"/>
      <c r="N69" s="145"/>
      <c r="O69" s="145"/>
      <c r="P69" s="145"/>
      <c r="AF69" s="102"/>
      <c r="AG69" s="102"/>
      <c r="AH69" s="102"/>
      <c r="AI69" s="102"/>
      <c r="DK69" s="12">
        <f>DK68+1</f>
        <v>5</v>
      </c>
      <c r="DN69" s="26"/>
      <c r="DO69" s="25"/>
      <c r="DP69" s="321"/>
      <c r="DR69" s="300"/>
      <c r="DS69" s="202"/>
      <c r="DT69" s="202"/>
      <c r="DU69" s="202"/>
      <c r="DV69" s="202"/>
      <c r="DW69" s="202"/>
      <c r="DX69" s="202"/>
      <c r="DY69" s="70"/>
      <c r="DZ69" s="300"/>
      <c r="EA69" s="202"/>
      <c r="EB69" s="202"/>
      <c r="EC69" s="202"/>
      <c r="ED69" s="202"/>
      <c r="EE69" s="202"/>
      <c r="EF69" s="202"/>
      <c r="EG69" s="202"/>
      <c r="EH69" s="70"/>
      <c r="EI69" s="300"/>
      <c r="EJ69" s="202"/>
      <c r="EK69" s="202"/>
      <c r="EL69" s="202"/>
      <c r="EM69" s="202"/>
      <c r="EN69" s="202"/>
      <c r="EO69" s="202"/>
      <c r="EP69" s="202"/>
      <c r="EQ69" s="300"/>
      <c r="ER69" s="202"/>
      <c r="ES69" s="202"/>
      <c r="ET69" s="202"/>
      <c r="EU69" s="202"/>
      <c r="EV69" s="202"/>
      <c r="EW69" s="202"/>
      <c r="EX69" s="202"/>
      <c r="EY69" s="2"/>
      <c r="FG69" s="2"/>
    </row>
    <row r="70" spans="1:163" ht="12.75" customHeight="1">
      <c r="A70" s="2"/>
      <c r="G70" s="141"/>
      <c r="H70" s="141"/>
      <c r="I70" s="141"/>
      <c r="J70" s="141"/>
      <c r="K70" s="141"/>
      <c r="M70" s="22"/>
      <c r="N70" s="22"/>
      <c r="O70" s="22"/>
      <c r="P70" s="22"/>
      <c r="AE70" s="2"/>
      <c r="AF70" s="102"/>
      <c r="AG70" s="102"/>
      <c r="AH70" s="102"/>
      <c r="AI70" s="102"/>
      <c r="DK70" s="12">
        <f t="shared" si="58"/>
        <v>6</v>
      </c>
      <c r="DL70" s="13" t="s">
        <v>213</v>
      </c>
      <c r="DO70" s="514">
        <f>FC48</f>
        <v>80542732.23055851</v>
      </c>
      <c r="DP70" s="321"/>
      <c r="DR70" s="517"/>
      <c r="DS70" s="2"/>
      <c r="DT70" s="2"/>
      <c r="DU70" s="2"/>
      <c r="DV70" s="2"/>
      <c r="DW70" s="2"/>
      <c r="DX70" s="2"/>
      <c r="DY70" s="2"/>
      <c r="DZ70" s="516"/>
      <c r="EA70" s="2"/>
      <c r="EB70" s="2"/>
      <c r="EC70" s="2"/>
      <c r="ED70" s="2"/>
      <c r="EE70" s="2"/>
      <c r="EF70" s="2"/>
      <c r="EG70" s="518"/>
      <c r="EH70" s="2"/>
      <c r="EI70" s="516"/>
      <c r="EJ70" s="518"/>
      <c r="EK70" s="2"/>
      <c r="EL70" s="518"/>
      <c r="EM70" s="2"/>
      <c r="EN70" s="2"/>
      <c r="EO70" s="2"/>
      <c r="EP70" s="2"/>
      <c r="EQ70" s="516"/>
      <c r="ER70" s="2"/>
      <c r="ES70" s="2"/>
      <c r="ET70" s="2"/>
      <c r="EU70" s="2"/>
      <c r="EV70" s="2"/>
      <c r="EW70" s="518"/>
      <c r="EX70" s="518"/>
      <c r="EY70" s="2"/>
      <c r="FG70" s="2"/>
    </row>
    <row r="71" spans="1:163" ht="12.75" customHeight="1">
      <c r="A71" s="2"/>
      <c r="G71" s="142"/>
      <c r="H71" s="142"/>
      <c r="I71" s="142"/>
      <c r="J71" s="142"/>
      <c r="K71" s="142"/>
      <c r="M71" s="22"/>
      <c r="N71" s="22"/>
      <c r="O71" s="22"/>
      <c r="P71" s="22"/>
      <c r="V71" s="2"/>
      <c r="W71" s="2"/>
      <c r="X71" s="2"/>
      <c r="Y71" s="2"/>
      <c r="AE71" s="2"/>
      <c r="AF71" s="102"/>
      <c r="AG71" s="102"/>
      <c r="AH71" s="102"/>
      <c r="AI71" s="102"/>
      <c r="DK71" s="12">
        <f>DK70+1</f>
        <v>7</v>
      </c>
      <c r="DL71" s="13" t="s">
        <v>214</v>
      </c>
      <c r="DO71" s="25">
        <f>+DO68-DO70</f>
        <v>30606852.485598505</v>
      </c>
      <c r="DP71" s="321"/>
      <c r="DR71" s="456"/>
      <c r="DS71" s="457"/>
      <c r="DT71" s="70"/>
      <c r="DU71" s="70"/>
      <c r="DV71" s="70"/>
      <c r="DW71" s="70"/>
      <c r="DX71" s="70"/>
      <c r="DY71" s="70"/>
      <c r="DZ71" s="456"/>
      <c r="EA71" s="70"/>
      <c r="EB71" s="70"/>
      <c r="EC71" s="70"/>
      <c r="ED71" s="70"/>
      <c r="EE71" s="70"/>
      <c r="EF71" s="70"/>
      <c r="EG71" s="70"/>
      <c r="EH71" s="70"/>
      <c r="EI71" s="456"/>
      <c r="EJ71" s="70"/>
      <c r="EK71" s="70"/>
      <c r="EL71" s="70"/>
      <c r="EM71" s="70"/>
      <c r="EN71" s="70"/>
      <c r="EO71" s="70"/>
      <c r="EP71" s="70"/>
      <c r="EQ71" s="456"/>
      <c r="ER71" s="70"/>
      <c r="ES71" s="70"/>
      <c r="ET71" s="70"/>
      <c r="EU71" s="70"/>
      <c r="EV71" s="70"/>
      <c r="EW71" s="70"/>
      <c r="EX71" s="70"/>
      <c r="EY71" s="2"/>
      <c r="FG71" s="2"/>
    </row>
    <row r="72" spans="1:163" ht="12.75" customHeight="1">
      <c r="A72" s="2"/>
      <c r="G72" s="142"/>
      <c r="H72" s="142"/>
      <c r="I72" s="142"/>
      <c r="J72" s="142"/>
      <c r="K72" s="142"/>
      <c r="M72" s="22"/>
      <c r="N72" s="22"/>
      <c r="O72" s="22"/>
      <c r="P72" s="22"/>
      <c r="V72" s="2"/>
      <c r="W72" s="2"/>
      <c r="X72" s="2"/>
      <c r="Y72" s="2"/>
      <c r="AE72" s="2"/>
      <c r="AF72" s="102"/>
      <c r="AG72" s="102"/>
      <c r="AH72" s="102"/>
      <c r="AI72" s="102"/>
      <c r="DK72" s="12">
        <f t="shared" si="58"/>
        <v>8</v>
      </c>
      <c r="DO72" s="25"/>
      <c r="DP72" s="321"/>
      <c r="DR72" s="300"/>
      <c r="DS72" s="202"/>
      <c r="DT72" s="70"/>
      <c r="DU72" s="70"/>
      <c r="DV72" s="70"/>
      <c r="DW72" s="70"/>
      <c r="DX72" s="70"/>
      <c r="DY72" s="70"/>
      <c r="DZ72" s="300"/>
      <c r="EA72" s="70"/>
      <c r="EB72" s="70"/>
      <c r="EC72" s="70"/>
      <c r="ED72" s="70"/>
      <c r="EE72" s="70"/>
      <c r="EF72" s="70"/>
      <c r="EG72" s="70"/>
      <c r="EH72" s="70"/>
      <c r="EI72" s="300"/>
      <c r="EJ72" s="70"/>
      <c r="EK72" s="70"/>
      <c r="EL72" s="70"/>
      <c r="EM72" s="70"/>
      <c r="EN72" s="70"/>
      <c r="EO72" s="70"/>
      <c r="EP72" s="70"/>
      <c r="EQ72" s="300"/>
      <c r="ER72" s="70"/>
      <c r="ES72" s="70"/>
      <c r="ET72" s="70"/>
      <c r="EU72" s="70"/>
      <c r="EV72" s="70"/>
      <c r="EW72" s="70"/>
      <c r="EX72" s="70"/>
      <c r="EY72" s="2"/>
      <c r="FG72" s="2"/>
    </row>
    <row r="73" spans="1:163" ht="12.75" customHeight="1">
      <c r="A73" s="2"/>
      <c r="G73" s="145"/>
      <c r="H73" s="145"/>
      <c r="I73" s="145"/>
      <c r="J73" s="145"/>
      <c r="K73" s="145"/>
      <c r="M73" s="32"/>
      <c r="N73" s="32"/>
      <c r="O73" s="32"/>
      <c r="P73" s="32"/>
      <c r="V73" s="2"/>
      <c r="W73" s="2"/>
      <c r="X73" s="2"/>
      <c r="Y73" s="2"/>
      <c r="AE73" s="2"/>
      <c r="AF73" s="102"/>
      <c r="AG73" s="102"/>
      <c r="AH73" s="102"/>
      <c r="AI73" s="102"/>
      <c r="DK73" s="12">
        <f t="shared" si="58"/>
        <v>9</v>
      </c>
      <c r="DL73" s="3" t="s">
        <v>23</v>
      </c>
      <c r="DO73" s="490">
        <f>DO30</f>
        <v>0.62193</v>
      </c>
      <c r="DP73" s="321"/>
      <c r="DR73" s="300"/>
      <c r="DS73" s="202"/>
      <c r="DT73" s="202"/>
      <c r="DU73" s="202"/>
      <c r="DV73" s="202"/>
      <c r="DW73" s="202"/>
      <c r="DX73" s="202"/>
      <c r="DY73" s="70"/>
      <c r="DZ73" s="300"/>
      <c r="EA73" s="202"/>
      <c r="EB73" s="202"/>
      <c r="EC73" s="202"/>
      <c r="ED73" s="202"/>
      <c r="EE73" s="202"/>
      <c r="EF73" s="202"/>
      <c r="EG73" s="202"/>
      <c r="EH73" s="70"/>
      <c r="EI73" s="300"/>
      <c r="EJ73" s="202"/>
      <c r="EK73" s="202"/>
      <c r="EL73" s="202"/>
      <c r="EM73" s="202"/>
      <c r="EN73" s="202"/>
      <c r="EO73" s="202"/>
      <c r="EP73" s="202"/>
      <c r="EQ73" s="300"/>
      <c r="ER73" s="202"/>
      <c r="ES73" s="202"/>
      <c r="ET73" s="202"/>
      <c r="EU73" s="202"/>
      <c r="EV73" s="202"/>
      <c r="EW73" s="202"/>
      <c r="EX73" s="202"/>
      <c r="EY73" s="2"/>
      <c r="FG73" s="2"/>
    </row>
    <row r="74" spans="1:163" ht="12.75" customHeight="1">
      <c r="A74" s="2"/>
      <c r="G74" s="22"/>
      <c r="H74" s="22"/>
      <c r="I74" s="22"/>
      <c r="J74" s="22"/>
      <c r="K74" s="22"/>
      <c r="M74" s="32"/>
      <c r="N74" s="32"/>
      <c r="O74" s="32"/>
      <c r="P74" s="32"/>
      <c r="V74" s="2"/>
      <c r="W74" s="2"/>
      <c r="X74" s="2"/>
      <c r="Y74" s="2"/>
      <c r="AE74" s="2"/>
      <c r="AF74" s="102"/>
      <c r="AG74" s="102"/>
      <c r="AH74" s="102"/>
      <c r="AI74" s="102"/>
      <c r="DK74" s="12">
        <f t="shared" si="58"/>
        <v>10</v>
      </c>
      <c r="DM74" s="151"/>
      <c r="DO74" s="20"/>
      <c r="DP74" s="321"/>
      <c r="DR74" s="516"/>
      <c r="DS74" s="2"/>
      <c r="DT74" s="2"/>
      <c r="DU74" s="2"/>
      <c r="DV74" s="2"/>
      <c r="DW74" s="2"/>
      <c r="DX74" s="2"/>
      <c r="DY74" s="2"/>
      <c r="DZ74" s="516"/>
      <c r="EA74" s="2"/>
      <c r="EB74" s="2"/>
      <c r="EC74" s="2"/>
      <c r="ED74" s="2"/>
      <c r="EE74" s="2"/>
      <c r="EF74" s="2"/>
      <c r="EG74" s="518"/>
      <c r="EH74" s="2"/>
      <c r="EI74" s="516"/>
      <c r="EJ74" s="518"/>
      <c r="EK74" s="2"/>
      <c r="EL74" s="518"/>
      <c r="EM74" s="2"/>
      <c r="EN74" s="2"/>
      <c r="EO74" s="2"/>
      <c r="EP74" s="2"/>
      <c r="EQ74" s="516"/>
      <c r="ER74" s="2"/>
      <c r="ES74" s="2"/>
      <c r="ET74" s="2"/>
      <c r="EU74" s="2"/>
      <c r="EV74" s="2"/>
      <c r="EW74" s="518"/>
      <c r="EX74" s="518"/>
      <c r="EY74" s="2"/>
      <c r="FG74" s="2"/>
    </row>
    <row r="75" spans="1:163" ht="12.75" customHeight="1" thickBot="1">
      <c r="A75" s="2"/>
      <c r="G75" s="22"/>
      <c r="H75" s="22"/>
      <c r="I75" s="22"/>
      <c r="J75" s="22"/>
      <c r="K75" s="22"/>
      <c r="M75" s="32"/>
      <c r="N75" s="32"/>
      <c r="O75" s="32"/>
      <c r="P75" s="32"/>
      <c r="V75" s="2"/>
      <c r="W75" s="2"/>
      <c r="X75" s="2"/>
      <c r="Y75" s="2"/>
      <c r="AE75" s="2"/>
      <c r="AF75" s="102"/>
      <c r="AG75" s="102"/>
      <c r="AH75" s="102"/>
      <c r="AI75" s="102"/>
      <c r="DK75" s="12">
        <v>11</v>
      </c>
      <c r="DO75" s="66"/>
      <c r="DP75" s="321"/>
      <c r="DR75" s="456"/>
      <c r="DS75" s="457"/>
      <c r="DT75" s="70"/>
      <c r="DU75" s="70"/>
      <c r="DV75" s="70"/>
      <c r="DW75" s="70"/>
      <c r="DX75" s="70"/>
      <c r="DY75" s="70"/>
      <c r="DZ75" s="456"/>
      <c r="EA75" s="70"/>
      <c r="EB75" s="70"/>
      <c r="EC75" s="70"/>
      <c r="ED75" s="70"/>
      <c r="EE75" s="70"/>
      <c r="EF75" s="70"/>
      <c r="EG75" s="70"/>
      <c r="EH75" s="70"/>
      <c r="EI75" s="456"/>
      <c r="EJ75" s="70"/>
      <c r="EK75" s="70"/>
      <c r="EL75" s="70"/>
      <c r="EM75" s="70"/>
      <c r="EN75" s="70"/>
      <c r="EO75" s="70"/>
      <c r="EP75" s="70"/>
      <c r="EQ75" s="456"/>
      <c r="ER75" s="70"/>
      <c r="ES75" s="70"/>
      <c r="ET75" s="70"/>
      <c r="EU75" s="70"/>
      <c r="EV75" s="70"/>
      <c r="EW75" s="70"/>
      <c r="EX75" s="70"/>
      <c r="EY75" s="2"/>
      <c r="FG75" s="2"/>
    </row>
    <row r="76" spans="1:163" ht="12.75" customHeight="1" thickBot="1">
      <c r="A76" s="2"/>
      <c r="G76" s="22"/>
      <c r="H76" s="22"/>
      <c r="I76" s="22"/>
      <c r="J76" s="22"/>
      <c r="K76" s="22"/>
      <c r="M76" s="32"/>
      <c r="N76" s="32"/>
      <c r="O76" s="32"/>
      <c r="P76" s="32"/>
      <c r="V76" s="2"/>
      <c r="W76" s="2"/>
      <c r="X76" s="2"/>
      <c r="Y76" s="2"/>
      <c r="AE76" s="2"/>
      <c r="AF76" s="102"/>
      <c r="AG76" s="102"/>
      <c r="AH76" s="102"/>
      <c r="AI76" s="102"/>
      <c r="DK76" s="12">
        <v>12</v>
      </c>
      <c r="DL76" s="87" t="s">
        <v>215</v>
      </c>
      <c r="DM76" s="87"/>
      <c r="DO76" s="515">
        <f>ROUND(+DO71/DO73,0)</f>
        <v>49212697</v>
      </c>
      <c r="DP76" s="321"/>
      <c r="DR76" s="300"/>
      <c r="DS76" s="202"/>
      <c r="DT76" s="70"/>
      <c r="DU76" s="70"/>
      <c r="DV76" s="70"/>
      <c r="DW76" s="70"/>
      <c r="DX76" s="70"/>
      <c r="DY76" s="70"/>
      <c r="DZ76" s="300"/>
      <c r="EA76" s="70"/>
      <c r="EB76" s="70"/>
      <c r="EC76" s="70"/>
      <c r="ED76" s="70"/>
      <c r="EE76" s="70"/>
      <c r="EF76" s="70"/>
      <c r="EG76" s="70"/>
      <c r="EH76" s="70"/>
      <c r="EI76" s="300"/>
      <c r="EJ76" s="70"/>
      <c r="EK76" s="70"/>
      <c r="EL76" s="70"/>
      <c r="EM76" s="70"/>
      <c r="EN76" s="70"/>
      <c r="EO76" s="70"/>
      <c r="EP76" s="70"/>
      <c r="EQ76" s="300"/>
      <c r="ER76" s="70"/>
      <c r="ES76" s="70"/>
      <c r="ET76" s="70"/>
      <c r="EU76" s="70"/>
      <c r="EV76" s="70"/>
      <c r="EW76" s="70"/>
      <c r="EX76" s="70"/>
      <c r="EY76" s="2"/>
      <c r="FG76" s="2"/>
    </row>
    <row r="77" spans="1:163" ht="12.75">
      <c r="A77" s="2"/>
      <c r="G77" s="32"/>
      <c r="H77" s="32"/>
      <c r="I77" s="32"/>
      <c r="J77" s="32"/>
      <c r="K77" s="32"/>
      <c r="M77" s="32"/>
      <c r="N77" s="32"/>
      <c r="O77" s="32"/>
      <c r="P77" s="32"/>
      <c r="V77" s="2"/>
      <c r="W77" s="2"/>
      <c r="X77" s="2"/>
      <c r="Y77" s="2"/>
      <c r="AE77" s="2"/>
      <c r="AF77" s="102"/>
      <c r="AG77" s="102"/>
      <c r="AH77" s="102"/>
      <c r="AI77" s="102"/>
      <c r="DR77" s="300"/>
      <c r="DS77" s="202"/>
      <c r="DT77" s="202"/>
      <c r="DU77" s="202"/>
      <c r="DV77" s="202"/>
      <c r="DW77" s="202"/>
      <c r="DX77" s="202"/>
      <c r="DY77" s="70"/>
      <c r="DZ77" s="300"/>
      <c r="EA77" s="202"/>
      <c r="EB77" s="202"/>
      <c r="EC77" s="202"/>
      <c r="ED77" s="202"/>
      <c r="EE77" s="202"/>
      <c r="EF77" s="202"/>
      <c r="EG77" s="202"/>
      <c r="EH77" s="70"/>
      <c r="EI77" s="300"/>
      <c r="EJ77" s="202"/>
      <c r="EK77" s="202"/>
      <c r="EL77" s="202"/>
      <c r="EM77" s="202"/>
      <c r="EN77" s="202"/>
      <c r="EO77" s="202"/>
      <c r="EP77" s="202"/>
      <c r="EQ77" s="300"/>
      <c r="ER77" s="202"/>
      <c r="ES77" s="202"/>
      <c r="ET77" s="202"/>
      <c r="EU77" s="202"/>
      <c r="EV77" s="202"/>
      <c r="EW77" s="202"/>
      <c r="EX77" s="202"/>
      <c r="EY77" s="2"/>
      <c r="FF77" s="2"/>
      <c r="FG77" s="2"/>
    </row>
    <row r="78" spans="1:163" ht="12.75" customHeight="1">
      <c r="A78" s="2"/>
      <c r="G78" s="32"/>
      <c r="H78" s="32"/>
      <c r="I78" s="32"/>
      <c r="J78" s="32"/>
      <c r="K78" s="32"/>
      <c r="M78" s="32"/>
      <c r="N78" s="32"/>
      <c r="O78" s="32"/>
      <c r="P78" s="32"/>
      <c r="V78" s="2"/>
      <c r="W78" s="2"/>
      <c r="X78" s="2"/>
      <c r="Y78" s="2"/>
      <c r="AE78" s="2"/>
      <c r="AF78" s="102"/>
      <c r="AG78" s="102"/>
      <c r="AH78" s="102"/>
      <c r="AI78" s="102"/>
      <c r="DK78" s="350"/>
      <c r="DQ78" s="2"/>
      <c r="DR78" s="516"/>
      <c r="DS78" s="2"/>
      <c r="DT78" s="2"/>
      <c r="DU78" s="2"/>
      <c r="DV78" s="2"/>
      <c r="DW78" s="2"/>
      <c r="DX78" s="2"/>
      <c r="DY78" s="2"/>
      <c r="DZ78" s="516"/>
      <c r="EA78" s="2"/>
      <c r="EB78" s="2"/>
      <c r="EC78" s="2"/>
      <c r="ED78" s="2"/>
      <c r="EE78" s="2"/>
      <c r="EF78" s="2"/>
      <c r="EG78" s="518"/>
      <c r="EH78" s="2"/>
      <c r="EI78" s="516"/>
      <c r="EJ78" s="518"/>
      <c r="EK78" s="2"/>
      <c r="EL78" s="518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518"/>
      <c r="EX78" s="518"/>
      <c r="EY78" s="2"/>
      <c r="FF78" s="254"/>
      <c r="FG78" s="2"/>
    </row>
    <row r="79" spans="1:163" ht="12.75" customHeight="1">
      <c r="A79" s="2"/>
      <c r="G79" s="32"/>
      <c r="H79" s="32"/>
      <c r="I79" s="32"/>
      <c r="J79" s="32"/>
      <c r="K79" s="32"/>
      <c r="M79" s="32"/>
      <c r="N79" s="32"/>
      <c r="O79" s="32"/>
      <c r="P79" s="32"/>
      <c r="V79" s="2"/>
      <c r="W79" s="2"/>
      <c r="X79" s="2"/>
      <c r="Y79" s="2"/>
      <c r="AE79" s="2"/>
      <c r="AF79" s="102"/>
      <c r="AG79" s="102"/>
      <c r="AH79" s="102"/>
      <c r="AI79" s="102"/>
      <c r="DQ79" s="2"/>
      <c r="DR79" s="456"/>
      <c r="DS79" s="457"/>
      <c r="DT79" s="70"/>
      <c r="DU79" s="70"/>
      <c r="DV79" s="70"/>
      <c r="DW79" s="70"/>
      <c r="DX79" s="70"/>
      <c r="DY79" s="70"/>
      <c r="DZ79" s="456"/>
      <c r="EA79" s="70"/>
      <c r="EB79" s="70"/>
      <c r="EC79" s="70"/>
      <c r="ED79" s="70"/>
      <c r="EE79" s="70"/>
      <c r="EF79" s="70"/>
      <c r="EG79" s="70"/>
      <c r="EH79" s="70"/>
      <c r="EI79" s="456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2"/>
      <c r="FF79" s="2"/>
      <c r="FG79" s="2"/>
    </row>
    <row r="80" spans="1:163" ht="12.75" customHeight="1">
      <c r="A80" s="2"/>
      <c r="G80" s="32"/>
      <c r="H80" s="32"/>
      <c r="I80" s="32"/>
      <c r="J80" s="32"/>
      <c r="K80" s="32"/>
      <c r="M80" s="32"/>
      <c r="N80" s="32"/>
      <c r="O80" s="32"/>
      <c r="P80" s="32"/>
      <c r="V80" s="2"/>
      <c r="W80" s="2"/>
      <c r="X80" s="2"/>
      <c r="Y80" s="2"/>
      <c r="AE80" s="2"/>
      <c r="AF80" s="102"/>
      <c r="AG80" s="102"/>
      <c r="AH80" s="102"/>
      <c r="AI80" s="102"/>
      <c r="DQ80" s="2"/>
      <c r="DR80" s="517"/>
      <c r="DS80" s="207"/>
      <c r="DT80" s="207"/>
      <c r="DU80" s="207"/>
      <c r="DV80" s="207"/>
      <c r="DW80" s="207"/>
      <c r="DX80" s="207"/>
      <c r="DY80" s="70"/>
      <c r="DZ80" s="517"/>
      <c r="EA80" s="207"/>
      <c r="EB80" s="207"/>
      <c r="EC80" s="207"/>
      <c r="ED80" s="207"/>
      <c r="EE80" s="207"/>
      <c r="EF80" s="207"/>
      <c r="EG80" s="207"/>
      <c r="EH80" s="70"/>
      <c r="EI80" s="517"/>
      <c r="EJ80" s="207"/>
      <c r="EK80" s="207"/>
      <c r="EL80" s="207"/>
      <c r="EM80" s="207"/>
      <c r="EN80" s="207"/>
      <c r="EO80" s="207"/>
      <c r="EP80" s="70"/>
      <c r="EQ80" s="517"/>
      <c r="ER80" s="207"/>
      <c r="ES80" s="207"/>
      <c r="ET80" s="207"/>
      <c r="EU80" s="207"/>
      <c r="EV80" s="207"/>
      <c r="EW80" s="207"/>
      <c r="EX80" s="207"/>
      <c r="EY80" s="2"/>
      <c r="FF80" s="2"/>
      <c r="FG80" s="2"/>
    </row>
    <row r="81" spans="1:163" ht="12.75" customHeight="1">
      <c r="A81" s="2"/>
      <c r="G81" s="32"/>
      <c r="H81" s="32"/>
      <c r="I81" s="32"/>
      <c r="J81" s="32"/>
      <c r="K81" s="32"/>
      <c r="M81" s="32"/>
      <c r="N81" s="32"/>
      <c r="O81" s="32"/>
      <c r="P81" s="32"/>
      <c r="V81" s="2"/>
      <c r="W81" s="2"/>
      <c r="X81" s="2"/>
      <c r="Y81" s="2"/>
      <c r="AE81" s="2"/>
      <c r="AF81" s="102"/>
      <c r="AG81" s="102"/>
      <c r="AH81" s="102"/>
      <c r="AI81" s="102"/>
      <c r="DQ81" s="2"/>
      <c r="DR81" s="353"/>
      <c r="DS81" s="457"/>
      <c r="DT81" s="457"/>
      <c r="DU81" s="457"/>
      <c r="DV81" s="457"/>
      <c r="DW81" s="457"/>
      <c r="DX81" s="457"/>
      <c r="DY81" s="70"/>
      <c r="DZ81" s="353"/>
      <c r="EA81" s="457"/>
      <c r="EB81" s="457"/>
      <c r="EC81" s="457"/>
      <c r="ED81" s="457"/>
      <c r="EE81" s="457"/>
      <c r="EF81" s="457"/>
      <c r="EG81" s="457"/>
      <c r="EH81" s="70"/>
      <c r="EI81" s="353"/>
      <c r="EJ81" s="457"/>
      <c r="EK81" s="457"/>
      <c r="EL81" s="457"/>
      <c r="EM81" s="457"/>
      <c r="EN81" s="457"/>
      <c r="EO81" s="457"/>
      <c r="EP81" s="202"/>
      <c r="EQ81" s="353"/>
      <c r="ER81" s="457"/>
      <c r="ES81" s="457"/>
      <c r="ET81" s="457"/>
      <c r="EU81" s="457"/>
      <c r="EV81" s="457"/>
      <c r="EW81" s="457"/>
      <c r="EX81" s="457"/>
      <c r="EY81" s="2"/>
      <c r="FF81" s="2"/>
      <c r="FG81" s="2"/>
    </row>
    <row r="82" spans="1:163" ht="12.75" customHeight="1">
      <c r="A82" s="2"/>
      <c r="G82" s="32"/>
      <c r="H82" s="32"/>
      <c r="I82" s="32"/>
      <c r="J82" s="32"/>
      <c r="K82" s="32"/>
      <c r="M82" s="32"/>
      <c r="N82" s="32"/>
      <c r="O82" s="32"/>
      <c r="P82" s="32"/>
      <c r="V82" s="2"/>
      <c r="W82" s="2"/>
      <c r="X82" s="2"/>
      <c r="Y82" s="2"/>
      <c r="AE82" s="2"/>
      <c r="AF82" s="2"/>
      <c r="AG82" s="2"/>
      <c r="AH82" s="2"/>
      <c r="AI82" s="2"/>
      <c r="DK82" s="88"/>
      <c r="DL82" s="88"/>
      <c r="DM82" s="88"/>
      <c r="DN82" s="88"/>
      <c r="DO82" s="88"/>
      <c r="DP82" s="88"/>
      <c r="DQ82" s="2"/>
      <c r="DR82" s="387"/>
      <c r="DS82" s="202"/>
      <c r="DT82" s="202"/>
      <c r="DU82" s="202"/>
      <c r="DV82" s="202"/>
      <c r="DW82" s="202"/>
      <c r="DX82" s="202"/>
      <c r="DY82" s="2"/>
      <c r="DZ82" s="387"/>
      <c r="EA82" s="202"/>
      <c r="EB82" s="202"/>
      <c r="EC82" s="202"/>
      <c r="ED82" s="202"/>
      <c r="EE82" s="202"/>
      <c r="EF82" s="202"/>
      <c r="EG82" s="202"/>
      <c r="EH82" s="2"/>
      <c r="EI82" s="387"/>
      <c r="EJ82" s="202"/>
      <c r="EK82" s="202"/>
      <c r="EL82" s="202"/>
      <c r="EM82" s="202"/>
      <c r="EN82" s="202"/>
      <c r="EO82" s="202"/>
      <c r="EP82" s="2"/>
      <c r="EQ82" s="387"/>
      <c r="ER82" s="202"/>
      <c r="ES82" s="202"/>
      <c r="ET82" s="202"/>
      <c r="EU82" s="202"/>
      <c r="EV82" s="202"/>
      <c r="EW82" s="457"/>
      <c r="EX82" s="457"/>
      <c r="EY82" s="2"/>
      <c r="FG82" s="2"/>
    </row>
    <row r="83" spans="1:163" ht="12.75" customHeight="1">
      <c r="A83" s="2"/>
      <c r="G83" s="32"/>
      <c r="H83" s="32"/>
      <c r="I83" s="32"/>
      <c r="J83" s="32"/>
      <c r="K83" s="32"/>
      <c r="M83" s="32"/>
      <c r="N83" s="32"/>
      <c r="O83" s="32"/>
      <c r="P83" s="32"/>
      <c r="V83" s="2"/>
      <c r="W83" s="2"/>
      <c r="X83" s="2"/>
      <c r="Y83" s="2"/>
      <c r="AE83" s="2"/>
      <c r="AF83" s="2"/>
      <c r="AG83" s="2"/>
      <c r="AH83" s="2"/>
      <c r="AI83" s="2"/>
      <c r="DK83" s="101"/>
      <c r="DL83" s="69"/>
      <c r="DM83" s="193"/>
      <c r="DN83" s="193"/>
      <c r="DO83" s="193"/>
      <c r="DP83" s="193"/>
      <c r="DQ83" s="2"/>
      <c r="DR83" s="387"/>
      <c r="DS83" s="202"/>
      <c r="DT83" s="202"/>
      <c r="DU83" s="202"/>
      <c r="DV83" s="202"/>
      <c r="DW83" s="202"/>
      <c r="DX83" s="202"/>
      <c r="DY83" s="70"/>
      <c r="DZ83" s="387"/>
      <c r="EA83" s="202"/>
      <c r="EB83" s="202"/>
      <c r="EC83" s="202"/>
      <c r="ED83" s="202"/>
      <c r="EE83" s="202"/>
      <c r="EF83" s="202"/>
      <c r="EG83" s="202"/>
      <c r="EH83" s="70"/>
      <c r="EI83" s="387"/>
      <c r="EJ83" s="202"/>
      <c r="EK83" s="202"/>
      <c r="EL83" s="202"/>
      <c r="EM83" s="202"/>
      <c r="EN83" s="202"/>
      <c r="EO83" s="202"/>
      <c r="EP83" s="70"/>
      <c r="EQ83" s="387"/>
      <c r="ER83" s="202"/>
      <c r="ES83" s="202"/>
      <c r="ET83" s="202"/>
      <c r="EU83" s="202"/>
      <c r="EV83" s="202"/>
      <c r="EW83" s="202"/>
      <c r="EX83" s="202"/>
      <c r="EY83" s="2"/>
      <c r="FG83" s="2"/>
    </row>
    <row r="84" spans="1:163" ht="12.75" customHeight="1">
      <c r="A84" s="2"/>
      <c r="G84" s="32"/>
      <c r="H84" s="32"/>
      <c r="I84" s="32"/>
      <c r="J84" s="32"/>
      <c r="K84" s="32"/>
      <c r="M84" s="32"/>
      <c r="N84" s="32"/>
      <c r="O84" s="32"/>
      <c r="P84" s="32"/>
      <c r="V84" s="2"/>
      <c r="W84" s="2"/>
      <c r="X84" s="2"/>
      <c r="Y84" s="2"/>
      <c r="AE84" s="2"/>
      <c r="AF84" s="2"/>
      <c r="AG84" s="2"/>
      <c r="AH84" s="2"/>
      <c r="AI84" s="2"/>
      <c r="DL84" s="6"/>
      <c r="DQ84" s="454"/>
      <c r="DR84" s="517"/>
      <c r="DS84" s="207"/>
      <c r="DT84" s="207"/>
      <c r="DU84" s="207"/>
      <c r="DV84" s="207"/>
      <c r="DW84" s="207"/>
      <c r="DX84" s="207"/>
      <c r="DY84" s="70"/>
      <c r="DZ84" s="517"/>
      <c r="EA84" s="207"/>
      <c r="EB84" s="207"/>
      <c r="EC84" s="207"/>
      <c r="ED84" s="207"/>
      <c r="EE84" s="207"/>
      <c r="EF84" s="207"/>
      <c r="EG84" s="207"/>
      <c r="EH84" s="70"/>
      <c r="EI84" s="517"/>
      <c r="EJ84" s="207"/>
      <c r="EK84" s="207"/>
      <c r="EL84" s="207"/>
      <c r="EM84" s="207"/>
      <c r="EN84" s="207"/>
      <c r="EO84" s="207"/>
      <c r="EP84" s="70"/>
      <c r="EQ84" s="517"/>
      <c r="ER84" s="207"/>
      <c r="ES84" s="207"/>
      <c r="ET84" s="207"/>
      <c r="EU84" s="207"/>
      <c r="EV84" s="207"/>
      <c r="EW84" s="207"/>
      <c r="EX84" s="207"/>
      <c r="EY84" s="2"/>
      <c r="FG84" s="254"/>
    </row>
    <row r="85" spans="1:163" ht="12.75" customHeight="1">
      <c r="A85" s="2"/>
      <c r="G85" s="32"/>
      <c r="H85" s="32"/>
      <c r="I85" s="32"/>
      <c r="J85" s="32"/>
      <c r="K85" s="32"/>
      <c r="M85" s="2"/>
      <c r="N85" s="2"/>
      <c r="O85" s="2"/>
      <c r="P85" s="2"/>
      <c r="V85" s="153"/>
      <c r="W85" s="2"/>
      <c r="X85" s="2"/>
      <c r="Y85" s="2"/>
      <c r="AE85" s="2"/>
      <c r="AF85" s="2"/>
      <c r="AG85" s="2"/>
      <c r="AH85" s="2"/>
      <c r="AI85" s="2"/>
      <c r="DL85" s="6"/>
      <c r="DQ85" s="455"/>
      <c r="DR85" s="353"/>
      <c r="DS85" s="457"/>
      <c r="DT85" s="457"/>
      <c r="DU85" s="457"/>
      <c r="DV85" s="457"/>
      <c r="DW85" s="457"/>
      <c r="DX85" s="457"/>
      <c r="DY85" s="70"/>
      <c r="DZ85" s="353"/>
      <c r="EA85" s="457"/>
      <c r="EB85" s="457"/>
      <c r="EC85" s="457"/>
      <c r="ED85" s="457"/>
      <c r="EE85" s="457"/>
      <c r="EF85" s="457"/>
      <c r="EG85" s="457"/>
      <c r="EH85" s="70"/>
      <c r="EI85" s="353"/>
      <c r="EJ85" s="457"/>
      <c r="EK85" s="457"/>
      <c r="EL85" s="457"/>
      <c r="EM85" s="457"/>
      <c r="EN85" s="457"/>
      <c r="EO85" s="457"/>
      <c r="EP85" s="202"/>
      <c r="EQ85" s="353"/>
      <c r="ER85" s="457"/>
      <c r="ES85" s="457"/>
      <c r="ET85" s="457"/>
      <c r="EU85" s="457"/>
      <c r="EV85" s="457"/>
      <c r="EW85" s="457"/>
      <c r="EX85" s="457"/>
      <c r="EY85" s="2"/>
      <c r="FG85" s="2"/>
    </row>
    <row r="86" spans="1:163" ht="12.75" customHeight="1">
      <c r="A86" s="2"/>
      <c r="G86" s="32"/>
      <c r="H86" s="32"/>
      <c r="I86" s="32"/>
      <c r="J86" s="32"/>
      <c r="K86" s="32"/>
      <c r="M86" s="2"/>
      <c r="N86" s="2"/>
      <c r="O86" s="2"/>
      <c r="P86" s="2"/>
      <c r="V86" s="153"/>
      <c r="W86" s="2"/>
      <c r="X86" s="2"/>
      <c r="Y86" s="2"/>
      <c r="AE86" s="2"/>
      <c r="AF86" s="2"/>
      <c r="AG86" s="2"/>
      <c r="AH86" s="2"/>
      <c r="AI86" s="2"/>
      <c r="DL86" s="6"/>
      <c r="DQ86" s="2"/>
      <c r="DR86" s="387"/>
      <c r="DS86" s="202"/>
      <c r="DT86" s="202"/>
      <c r="DU86" s="202"/>
      <c r="DV86" s="202"/>
      <c r="DW86" s="202"/>
      <c r="DX86" s="202"/>
      <c r="DY86" s="2"/>
      <c r="DZ86" s="387"/>
      <c r="EA86" s="202"/>
      <c r="EB86" s="202"/>
      <c r="EC86" s="202"/>
      <c r="ED86" s="202"/>
      <c r="EE86" s="202"/>
      <c r="EF86" s="202"/>
      <c r="EG86" s="202"/>
      <c r="EH86" s="2"/>
      <c r="EI86" s="387"/>
      <c r="EJ86" s="202"/>
      <c r="EK86" s="202"/>
      <c r="EL86" s="202"/>
      <c r="EM86" s="202"/>
      <c r="EN86" s="202"/>
      <c r="EO86" s="202"/>
      <c r="EP86" s="2"/>
      <c r="EQ86" s="387"/>
      <c r="ER86" s="202"/>
      <c r="ES86" s="202"/>
      <c r="ET86" s="202"/>
      <c r="EU86" s="202"/>
      <c r="EV86" s="202"/>
      <c r="EW86" s="202"/>
      <c r="EX86" s="202"/>
      <c r="EY86" s="2"/>
      <c r="FG86" s="2"/>
    </row>
    <row r="87" spans="1:163" ht="12.75" customHeight="1">
      <c r="A87" s="2"/>
      <c r="G87" s="32"/>
      <c r="H87" s="32"/>
      <c r="I87" s="32"/>
      <c r="J87" s="32"/>
      <c r="K87" s="32"/>
      <c r="M87" s="2"/>
      <c r="N87" s="2"/>
      <c r="O87" s="2"/>
      <c r="P87" s="2"/>
      <c r="V87" s="153"/>
      <c r="W87" s="2"/>
      <c r="X87" s="2"/>
      <c r="Y87" s="2"/>
      <c r="AE87" s="2"/>
      <c r="AF87" s="2"/>
      <c r="AG87" s="2"/>
      <c r="AH87" s="2"/>
      <c r="AI87" s="2"/>
      <c r="DL87" s="6"/>
      <c r="DQ87" s="2"/>
      <c r="DR87" s="387"/>
      <c r="DS87" s="202"/>
      <c r="DT87" s="202"/>
      <c r="DU87" s="202"/>
      <c r="DV87" s="202"/>
      <c r="DW87" s="202"/>
      <c r="DX87" s="202"/>
      <c r="DY87" s="2"/>
      <c r="DZ87" s="387"/>
      <c r="EA87" s="202"/>
      <c r="EB87" s="202"/>
      <c r="EC87" s="202"/>
      <c r="ED87" s="202"/>
      <c r="EE87" s="202"/>
      <c r="EF87" s="202"/>
      <c r="EG87" s="202"/>
      <c r="EH87" s="2"/>
      <c r="EI87" s="387"/>
      <c r="EJ87" s="202"/>
      <c r="EK87" s="202"/>
      <c r="EL87" s="202"/>
      <c r="EM87" s="202"/>
      <c r="EN87" s="202"/>
      <c r="EO87" s="202"/>
      <c r="EP87" s="70"/>
      <c r="EQ87" s="387"/>
      <c r="ER87" s="202"/>
      <c r="ES87" s="202"/>
      <c r="ET87" s="202"/>
      <c r="EU87" s="202"/>
      <c r="EV87" s="202"/>
      <c r="EW87" s="202"/>
      <c r="EX87" s="202"/>
      <c r="EY87" s="2"/>
      <c r="FG87" s="2"/>
    </row>
    <row r="88" spans="1:163" ht="12.75" customHeight="1">
      <c r="A88" s="2"/>
      <c r="G88" s="32"/>
      <c r="H88" s="32"/>
      <c r="I88" s="32"/>
      <c r="J88" s="32"/>
      <c r="K88" s="32"/>
      <c r="M88" s="2"/>
      <c r="N88" s="2"/>
      <c r="O88" s="2"/>
      <c r="P88" s="2"/>
      <c r="V88" s="2"/>
      <c r="W88" s="2"/>
      <c r="X88" s="2"/>
      <c r="Y88" s="2"/>
      <c r="AE88" s="2"/>
      <c r="AF88" s="2"/>
      <c r="AG88" s="2"/>
      <c r="AH88" s="2"/>
      <c r="AI88" s="2"/>
      <c r="DL88" s="6"/>
      <c r="DQ88" s="2"/>
      <c r="DR88" s="517"/>
      <c r="DS88" s="207"/>
      <c r="DT88" s="207"/>
      <c r="DU88" s="207"/>
      <c r="DV88" s="207"/>
      <c r="DW88" s="207"/>
      <c r="DX88" s="207"/>
      <c r="DY88" s="2"/>
      <c r="DZ88" s="517"/>
      <c r="EA88" s="207"/>
      <c r="EB88" s="207"/>
      <c r="EC88" s="207"/>
      <c r="ED88" s="207"/>
      <c r="EE88" s="207"/>
      <c r="EF88" s="207"/>
      <c r="EG88" s="207"/>
      <c r="EH88" s="2"/>
      <c r="EI88" s="517"/>
      <c r="EJ88" s="207"/>
      <c r="EK88" s="207"/>
      <c r="EL88" s="207"/>
      <c r="EM88" s="207"/>
      <c r="EN88" s="207"/>
      <c r="EO88" s="207"/>
      <c r="EP88" s="70"/>
      <c r="EQ88" s="517"/>
      <c r="ER88" s="207"/>
      <c r="ES88" s="207"/>
      <c r="ET88" s="207"/>
      <c r="EU88" s="207"/>
      <c r="EV88" s="207"/>
      <c r="EW88" s="207"/>
      <c r="EX88" s="207"/>
      <c r="EY88" s="2"/>
      <c r="FG88" s="2"/>
    </row>
    <row r="89" spans="1:163" ht="12.75" customHeight="1">
      <c r="A89" s="2"/>
      <c r="G89" s="2"/>
      <c r="H89" s="2"/>
      <c r="I89" s="2"/>
      <c r="J89" s="2"/>
      <c r="K89" s="2"/>
      <c r="M89" s="2"/>
      <c r="N89" s="2"/>
      <c r="O89" s="2"/>
      <c r="P89" s="2"/>
      <c r="V89" s="2"/>
      <c r="W89" s="2"/>
      <c r="X89" s="2"/>
      <c r="Y89" s="2"/>
      <c r="AE89" s="2"/>
      <c r="AF89" s="2"/>
      <c r="AG89" s="2"/>
      <c r="AH89" s="2"/>
      <c r="AI89" s="2"/>
      <c r="DL89" s="6"/>
      <c r="DQ89" s="2"/>
      <c r="DR89" s="353"/>
      <c r="DS89" s="202"/>
      <c r="DT89" s="202"/>
      <c r="DU89" s="202"/>
      <c r="DV89" s="202"/>
      <c r="DW89" s="202"/>
      <c r="DX89" s="202"/>
      <c r="DY89" s="2"/>
      <c r="DZ89" s="353"/>
      <c r="EA89" s="202"/>
      <c r="EB89" s="202"/>
      <c r="EC89" s="202"/>
      <c r="ED89" s="202"/>
      <c r="EE89" s="202"/>
      <c r="EF89" s="202"/>
      <c r="EG89" s="202"/>
      <c r="EH89" s="2"/>
      <c r="EI89" s="353"/>
      <c r="EJ89" s="202"/>
      <c r="EK89" s="202"/>
      <c r="EL89" s="202"/>
      <c r="EM89" s="202"/>
      <c r="EN89" s="202"/>
      <c r="EO89" s="202"/>
      <c r="EP89" s="70"/>
      <c r="EQ89" s="353"/>
      <c r="ER89" s="202"/>
      <c r="ES89" s="202"/>
      <c r="ET89" s="202"/>
      <c r="EU89" s="202"/>
      <c r="EV89" s="202"/>
      <c r="EW89" s="202"/>
      <c r="EX89" s="202"/>
      <c r="EY89" s="2"/>
      <c r="FG89" s="2"/>
    </row>
    <row r="90" spans="7:163" ht="12.75" customHeight="1">
      <c r="G90" s="2"/>
      <c r="H90" s="2"/>
      <c r="I90" s="2"/>
      <c r="J90" s="2"/>
      <c r="K90" s="2"/>
      <c r="M90" s="2"/>
      <c r="N90" s="2"/>
      <c r="O90" s="2"/>
      <c r="P90" s="2"/>
      <c r="V90" s="2"/>
      <c r="W90" s="2"/>
      <c r="X90" s="2"/>
      <c r="Y90" s="2"/>
      <c r="AE90" s="2"/>
      <c r="AF90" s="2"/>
      <c r="AG90" s="2"/>
      <c r="AH90" s="2"/>
      <c r="AI90" s="2"/>
      <c r="DR90" s="387"/>
      <c r="DS90" s="202"/>
      <c r="DT90" s="202"/>
      <c r="DU90" s="202"/>
      <c r="DV90" s="202"/>
      <c r="DW90" s="202"/>
      <c r="DX90" s="202"/>
      <c r="DY90" s="2"/>
      <c r="DZ90" s="387"/>
      <c r="EA90" s="202"/>
      <c r="EB90" s="202"/>
      <c r="EC90" s="202"/>
      <c r="ED90" s="202"/>
      <c r="EE90" s="202"/>
      <c r="EF90" s="202"/>
      <c r="EG90" s="202"/>
      <c r="EH90" s="2"/>
      <c r="EI90" s="387"/>
      <c r="EJ90" s="202"/>
      <c r="EK90" s="202"/>
      <c r="EL90" s="202"/>
      <c r="EM90" s="202"/>
      <c r="EN90" s="202"/>
      <c r="EO90" s="202"/>
      <c r="EP90" s="2"/>
      <c r="EQ90" s="387"/>
      <c r="ER90" s="202"/>
      <c r="ES90" s="202"/>
      <c r="ET90" s="202"/>
      <c r="EU90" s="202"/>
      <c r="EV90" s="202"/>
      <c r="EW90" s="202"/>
      <c r="EX90" s="202"/>
      <c r="EY90" s="2"/>
      <c r="FG90" s="2"/>
    </row>
    <row r="91" spans="7:163" ht="12.75" customHeight="1">
      <c r="G91" s="2"/>
      <c r="H91" s="2"/>
      <c r="I91" s="2"/>
      <c r="J91" s="2"/>
      <c r="K91" s="2"/>
      <c r="M91" s="2"/>
      <c r="N91" s="2"/>
      <c r="O91" s="2"/>
      <c r="P91" s="2"/>
      <c r="V91" s="2"/>
      <c r="W91" s="2"/>
      <c r="X91" s="2"/>
      <c r="Y91" s="2"/>
      <c r="AE91" s="2"/>
      <c r="AF91" s="2"/>
      <c r="AG91" s="2"/>
      <c r="AH91" s="2"/>
      <c r="AI91" s="2"/>
      <c r="DR91" s="387"/>
      <c r="DS91" s="202"/>
      <c r="DT91" s="202"/>
      <c r="DU91" s="202"/>
      <c r="DV91" s="202"/>
      <c r="DW91" s="202"/>
      <c r="DX91" s="202"/>
      <c r="DY91" s="2"/>
      <c r="DZ91" s="387"/>
      <c r="EA91" s="202"/>
      <c r="EB91" s="202"/>
      <c r="EC91" s="202"/>
      <c r="ED91" s="202"/>
      <c r="EE91" s="202"/>
      <c r="EF91" s="202"/>
      <c r="EG91" s="202"/>
      <c r="EH91" s="2"/>
      <c r="EI91" s="387"/>
      <c r="EJ91" s="202"/>
      <c r="EK91" s="202"/>
      <c r="EL91" s="202"/>
      <c r="EM91" s="202"/>
      <c r="EN91" s="202"/>
      <c r="EO91" s="202"/>
      <c r="EP91" s="2"/>
      <c r="EQ91" s="387"/>
      <c r="ER91" s="202"/>
      <c r="ES91" s="202"/>
      <c r="ET91" s="202"/>
      <c r="EU91" s="202"/>
      <c r="EV91" s="202"/>
      <c r="EW91" s="202"/>
      <c r="EX91" s="202"/>
      <c r="EY91" s="2"/>
      <c r="FG91" s="2"/>
    </row>
    <row r="92" spans="7:163" ht="12.75" customHeight="1">
      <c r="G92" s="2"/>
      <c r="H92" s="2"/>
      <c r="I92" s="2"/>
      <c r="J92" s="2"/>
      <c r="K92" s="2"/>
      <c r="M92" s="2"/>
      <c r="N92" s="2"/>
      <c r="O92" s="2"/>
      <c r="P92" s="2"/>
      <c r="V92" s="2"/>
      <c r="W92" s="2"/>
      <c r="X92" s="2"/>
      <c r="Y92" s="2"/>
      <c r="AE92" s="2"/>
      <c r="AF92" s="2"/>
      <c r="AG92" s="2"/>
      <c r="AH92" s="2"/>
      <c r="AI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FG92" s="2"/>
    </row>
    <row r="93" spans="7:163" ht="12.75" customHeight="1">
      <c r="G93" s="2"/>
      <c r="H93" s="2"/>
      <c r="I93" s="2"/>
      <c r="J93" s="2"/>
      <c r="K93" s="2"/>
      <c r="M93" s="2"/>
      <c r="N93" s="2"/>
      <c r="O93" s="2"/>
      <c r="P93" s="2"/>
      <c r="V93" s="2"/>
      <c r="W93" s="2"/>
      <c r="X93" s="2"/>
      <c r="Y93" s="2"/>
      <c r="AE93" s="2"/>
      <c r="AF93" s="2"/>
      <c r="AG93" s="2"/>
      <c r="AH93" s="2"/>
      <c r="AI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387"/>
      <c r="ES93" s="353"/>
      <c r="ET93" s="2"/>
      <c r="EU93" s="2"/>
      <c r="EV93" s="2"/>
      <c r="EW93" s="2"/>
      <c r="EX93" s="2"/>
      <c r="EY93" s="2"/>
      <c r="FG93" s="2"/>
    </row>
    <row r="94" spans="7:155" ht="12.75" customHeight="1">
      <c r="G94" s="2"/>
      <c r="H94" s="2"/>
      <c r="I94" s="2"/>
      <c r="J94" s="2"/>
      <c r="K94" s="2"/>
      <c r="M94" s="2"/>
      <c r="N94" s="2"/>
      <c r="O94" s="2"/>
      <c r="P94" s="2"/>
      <c r="V94" s="2"/>
      <c r="W94" s="2"/>
      <c r="X94" s="2"/>
      <c r="Y94" s="2"/>
      <c r="AE94" s="2"/>
      <c r="AF94" s="2"/>
      <c r="AG94" s="2"/>
      <c r="AH94" s="2"/>
      <c r="AI94" s="2"/>
      <c r="DR94" s="387"/>
      <c r="DS94" s="488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519"/>
      <c r="ES94" s="519"/>
      <c r="ET94" s="2"/>
      <c r="EU94" s="2"/>
      <c r="EV94" s="2"/>
      <c r="EW94" s="2"/>
      <c r="EX94" s="2"/>
      <c r="EY94" s="2"/>
    </row>
    <row r="95" spans="7:155" ht="12.75" customHeight="1">
      <c r="G95" s="2"/>
      <c r="H95" s="2"/>
      <c r="I95" s="2"/>
      <c r="J95" s="2"/>
      <c r="K95" s="2"/>
      <c r="M95" s="2"/>
      <c r="N95" s="2"/>
      <c r="O95" s="2"/>
      <c r="P95" s="2"/>
      <c r="V95" s="2"/>
      <c r="W95" s="2"/>
      <c r="X95" s="2"/>
      <c r="Y95" s="2"/>
      <c r="AE95" s="2"/>
      <c r="AF95" s="2"/>
      <c r="AG95" s="2"/>
      <c r="AH95" s="2"/>
      <c r="AI95" s="2"/>
      <c r="DR95" s="387"/>
      <c r="DS95" s="520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517"/>
      <c r="ER95" s="207"/>
      <c r="ES95" s="207"/>
      <c r="ET95" s="2"/>
      <c r="EU95" s="2"/>
      <c r="EV95" s="2"/>
      <c r="EW95" s="2"/>
      <c r="EX95" s="2"/>
      <c r="EY95" s="2"/>
    </row>
    <row r="96" spans="7:155" ht="12.75" customHeight="1">
      <c r="G96" s="2"/>
      <c r="H96" s="2"/>
      <c r="I96" s="2"/>
      <c r="J96" s="2"/>
      <c r="K96" s="2"/>
      <c r="M96" s="2"/>
      <c r="N96" s="2"/>
      <c r="O96" s="2"/>
      <c r="P96" s="2"/>
      <c r="V96" s="2"/>
      <c r="W96" s="2"/>
      <c r="X96" s="2"/>
      <c r="Y96" s="2"/>
      <c r="AE96" s="2"/>
      <c r="AF96" s="2"/>
      <c r="AG96" s="2"/>
      <c r="AH96" s="2"/>
      <c r="AI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353"/>
      <c r="ER96" s="457"/>
      <c r="ES96" s="457"/>
      <c r="ET96" s="2"/>
      <c r="EU96" s="2"/>
      <c r="EV96" s="2"/>
      <c r="EW96" s="2"/>
      <c r="EX96" s="2"/>
      <c r="EY96" s="2"/>
    </row>
    <row r="97" spans="7:155" ht="12.75" customHeight="1">
      <c r="G97" s="2"/>
      <c r="H97" s="2"/>
      <c r="I97" s="2"/>
      <c r="J97" s="2"/>
      <c r="K97" s="2"/>
      <c r="M97" s="2"/>
      <c r="N97" s="2"/>
      <c r="O97" s="2"/>
      <c r="P97" s="2"/>
      <c r="V97" s="2"/>
      <c r="W97" s="2"/>
      <c r="X97" s="2"/>
      <c r="Y97" s="2"/>
      <c r="AE97" s="2"/>
      <c r="AF97" s="2"/>
      <c r="AG97" s="2"/>
      <c r="AH97" s="2"/>
      <c r="AI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387"/>
      <c r="ER97" s="202"/>
      <c r="ES97" s="202"/>
      <c r="ET97" s="2"/>
      <c r="EU97" s="2"/>
      <c r="EV97" s="2"/>
      <c r="EW97" s="2"/>
      <c r="EX97" s="2"/>
      <c r="EY97" s="2"/>
    </row>
    <row r="98" spans="7:155" ht="12.75" customHeight="1">
      <c r="G98" s="2"/>
      <c r="H98" s="2"/>
      <c r="I98" s="2"/>
      <c r="J98" s="2"/>
      <c r="K98" s="2"/>
      <c r="M98" s="2"/>
      <c r="N98" s="2"/>
      <c r="O98" s="2"/>
      <c r="P98" s="2"/>
      <c r="V98" s="2"/>
      <c r="W98" s="2"/>
      <c r="X98" s="2"/>
      <c r="Y98" s="2"/>
      <c r="AE98" s="2"/>
      <c r="AF98" s="2"/>
      <c r="AG98" s="2"/>
      <c r="AH98" s="2"/>
      <c r="AI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387"/>
      <c r="ER98" s="202"/>
      <c r="ES98" s="202"/>
      <c r="ET98" s="2"/>
      <c r="EU98" s="2"/>
      <c r="EV98" s="2"/>
      <c r="EW98" s="2"/>
      <c r="EX98" s="2"/>
      <c r="EY98" s="2"/>
    </row>
    <row r="99" spans="7:155" ht="12.75" customHeight="1">
      <c r="G99" s="2"/>
      <c r="H99" s="2"/>
      <c r="I99" s="2"/>
      <c r="J99" s="2"/>
      <c r="K99" s="2"/>
      <c r="M99" s="2"/>
      <c r="N99" s="2"/>
      <c r="O99" s="2"/>
      <c r="P99" s="2"/>
      <c r="V99" s="2"/>
      <c r="W99" s="2"/>
      <c r="X99" s="2"/>
      <c r="Y99" s="2"/>
      <c r="AE99" s="2"/>
      <c r="AF99" s="2"/>
      <c r="AG99" s="2"/>
      <c r="AH99" s="2"/>
      <c r="AI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517"/>
      <c r="ER99" s="207"/>
      <c r="ES99" s="207"/>
      <c r="ET99" s="2"/>
      <c r="EU99" s="2"/>
      <c r="EV99" s="2"/>
      <c r="EW99" s="2"/>
      <c r="EX99" s="2"/>
      <c r="EY99" s="2"/>
    </row>
    <row r="100" spans="7:155" ht="12.75" customHeight="1">
      <c r="G100" s="2"/>
      <c r="H100" s="2"/>
      <c r="I100" s="2"/>
      <c r="J100" s="2"/>
      <c r="K100" s="2"/>
      <c r="M100" s="2"/>
      <c r="N100" s="2"/>
      <c r="O100" s="2"/>
      <c r="P100" s="2"/>
      <c r="V100" s="2"/>
      <c r="W100" s="2"/>
      <c r="X100" s="2"/>
      <c r="Y100" s="2"/>
      <c r="AE100" s="2"/>
      <c r="AF100" s="2"/>
      <c r="AG100" s="2"/>
      <c r="AH100" s="2"/>
      <c r="AI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353"/>
      <c r="ER100" s="202"/>
      <c r="ES100" s="202"/>
      <c r="ET100" s="2"/>
      <c r="EU100" s="2"/>
      <c r="EV100" s="2"/>
      <c r="EW100" s="2"/>
      <c r="EX100" s="2"/>
      <c r="EY100" s="2"/>
    </row>
    <row r="101" spans="7:155" ht="12.75" customHeight="1">
      <c r="G101" s="2"/>
      <c r="H101" s="2"/>
      <c r="I101" s="2"/>
      <c r="J101" s="2"/>
      <c r="K101" s="2"/>
      <c r="M101" s="2"/>
      <c r="N101" s="2"/>
      <c r="O101" s="2"/>
      <c r="P101" s="2"/>
      <c r="V101" s="2"/>
      <c r="W101" s="2"/>
      <c r="X101" s="2"/>
      <c r="Y101" s="2"/>
      <c r="AE101" s="2"/>
      <c r="AF101" s="2"/>
      <c r="AG101" s="2"/>
      <c r="AH101" s="2"/>
      <c r="AI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387"/>
      <c r="ER101" s="202"/>
      <c r="ES101" s="202"/>
      <c r="ET101" s="2"/>
      <c r="EU101" s="2"/>
      <c r="EV101" s="2"/>
      <c r="EW101" s="2"/>
      <c r="EX101" s="2"/>
      <c r="EY101" s="2"/>
    </row>
    <row r="102" spans="7:155" ht="12.75" customHeight="1">
      <c r="G102" s="2"/>
      <c r="H102" s="2"/>
      <c r="I102" s="2"/>
      <c r="J102" s="2"/>
      <c r="K102" s="2"/>
      <c r="M102" s="2"/>
      <c r="N102" s="2"/>
      <c r="O102" s="2"/>
      <c r="P102" s="2"/>
      <c r="V102" s="2"/>
      <c r="W102" s="2"/>
      <c r="X102" s="2"/>
      <c r="Y102" s="2"/>
      <c r="AE102" s="2"/>
      <c r="AF102" s="2"/>
      <c r="AG102" s="2"/>
      <c r="AH102" s="2"/>
      <c r="AI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387"/>
      <c r="ER102" s="202"/>
      <c r="ES102" s="202"/>
      <c r="ET102" s="2"/>
      <c r="EU102" s="2"/>
      <c r="EV102" s="2"/>
      <c r="EW102" s="2"/>
      <c r="EX102" s="2"/>
      <c r="EY102" s="2"/>
    </row>
    <row r="103" spans="7:155" ht="12.75" customHeight="1">
      <c r="G103" s="2"/>
      <c r="H103" s="2"/>
      <c r="I103" s="2"/>
      <c r="J103" s="2"/>
      <c r="K103" s="2"/>
      <c r="M103" s="2"/>
      <c r="N103" s="2"/>
      <c r="O103" s="2"/>
      <c r="P103" s="2"/>
      <c r="V103" s="2"/>
      <c r="W103" s="2"/>
      <c r="X103" s="2"/>
      <c r="Y103" s="2"/>
      <c r="AE103" s="2"/>
      <c r="AF103" s="2"/>
      <c r="AG103" s="2"/>
      <c r="AH103" s="2"/>
      <c r="AI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</row>
    <row r="104" spans="7:155" ht="12.75" customHeight="1">
      <c r="G104" s="2"/>
      <c r="H104" s="2"/>
      <c r="I104" s="2"/>
      <c r="J104" s="2"/>
      <c r="K104" s="2"/>
      <c r="M104" s="2"/>
      <c r="N104" s="2"/>
      <c r="O104" s="2"/>
      <c r="P104" s="2"/>
      <c r="V104" s="2"/>
      <c r="W104" s="2"/>
      <c r="X104" s="2"/>
      <c r="Y104" s="2"/>
      <c r="AE104" s="2"/>
      <c r="AF104" s="2"/>
      <c r="AG104" s="2"/>
      <c r="AH104" s="2"/>
      <c r="AI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</row>
    <row r="105" spans="7:155" ht="12.75" customHeight="1">
      <c r="G105" s="2"/>
      <c r="H105" s="2"/>
      <c r="I105" s="2"/>
      <c r="J105" s="2"/>
      <c r="K105" s="2"/>
      <c r="M105" s="2"/>
      <c r="N105" s="2"/>
      <c r="O105" s="2"/>
      <c r="P105" s="2"/>
      <c r="V105" s="2"/>
      <c r="W105" s="2"/>
      <c r="X105" s="2"/>
      <c r="Y105" s="2"/>
      <c r="AE105" s="2"/>
      <c r="AF105" s="2"/>
      <c r="AG105" s="2"/>
      <c r="AH105" s="2"/>
      <c r="AI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</row>
    <row r="106" spans="2:155" ht="12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M106" s="2"/>
      <c r="N106" s="2"/>
      <c r="O106" s="2"/>
      <c r="P106" s="2"/>
      <c r="V106" s="2"/>
      <c r="W106" s="2"/>
      <c r="X106" s="2"/>
      <c r="Y106" s="2"/>
      <c r="AE106" s="2"/>
      <c r="AF106" s="2"/>
      <c r="AG106" s="2"/>
      <c r="AH106" s="2"/>
      <c r="AI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</row>
    <row r="107" spans="2:155" ht="12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M107" s="2"/>
      <c r="N107" s="2"/>
      <c r="O107" s="2"/>
      <c r="P107" s="2"/>
      <c r="V107" s="2"/>
      <c r="W107" s="2"/>
      <c r="X107" s="2"/>
      <c r="Y107" s="2"/>
      <c r="AE107" s="2"/>
      <c r="AF107" s="2"/>
      <c r="AG107" s="2"/>
      <c r="AH107" s="2"/>
      <c r="AI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</row>
    <row r="108" spans="2:155" ht="12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M108" s="2"/>
      <c r="N108" s="2"/>
      <c r="O108" s="2"/>
      <c r="P108" s="2"/>
      <c r="V108" s="2"/>
      <c r="W108" s="2"/>
      <c r="X108" s="2"/>
      <c r="Y108" s="2"/>
      <c r="AE108" s="2"/>
      <c r="AF108" s="2"/>
      <c r="AG108" s="2"/>
      <c r="AH108" s="2"/>
      <c r="AI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</row>
    <row r="109" spans="2:155" ht="12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M109" s="2"/>
      <c r="N109" s="2"/>
      <c r="O109" s="2"/>
      <c r="P109" s="2"/>
      <c r="V109" s="2"/>
      <c r="W109" s="2"/>
      <c r="X109" s="2"/>
      <c r="Y109" s="2"/>
      <c r="AE109" s="2"/>
      <c r="AF109" s="2"/>
      <c r="AG109" s="2"/>
      <c r="AH109" s="2"/>
      <c r="AI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</row>
    <row r="110" spans="2:155" ht="12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M110" s="2"/>
      <c r="N110" s="2"/>
      <c r="O110" s="2"/>
      <c r="P110" s="2"/>
      <c r="V110" s="2"/>
      <c r="W110" s="2"/>
      <c r="X110" s="2"/>
      <c r="Y110" s="2"/>
      <c r="AE110" s="2"/>
      <c r="AF110" s="2"/>
      <c r="AG110" s="2"/>
      <c r="AH110" s="2"/>
      <c r="AI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</row>
    <row r="111" spans="2:155" ht="12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M111" s="2"/>
      <c r="N111" s="2"/>
      <c r="O111" s="2"/>
      <c r="P111" s="2"/>
      <c r="V111" s="2"/>
      <c r="W111" s="2"/>
      <c r="X111" s="2"/>
      <c r="Y111" s="2"/>
      <c r="AE111" s="2"/>
      <c r="AF111" s="2"/>
      <c r="AG111" s="2"/>
      <c r="AH111" s="2"/>
      <c r="AI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</row>
    <row r="112" spans="2:155" ht="12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M112" s="2"/>
      <c r="N112" s="2"/>
      <c r="O112" s="2"/>
      <c r="P112" s="2"/>
      <c r="V112" s="2"/>
      <c r="W112" s="2"/>
      <c r="X112" s="2"/>
      <c r="Y112" s="2"/>
      <c r="AE112" s="2"/>
      <c r="AF112" s="2"/>
      <c r="AG112" s="2"/>
      <c r="AH112" s="2"/>
      <c r="AI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</row>
    <row r="113" spans="2:155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M113" s="2"/>
      <c r="N113" s="2"/>
      <c r="O113" s="2"/>
      <c r="P113" s="2"/>
      <c r="V113" s="2"/>
      <c r="W113" s="2"/>
      <c r="X113" s="2"/>
      <c r="Y113" s="2"/>
      <c r="AE113" s="2"/>
      <c r="AF113" s="2"/>
      <c r="AG113" s="2"/>
      <c r="AH113" s="2"/>
      <c r="AI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</row>
    <row r="114" spans="2:155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M114" s="2"/>
      <c r="N114" s="2"/>
      <c r="O114" s="2"/>
      <c r="P114" s="2"/>
      <c r="V114" s="2"/>
      <c r="W114" s="2"/>
      <c r="X114" s="2"/>
      <c r="Y114" s="2"/>
      <c r="AE114" s="2"/>
      <c r="AF114" s="2"/>
      <c r="AG114" s="2"/>
      <c r="AH114" s="2"/>
      <c r="AI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</row>
    <row r="115" spans="7:155" ht="12.75" customHeight="1">
      <c r="G115" s="2"/>
      <c r="H115" s="2"/>
      <c r="I115" s="2"/>
      <c r="J115" s="2"/>
      <c r="K115" s="2"/>
      <c r="V115" s="2"/>
      <c r="W115" s="2"/>
      <c r="X115" s="2"/>
      <c r="Y115" s="2"/>
      <c r="AE115" s="2"/>
      <c r="AF115" s="2"/>
      <c r="AG115" s="2"/>
      <c r="AH115" s="2"/>
      <c r="AI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</row>
    <row r="116" spans="7:155" ht="12.75" customHeight="1">
      <c r="G116" s="2"/>
      <c r="H116" s="2"/>
      <c r="I116" s="2"/>
      <c r="J116" s="2"/>
      <c r="K116" s="2"/>
      <c r="V116" s="2"/>
      <c r="W116" s="2"/>
      <c r="X116" s="2"/>
      <c r="Y116" s="2"/>
      <c r="AE116" s="2"/>
      <c r="AF116" s="2"/>
      <c r="AG116" s="2"/>
      <c r="AH116" s="2"/>
      <c r="AI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</row>
    <row r="117" spans="7:155" ht="12.75" customHeight="1">
      <c r="G117" s="2"/>
      <c r="H117" s="2"/>
      <c r="I117" s="2"/>
      <c r="J117" s="2"/>
      <c r="K117" s="2"/>
      <c r="V117" s="2"/>
      <c r="W117" s="2"/>
      <c r="X117" s="2"/>
      <c r="Y117" s="2"/>
      <c r="AE117" s="2"/>
      <c r="AF117" s="2"/>
      <c r="AG117" s="2"/>
      <c r="AH117" s="2"/>
      <c r="AI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</row>
    <row r="118" spans="7:155" ht="12.75" customHeight="1">
      <c r="G118" s="2"/>
      <c r="H118" s="2"/>
      <c r="I118" s="2"/>
      <c r="J118" s="2"/>
      <c r="K118" s="2"/>
      <c r="V118" s="2"/>
      <c r="W118" s="2"/>
      <c r="X118" s="2"/>
      <c r="Y118" s="2"/>
      <c r="AE118" s="2"/>
      <c r="AF118" s="2"/>
      <c r="AG118" s="2"/>
      <c r="AH118" s="2"/>
      <c r="AI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</row>
    <row r="119" spans="22:155" ht="12.75" customHeight="1">
      <c r="V119" s="2"/>
      <c r="W119" s="2"/>
      <c r="X119" s="2"/>
      <c r="Y119" s="2"/>
      <c r="AE119" s="2"/>
      <c r="AF119" s="2"/>
      <c r="AG119" s="2"/>
      <c r="AH119" s="2"/>
      <c r="AI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</row>
    <row r="120" spans="22:155" ht="12.75" customHeight="1">
      <c r="V120" s="2"/>
      <c r="W120" s="2"/>
      <c r="X120" s="2"/>
      <c r="Y120" s="2"/>
      <c r="AE120" s="2"/>
      <c r="AF120" s="2"/>
      <c r="AG120" s="2"/>
      <c r="AH120" s="2"/>
      <c r="AI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</row>
    <row r="121" spans="22:155" ht="12.75" customHeight="1">
      <c r="V121" s="2"/>
      <c r="W121" s="2"/>
      <c r="X121" s="2"/>
      <c r="Y121" s="2"/>
      <c r="AE121" s="2"/>
      <c r="AF121" s="2"/>
      <c r="AG121" s="2"/>
      <c r="AH121" s="2"/>
      <c r="AI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</row>
    <row r="122" spans="22:155" ht="12.75" customHeight="1">
      <c r="V122" s="2"/>
      <c r="W122" s="2"/>
      <c r="X122" s="2"/>
      <c r="Y122" s="2"/>
      <c r="AE122" s="2"/>
      <c r="AF122" s="2"/>
      <c r="AG122" s="2"/>
      <c r="AH122" s="2"/>
      <c r="AI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</row>
    <row r="123" spans="22:155" ht="12.75" customHeight="1">
      <c r="V123" s="2"/>
      <c r="W123" s="2"/>
      <c r="X123" s="2"/>
      <c r="Y123" s="2"/>
      <c r="AE123" s="2"/>
      <c r="AF123" s="2"/>
      <c r="AG123" s="2"/>
      <c r="AH123" s="2"/>
      <c r="AI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</row>
    <row r="124" spans="22:155" ht="12.75" customHeight="1">
      <c r="V124" s="2"/>
      <c r="W124" s="2"/>
      <c r="X124" s="2"/>
      <c r="Y124" s="2"/>
      <c r="AE124" s="2"/>
      <c r="AF124" s="2"/>
      <c r="AG124" s="2"/>
      <c r="AH124" s="2"/>
      <c r="AI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</row>
    <row r="125" spans="22:35" ht="12.75" customHeight="1">
      <c r="V125" s="2"/>
      <c r="W125" s="2"/>
      <c r="X125" s="2"/>
      <c r="Y125" s="2"/>
      <c r="AE125" s="2"/>
      <c r="AF125" s="2"/>
      <c r="AG125" s="2"/>
      <c r="AH125" s="2"/>
      <c r="AI125" s="2"/>
    </row>
    <row r="126" spans="22:35" ht="12.75" customHeight="1">
      <c r="V126" s="2"/>
      <c r="W126" s="2"/>
      <c r="X126" s="2"/>
      <c r="Y126" s="2"/>
      <c r="AE126" s="2"/>
      <c r="AF126" s="2"/>
      <c r="AG126" s="2"/>
      <c r="AH126" s="2"/>
      <c r="AI126" s="2"/>
    </row>
    <row r="127" spans="22:35" ht="12.75" customHeight="1">
      <c r="V127" s="2"/>
      <c r="W127" s="2"/>
      <c r="X127" s="2"/>
      <c r="Y127" s="2"/>
      <c r="AE127" s="2"/>
      <c r="AF127" s="2"/>
      <c r="AG127" s="2"/>
      <c r="AH127" s="2"/>
      <c r="AI127" s="2"/>
    </row>
    <row r="128" spans="22:35" ht="12.75" customHeight="1">
      <c r="V128" s="2"/>
      <c r="W128" s="2"/>
      <c r="X128" s="2"/>
      <c r="Y128" s="2"/>
      <c r="AE128" s="2"/>
      <c r="AF128" s="2"/>
      <c r="AG128" s="2"/>
      <c r="AH128" s="2"/>
      <c r="AI128" s="2"/>
    </row>
    <row r="129" spans="22:35" ht="12.75" customHeight="1">
      <c r="V129" s="2"/>
      <c r="W129" s="2"/>
      <c r="X129" s="2"/>
      <c r="Y129" s="2"/>
      <c r="AE129" s="2"/>
      <c r="AF129" s="2"/>
      <c r="AG129" s="2"/>
      <c r="AH129" s="2"/>
      <c r="AI129" s="2"/>
    </row>
    <row r="130" spans="22:35" ht="12.75" customHeight="1">
      <c r="V130" s="2"/>
      <c r="W130" s="2"/>
      <c r="X130" s="2"/>
      <c r="Y130" s="2"/>
      <c r="AE130" s="2"/>
      <c r="AF130" s="2"/>
      <c r="AG130" s="2"/>
      <c r="AH130" s="2"/>
      <c r="AI130" s="2"/>
    </row>
    <row r="131" spans="22:35" ht="12.75" customHeight="1">
      <c r="V131" s="2"/>
      <c r="W131" s="2"/>
      <c r="X131" s="2"/>
      <c r="Y131" s="2"/>
      <c r="AE131" s="2"/>
      <c r="AF131" s="2"/>
      <c r="AG131" s="2"/>
      <c r="AH131" s="2"/>
      <c r="AI131" s="2"/>
    </row>
    <row r="132" spans="22:35" ht="12.75" customHeight="1">
      <c r="V132" s="2"/>
      <c r="W132" s="2"/>
      <c r="X132" s="2"/>
      <c r="Y132" s="2"/>
      <c r="AE132" s="2"/>
      <c r="AF132" s="2"/>
      <c r="AG132" s="2"/>
      <c r="AH132" s="2"/>
      <c r="AI132" s="2"/>
    </row>
    <row r="133" spans="1:35" ht="12.75" customHeight="1">
      <c r="A133" s="154"/>
      <c r="V133" s="2"/>
      <c r="W133" s="2"/>
      <c r="X133" s="2"/>
      <c r="Y133" s="2"/>
      <c r="AE133" s="2"/>
      <c r="AF133" s="2"/>
      <c r="AG133" s="2"/>
      <c r="AH133" s="2"/>
      <c r="AI133" s="2"/>
    </row>
    <row r="134" spans="1:35" ht="12.75" customHeight="1">
      <c r="A134" s="154"/>
      <c r="V134" s="2"/>
      <c r="W134" s="2"/>
      <c r="X134" s="2"/>
      <c r="Y134" s="2"/>
      <c r="AE134" s="2"/>
      <c r="AF134" s="2"/>
      <c r="AG134" s="2"/>
      <c r="AH134" s="2"/>
      <c r="AI134" s="2"/>
    </row>
    <row r="135" spans="1:35" ht="12.75" customHeight="1">
      <c r="A135" s="154"/>
      <c r="V135" s="2"/>
      <c r="W135" s="2"/>
      <c r="X135" s="2"/>
      <c r="Y135" s="2"/>
      <c r="AE135" s="2"/>
      <c r="AF135" s="2"/>
      <c r="AG135" s="2"/>
      <c r="AH135" s="2"/>
      <c r="AI135" s="2"/>
    </row>
    <row r="136" spans="1:35" ht="12.75" customHeight="1">
      <c r="A136" s="154"/>
      <c r="V136" s="2"/>
      <c r="W136" s="2"/>
      <c r="X136" s="2"/>
      <c r="Y136" s="2"/>
      <c r="AE136" s="2"/>
      <c r="AF136" s="2"/>
      <c r="AG136" s="2"/>
      <c r="AH136" s="2"/>
      <c r="AI136" s="2"/>
    </row>
    <row r="137" spans="1:35" ht="12.75" customHeight="1">
      <c r="A137" s="156"/>
      <c r="V137" s="2"/>
      <c r="W137" s="2"/>
      <c r="X137" s="2"/>
      <c r="Y137" s="2"/>
      <c r="AE137" s="2"/>
      <c r="AF137" s="2"/>
      <c r="AG137" s="2"/>
      <c r="AH137" s="2"/>
      <c r="AI137" s="2"/>
    </row>
    <row r="138" spans="1:35" ht="12.75" customHeight="1">
      <c r="A138" s="156"/>
      <c r="V138" s="2"/>
      <c r="W138" s="2"/>
      <c r="X138" s="2"/>
      <c r="Y138" s="2"/>
      <c r="AE138" s="2"/>
      <c r="AF138" s="2"/>
      <c r="AG138" s="2"/>
      <c r="AH138" s="2"/>
      <c r="AI138" s="2"/>
    </row>
    <row r="139" spans="1:35" ht="12.75" customHeight="1">
      <c r="A139" s="159"/>
      <c r="V139" s="2"/>
      <c r="W139" s="2"/>
      <c r="X139" s="2"/>
      <c r="Y139" s="2"/>
      <c r="AE139" s="2"/>
      <c r="AF139" s="2"/>
      <c r="AG139" s="2"/>
      <c r="AH139" s="2"/>
      <c r="AI139" s="2"/>
    </row>
    <row r="140" spans="1:35" ht="12.75" customHeight="1">
      <c r="A140" s="162"/>
      <c r="V140" s="2"/>
      <c r="W140" s="2"/>
      <c r="X140" s="2"/>
      <c r="Y140" s="2"/>
      <c r="AE140" s="2"/>
      <c r="AF140" s="2"/>
      <c r="AG140" s="2"/>
      <c r="AH140" s="2"/>
      <c r="AI140" s="2"/>
    </row>
    <row r="141" spans="1:35" ht="12.75" customHeight="1">
      <c r="A141" s="162"/>
      <c r="V141" s="2"/>
      <c r="W141" s="2"/>
      <c r="X141" s="2"/>
      <c r="Y141" s="2"/>
      <c r="AE141" s="2"/>
      <c r="AF141" s="2"/>
      <c r="AG141" s="2"/>
      <c r="AH141" s="2"/>
      <c r="AI141" s="2"/>
    </row>
    <row r="142" spans="1:35" ht="12.75" customHeight="1">
      <c r="A142" s="162"/>
      <c r="V142" s="2"/>
      <c r="W142" s="2"/>
      <c r="X142" s="2"/>
      <c r="Y142" s="2"/>
      <c r="AE142" s="2"/>
      <c r="AF142" s="2"/>
      <c r="AG142" s="2"/>
      <c r="AH142" s="2"/>
      <c r="AI142" s="2"/>
    </row>
    <row r="143" spans="1:35" ht="12.75" customHeight="1">
      <c r="A143" s="162"/>
      <c r="V143" s="2"/>
      <c r="W143" s="2"/>
      <c r="X143" s="2"/>
      <c r="Y143" s="2"/>
      <c r="AE143" s="2"/>
      <c r="AF143" s="2"/>
      <c r="AG143" s="2"/>
      <c r="AH143" s="2"/>
      <c r="AI143" s="2"/>
    </row>
    <row r="144" spans="1:35" ht="12.75" customHeight="1">
      <c r="A144" s="162"/>
      <c r="V144" s="2"/>
      <c r="W144" s="2"/>
      <c r="X144" s="2"/>
      <c r="Y144" s="2"/>
      <c r="AE144" s="2"/>
      <c r="AF144" s="2"/>
      <c r="AG144" s="2"/>
      <c r="AH144" s="2"/>
      <c r="AI144" s="2"/>
    </row>
    <row r="145" spans="1:35" ht="12.75" customHeight="1">
      <c r="A145" s="162"/>
      <c r="V145" s="2"/>
      <c r="W145" s="2"/>
      <c r="X145" s="2"/>
      <c r="Y145" s="2"/>
      <c r="AE145" s="2"/>
      <c r="AF145" s="2"/>
      <c r="AG145" s="2"/>
      <c r="AH145" s="2"/>
      <c r="AI145" s="2"/>
    </row>
    <row r="146" spans="1:35" ht="12.75" customHeight="1">
      <c r="A146" s="162"/>
      <c r="V146" s="2"/>
      <c r="W146" s="2"/>
      <c r="X146" s="2"/>
      <c r="Y146" s="2"/>
      <c r="AE146" s="2"/>
      <c r="AF146" s="2"/>
      <c r="AG146" s="2"/>
      <c r="AH146" s="2"/>
      <c r="AI146" s="2"/>
    </row>
    <row r="147" spans="1:35" ht="12.75" customHeight="1">
      <c r="A147" s="162"/>
      <c r="V147" s="2"/>
      <c r="W147" s="2"/>
      <c r="X147" s="2"/>
      <c r="Y147" s="2"/>
      <c r="AE147" s="2"/>
      <c r="AF147" s="2"/>
      <c r="AG147" s="2"/>
      <c r="AH147" s="2"/>
      <c r="AI147" s="2"/>
    </row>
    <row r="148" spans="1:35" ht="12.75" customHeight="1">
      <c r="A148" s="162"/>
      <c r="V148" s="2"/>
      <c r="W148" s="2"/>
      <c r="X148" s="2"/>
      <c r="Y148" s="2"/>
      <c r="AE148" s="2"/>
      <c r="AF148" s="2"/>
      <c r="AG148" s="2"/>
      <c r="AH148" s="2"/>
      <c r="AI148" s="2"/>
    </row>
    <row r="149" spans="1:35" ht="12.75" customHeight="1">
      <c r="A149" s="162"/>
      <c r="V149" s="2"/>
      <c r="W149" s="2"/>
      <c r="X149" s="2"/>
      <c r="Y149" s="2"/>
      <c r="AE149" s="2"/>
      <c r="AF149" s="2"/>
      <c r="AG149" s="2"/>
      <c r="AH149" s="2"/>
      <c r="AI149" s="2"/>
    </row>
    <row r="150" spans="1:35" ht="12.75" customHeight="1">
      <c r="A150" s="162"/>
      <c r="V150" s="2"/>
      <c r="W150" s="2"/>
      <c r="X150" s="2"/>
      <c r="Y150" s="2"/>
      <c r="AE150" s="2"/>
      <c r="AF150" s="2"/>
      <c r="AG150" s="2"/>
      <c r="AH150" s="2"/>
      <c r="AI150" s="2"/>
    </row>
    <row r="151" spans="1:35" ht="12.75" customHeight="1">
      <c r="A151" s="162"/>
      <c r="V151" s="2"/>
      <c r="W151" s="2"/>
      <c r="X151" s="2"/>
      <c r="Y151" s="2"/>
      <c r="AE151" s="2"/>
      <c r="AF151" s="2"/>
      <c r="AG151" s="2"/>
      <c r="AH151" s="2"/>
      <c r="AI151" s="2"/>
    </row>
    <row r="152" spans="1:35" ht="12.75" customHeight="1">
      <c r="A152" s="162"/>
      <c r="V152" s="2"/>
      <c r="W152" s="2"/>
      <c r="X152" s="2"/>
      <c r="Y152" s="2"/>
      <c r="AE152" s="2"/>
      <c r="AF152" s="2"/>
      <c r="AG152" s="2"/>
      <c r="AH152" s="2"/>
      <c r="AI152" s="2"/>
    </row>
    <row r="153" spans="1:35" ht="12.75" customHeight="1">
      <c r="A153" s="159"/>
      <c r="V153" s="2"/>
      <c r="W153" s="2"/>
      <c r="X153" s="2"/>
      <c r="Y153" s="2"/>
      <c r="AE153" s="2"/>
      <c r="AF153" s="2"/>
      <c r="AG153" s="2"/>
      <c r="AH153" s="2"/>
      <c r="AI153" s="2"/>
    </row>
    <row r="154" spans="1:35" ht="12.75" customHeight="1">
      <c r="A154" s="162"/>
      <c r="V154" s="2"/>
      <c r="W154" s="2"/>
      <c r="X154" s="2"/>
      <c r="Y154" s="2"/>
      <c r="AE154" s="2"/>
      <c r="AF154" s="2"/>
      <c r="AG154" s="2"/>
      <c r="AH154" s="2"/>
      <c r="AI154" s="2"/>
    </row>
    <row r="155" spans="1:35" ht="12.75" customHeight="1">
      <c r="A155" s="162"/>
      <c r="V155" s="2"/>
      <c r="W155" s="2"/>
      <c r="X155" s="2"/>
      <c r="Y155" s="2"/>
      <c r="AE155" s="2"/>
      <c r="AF155" s="2"/>
      <c r="AG155" s="2"/>
      <c r="AH155" s="2"/>
      <c r="AI155" s="2"/>
    </row>
    <row r="156" spans="1:35" ht="12.75" customHeight="1">
      <c r="A156" s="159"/>
      <c r="V156" s="2"/>
      <c r="W156" s="2"/>
      <c r="X156" s="2"/>
      <c r="Y156" s="2"/>
      <c r="AE156" s="2"/>
      <c r="AF156" s="2"/>
      <c r="AG156" s="2"/>
      <c r="AH156" s="2"/>
      <c r="AI156" s="2"/>
    </row>
    <row r="157" spans="1:35" ht="12.75" customHeight="1">
      <c r="A157" s="159"/>
      <c r="V157" s="2"/>
      <c r="W157" s="2"/>
      <c r="X157" s="2"/>
      <c r="Y157" s="2"/>
      <c r="AE157" s="2"/>
      <c r="AF157" s="2"/>
      <c r="AG157" s="2"/>
      <c r="AH157" s="2"/>
      <c r="AI157" s="2"/>
    </row>
    <row r="158" spans="1:35" ht="12.75" customHeight="1">
      <c r="A158" s="162"/>
      <c r="E158" s="155"/>
      <c r="F158" s="154"/>
      <c r="M158" s="154"/>
      <c r="N158" s="154"/>
      <c r="O158" s="154"/>
      <c r="P158" s="154"/>
      <c r="V158" s="2"/>
      <c r="W158" s="2"/>
      <c r="X158" s="2"/>
      <c r="Y158" s="2"/>
      <c r="AE158" s="2"/>
      <c r="AF158" s="2"/>
      <c r="AG158" s="2"/>
      <c r="AH158" s="2"/>
      <c r="AI158" s="2"/>
    </row>
    <row r="159" spans="1:35" ht="12.75" customHeight="1">
      <c r="A159" s="162"/>
      <c r="E159" s="155"/>
      <c r="F159" s="154"/>
      <c r="M159" s="154"/>
      <c r="N159" s="154"/>
      <c r="O159" s="154"/>
      <c r="P159" s="154"/>
      <c r="V159" s="2"/>
      <c r="W159" s="2"/>
      <c r="X159" s="2"/>
      <c r="Y159" s="2"/>
      <c r="AE159" s="2"/>
      <c r="AF159" s="2"/>
      <c r="AG159" s="2"/>
      <c r="AH159" s="2"/>
      <c r="AI159" s="2"/>
    </row>
    <row r="160" spans="1:35" ht="12.75" customHeight="1">
      <c r="A160" s="162"/>
      <c r="E160" s="155"/>
      <c r="F160" s="154"/>
      <c r="M160" s="154"/>
      <c r="N160" s="154"/>
      <c r="O160" s="154"/>
      <c r="P160" s="154"/>
      <c r="V160" s="2"/>
      <c r="W160" s="2"/>
      <c r="X160" s="2"/>
      <c r="Y160" s="2"/>
      <c r="AE160" s="2"/>
      <c r="AF160" s="2"/>
      <c r="AG160" s="2"/>
      <c r="AH160" s="2"/>
      <c r="AI160" s="2"/>
    </row>
    <row r="161" spans="1:35" ht="12.75" customHeight="1">
      <c r="A161" s="162"/>
      <c r="E161" s="155"/>
      <c r="F161" s="154"/>
      <c r="M161" s="154"/>
      <c r="N161" s="154"/>
      <c r="O161" s="154"/>
      <c r="P161" s="154"/>
      <c r="V161" s="2"/>
      <c r="W161" s="2"/>
      <c r="X161" s="2"/>
      <c r="Y161" s="2"/>
      <c r="AE161" s="2"/>
      <c r="AF161" s="2"/>
      <c r="AG161" s="2"/>
      <c r="AH161" s="2"/>
      <c r="AI161" s="2"/>
    </row>
    <row r="162" spans="1:35" ht="12.75" customHeight="1">
      <c r="A162" s="162"/>
      <c r="B162" s="154"/>
      <c r="C162" s="154"/>
      <c r="D162" s="154"/>
      <c r="E162" s="154"/>
      <c r="F162" s="157"/>
      <c r="G162" s="154"/>
      <c r="H162" s="154"/>
      <c r="I162" s="154"/>
      <c r="J162" s="154"/>
      <c r="K162" s="154"/>
      <c r="M162" s="157"/>
      <c r="N162" s="157"/>
      <c r="O162" s="157"/>
      <c r="P162" s="157"/>
      <c r="V162" s="2"/>
      <c r="W162" s="2"/>
      <c r="X162" s="2"/>
      <c r="Y162" s="2"/>
      <c r="AE162" s="2"/>
      <c r="AF162" s="2"/>
      <c r="AG162" s="2"/>
      <c r="AH162" s="2"/>
      <c r="AI162" s="2"/>
    </row>
    <row r="163" spans="1:35" ht="12.75" customHeight="1">
      <c r="A163" s="162"/>
      <c r="B163" s="158"/>
      <c r="C163" s="158"/>
      <c r="D163" s="158"/>
      <c r="E163" s="158"/>
      <c r="F163" s="157"/>
      <c r="G163" s="154"/>
      <c r="H163" s="154"/>
      <c r="I163" s="154"/>
      <c r="J163" s="154"/>
      <c r="K163" s="154"/>
      <c r="M163" s="157"/>
      <c r="N163" s="157"/>
      <c r="O163" s="157"/>
      <c r="P163" s="157"/>
      <c r="V163" s="2"/>
      <c r="W163" s="2"/>
      <c r="X163" s="2"/>
      <c r="Y163" s="2"/>
      <c r="AE163" s="2"/>
      <c r="AF163" s="2"/>
      <c r="AG163" s="2"/>
      <c r="AH163" s="2"/>
      <c r="AI163" s="2"/>
    </row>
    <row r="164" spans="1:35" ht="12.75" customHeight="1">
      <c r="A164" s="162"/>
      <c r="B164" s="160"/>
      <c r="C164" s="160"/>
      <c r="D164" s="160"/>
      <c r="E164" s="160"/>
      <c r="F164" s="161"/>
      <c r="G164" s="154"/>
      <c r="H164" s="154"/>
      <c r="I164" s="154"/>
      <c r="J164" s="154"/>
      <c r="K164" s="154"/>
      <c r="M164" s="161"/>
      <c r="N164" s="161"/>
      <c r="O164" s="161"/>
      <c r="P164" s="161"/>
      <c r="V164" s="2"/>
      <c r="W164" s="2"/>
      <c r="X164" s="2"/>
      <c r="Y164" s="2"/>
      <c r="AE164" s="2"/>
      <c r="AF164" s="2"/>
      <c r="AG164" s="2"/>
      <c r="AH164" s="2"/>
      <c r="AI164" s="2"/>
    </row>
    <row r="165" spans="1:35" ht="12.75" customHeight="1">
      <c r="A165" s="162"/>
      <c r="B165" s="161"/>
      <c r="C165" s="161"/>
      <c r="D165" s="161"/>
      <c r="E165" s="161"/>
      <c r="F165" s="163"/>
      <c r="G165" s="154"/>
      <c r="H165" s="154"/>
      <c r="I165" s="154"/>
      <c r="J165" s="154"/>
      <c r="K165" s="154"/>
      <c r="M165" s="163"/>
      <c r="N165" s="163"/>
      <c r="O165" s="163"/>
      <c r="P165" s="163"/>
      <c r="V165" s="2"/>
      <c r="W165" s="2"/>
      <c r="X165" s="2"/>
      <c r="Y165" s="2"/>
      <c r="AE165" s="2"/>
      <c r="AF165" s="2"/>
      <c r="AG165" s="2"/>
      <c r="AH165" s="2"/>
      <c r="AI165" s="2"/>
    </row>
    <row r="166" spans="1:35" ht="12.75" customHeight="1">
      <c r="A166" s="162"/>
      <c r="B166" s="161"/>
      <c r="C166" s="161"/>
      <c r="D166" s="161"/>
      <c r="E166" s="161"/>
      <c r="F166" s="161"/>
      <c r="G166" s="157"/>
      <c r="H166" s="157"/>
      <c r="I166" s="157"/>
      <c r="J166" s="157"/>
      <c r="K166" s="157"/>
      <c r="M166" s="161"/>
      <c r="N166" s="161"/>
      <c r="O166" s="161"/>
      <c r="P166" s="161"/>
      <c r="V166" s="2"/>
      <c r="W166" s="2"/>
      <c r="X166" s="2"/>
      <c r="Y166" s="2"/>
      <c r="AE166" s="2"/>
      <c r="AF166" s="2"/>
      <c r="AG166" s="2"/>
      <c r="AH166" s="2"/>
      <c r="AI166" s="2"/>
    </row>
    <row r="167" spans="1:35" ht="12.75" customHeight="1">
      <c r="A167" s="162"/>
      <c r="B167" s="161"/>
      <c r="C167" s="161"/>
      <c r="D167" s="161"/>
      <c r="E167" s="161"/>
      <c r="F167" s="164"/>
      <c r="G167" s="157"/>
      <c r="H167" s="157"/>
      <c r="I167" s="157"/>
      <c r="J167" s="157"/>
      <c r="K167" s="157"/>
      <c r="M167" s="164"/>
      <c r="N167" s="164"/>
      <c r="O167" s="164"/>
      <c r="P167" s="164"/>
      <c r="V167" s="2"/>
      <c r="W167" s="2"/>
      <c r="X167" s="2"/>
      <c r="Y167" s="2"/>
      <c r="AE167" s="2"/>
      <c r="AF167" s="2"/>
      <c r="AG167" s="2"/>
      <c r="AH167" s="2"/>
      <c r="AI167" s="2"/>
    </row>
    <row r="168" spans="1:35" ht="12.75" customHeight="1">
      <c r="A168" s="162"/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M168" s="161"/>
      <c r="N168" s="161"/>
      <c r="O168" s="161"/>
      <c r="P168" s="161"/>
      <c r="V168" s="2"/>
      <c r="W168" s="2"/>
      <c r="X168" s="2"/>
      <c r="Y168" s="2"/>
      <c r="AE168" s="2"/>
      <c r="AF168" s="2"/>
      <c r="AG168" s="2"/>
      <c r="AH168" s="2"/>
      <c r="AI168" s="2"/>
    </row>
    <row r="169" spans="1:35" ht="12.75" customHeight="1">
      <c r="A169" s="162"/>
      <c r="B169" s="161"/>
      <c r="C169" s="161"/>
      <c r="D169" s="161"/>
      <c r="E169" s="161"/>
      <c r="F169" s="165"/>
      <c r="G169" s="163"/>
      <c r="H169" s="163"/>
      <c r="I169" s="163"/>
      <c r="J169" s="163"/>
      <c r="K169" s="163"/>
      <c r="M169" s="165"/>
      <c r="N169" s="165"/>
      <c r="O169" s="165"/>
      <c r="P169" s="165"/>
      <c r="V169" s="2"/>
      <c r="W169" s="2"/>
      <c r="X169" s="2"/>
      <c r="Y169" s="2"/>
      <c r="AE169" s="2"/>
      <c r="AF169" s="2"/>
      <c r="AG169" s="2"/>
      <c r="AH169" s="2"/>
      <c r="AI169" s="2"/>
    </row>
    <row r="170" spans="1:35" ht="12.75" customHeight="1">
      <c r="A170" s="162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M170" s="161"/>
      <c r="N170" s="161"/>
      <c r="O170" s="161"/>
      <c r="P170" s="161"/>
      <c r="V170" s="2"/>
      <c r="W170" s="2"/>
      <c r="X170" s="2"/>
      <c r="Y170" s="2"/>
      <c r="AE170" s="2"/>
      <c r="AF170" s="2"/>
      <c r="AG170" s="2"/>
      <c r="AH170" s="2"/>
      <c r="AI170" s="2"/>
    </row>
    <row r="171" spans="1:35" ht="12.75" customHeight="1">
      <c r="A171" s="162"/>
      <c r="B171" s="161"/>
      <c r="C171" s="161"/>
      <c r="D171" s="161"/>
      <c r="E171" s="161"/>
      <c r="F171" s="166"/>
      <c r="G171" s="164"/>
      <c r="H171" s="164"/>
      <c r="I171" s="164"/>
      <c r="J171" s="164"/>
      <c r="K171" s="164"/>
      <c r="M171" s="166"/>
      <c r="N171" s="166"/>
      <c r="O171" s="166"/>
      <c r="P171" s="166"/>
      <c r="V171" s="2"/>
      <c r="W171" s="2"/>
      <c r="X171" s="2"/>
      <c r="Y171" s="2"/>
      <c r="AE171" s="2"/>
      <c r="AF171" s="2"/>
      <c r="AG171" s="2"/>
      <c r="AH171" s="2"/>
      <c r="AI171" s="2"/>
    </row>
    <row r="172" spans="1:35" ht="12.75" customHeight="1">
      <c r="A172" s="162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M172" s="161"/>
      <c r="N172" s="161"/>
      <c r="O172" s="161"/>
      <c r="P172" s="161"/>
      <c r="V172" s="2"/>
      <c r="W172" s="2"/>
      <c r="X172" s="2"/>
      <c r="Y172" s="2"/>
      <c r="AE172" s="2"/>
      <c r="AF172" s="2"/>
      <c r="AG172" s="2"/>
      <c r="AH172" s="2"/>
      <c r="AI172" s="2"/>
    </row>
    <row r="173" spans="1:35" ht="12.75" customHeight="1">
      <c r="A173" s="162"/>
      <c r="B173" s="161"/>
      <c r="C173" s="161"/>
      <c r="D173" s="161"/>
      <c r="E173" s="161"/>
      <c r="F173" s="161"/>
      <c r="G173" s="165"/>
      <c r="H173" s="165"/>
      <c r="I173" s="165"/>
      <c r="J173" s="165"/>
      <c r="K173" s="165"/>
      <c r="M173" s="161"/>
      <c r="N173" s="161"/>
      <c r="O173" s="161"/>
      <c r="P173" s="161"/>
      <c r="V173" s="2"/>
      <c r="W173" s="2"/>
      <c r="X173" s="2"/>
      <c r="Y173" s="2"/>
      <c r="AE173" s="2"/>
      <c r="AF173" s="2"/>
      <c r="AG173" s="2"/>
      <c r="AH173" s="2"/>
      <c r="AI173" s="2"/>
    </row>
    <row r="174" spans="1:35" ht="12.75" customHeight="1">
      <c r="A174" s="162"/>
      <c r="B174" s="161"/>
      <c r="C174" s="161"/>
      <c r="D174" s="161"/>
      <c r="E174" s="161"/>
      <c r="F174" s="164"/>
      <c r="G174" s="161"/>
      <c r="H174" s="161"/>
      <c r="I174" s="161"/>
      <c r="J174" s="161"/>
      <c r="K174" s="161"/>
      <c r="M174" s="164"/>
      <c r="N174" s="164"/>
      <c r="O174" s="164"/>
      <c r="P174" s="164"/>
      <c r="V174" s="2"/>
      <c r="W174" s="2"/>
      <c r="X174" s="2"/>
      <c r="Y174" s="2"/>
      <c r="AE174" s="2"/>
      <c r="AF174" s="2"/>
      <c r="AG174" s="2"/>
      <c r="AH174" s="2"/>
      <c r="AI174" s="2"/>
    </row>
    <row r="175" spans="1:35" ht="12.75" customHeight="1">
      <c r="A175" s="159"/>
      <c r="B175" s="167"/>
      <c r="C175" s="167"/>
      <c r="D175" s="167"/>
      <c r="E175" s="168"/>
      <c r="F175" s="168"/>
      <c r="G175" s="166"/>
      <c r="H175" s="166"/>
      <c r="I175" s="166"/>
      <c r="J175" s="166"/>
      <c r="K175" s="166"/>
      <c r="M175" s="168"/>
      <c r="N175" s="168"/>
      <c r="O175" s="168"/>
      <c r="P175" s="168"/>
      <c r="V175" s="2"/>
      <c r="W175" s="2"/>
      <c r="X175" s="2"/>
      <c r="Y175" s="2"/>
      <c r="AE175" s="2"/>
      <c r="AF175" s="2"/>
      <c r="AG175" s="2"/>
      <c r="AH175" s="2"/>
      <c r="AI175" s="2"/>
    </row>
    <row r="176" spans="1:35" ht="12.75" customHeight="1">
      <c r="A176" s="159"/>
      <c r="B176" s="167"/>
      <c r="C176" s="167"/>
      <c r="D176" s="167"/>
      <c r="E176" s="168"/>
      <c r="F176" s="169"/>
      <c r="G176" s="161"/>
      <c r="H176" s="161"/>
      <c r="I176" s="161"/>
      <c r="J176" s="161"/>
      <c r="K176" s="161"/>
      <c r="M176" s="169"/>
      <c r="N176" s="169"/>
      <c r="O176" s="169"/>
      <c r="P176" s="169"/>
      <c r="V176" s="2"/>
      <c r="W176" s="2"/>
      <c r="X176" s="2"/>
      <c r="Y176" s="2"/>
      <c r="AE176" s="2"/>
      <c r="AF176" s="2"/>
      <c r="AG176" s="2"/>
      <c r="AH176" s="2"/>
      <c r="AI176" s="2"/>
    </row>
    <row r="177" spans="1:35" ht="12.75" customHeight="1">
      <c r="A177" s="2"/>
      <c r="B177" s="167"/>
      <c r="C177" s="167"/>
      <c r="D177" s="167"/>
      <c r="E177" s="168"/>
      <c r="F177" s="168"/>
      <c r="G177" s="161"/>
      <c r="H177" s="161"/>
      <c r="I177" s="161"/>
      <c r="J177" s="161"/>
      <c r="K177" s="161"/>
      <c r="M177" s="168"/>
      <c r="N177" s="168"/>
      <c r="O177" s="168"/>
      <c r="P177" s="168"/>
      <c r="V177" s="2"/>
      <c r="W177" s="2"/>
      <c r="X177" s="2"/>
      <c r="Y177" s="2"/>
      <c r="AE177" s="2"/>
      <c r="AF177" s="2"/>
      <c r="AG177" s="2"/>
      <c r="AH177" s="2"/>
      <c r="AI177" s="2"/>
    </row>
    <row r="178" spans="1:35" ht="12.75" customHeight="1">
      <c r="A178" s="2"/>
      <c r="B178" s="167"/>
      <c r="C178" s="167"/>
      <c r="D178" s="167"/>
      <c r="E178" s="168"/>
      <c r="F178" s="168"/>
      <c r="G178" s="164"/>
      <c r="H178" s="164"/>
      <c r="I178" s="164"/>
      <c r="J178" s="164"/>
      <c r="K178" s="164"/>
      <c r="M178" s="168"/>
      <c r="N178" s="168"/>
      <c r="O178" s="168"/>
      <c r="P178" s="168"/>
      <c r="V178" s="2"/>
      <c r="W178" s="2"/>
      <c r="X178" s="2"/>
      <c r="Y178" s="2"/>
      <c r="AE178" s="2"/>
      <c r="AF178" s="2"/>
      <c r="AG178" s="2"/>
      <c r="AH178" s="2"/>
      <c r="AI178" s="2"/>
    </row>
    <row r="179" spans="1:35" ht="12.75" customHeight="1">
      <c r="A179" s="2"/>
      <c r="B179" s="168"/>
      <c r="C179" s="168"/>
      <c r="D179" s="168"/>
      <c r="E179" s="168"/>
      <c r="F179" s="170"/>
      <c r="G179" s="168"/>
      <c r="H179" s="168"/>
      <c r="I179" s="168"/>
      <c r="J179" s="168"/>
      <c r="K179" s="168"/>
      <c r="M179" s="170"/>
      <c r="N179" s="170"/>
      <c r="O179" s="170"/>
      <c r="P179" s="170"/>
      <c r="V179" s="2"/>
      <c r="W179" s="2"/>
      <c r="X179" s="2"/>
      <c r="Y179" s="2"/>
      <c r="AE179" s="2"/>
      <c r="AF179" s="2"/>
      <c r="AG179" s="2"/>
      <c r="AH179" s="2"/>
      <c r="AI179" s="2"/>
    </row>
    <row r="180" spans="1:35" ht="12.75" customHeight="1">
      <c r="A180" s="2"/>
      <c r="B180" s="161"/>
      <c r="C180" s="161"/>
      <c r="D180" s="161"/>
      <c r="E180" s="161"/>
      <c r="F180" s="171"/>
      <c r="G180" s="169"/>
      <c r="H180" s="169"/>
      <c r="I180" s="169"/>
      <c r="J180" s="169"/>
      <c r="K180" s="169"/>
      <c r="M180" s="171"/>
      <c r="N180" s="171"/>
      <c r="O180" s="171"/>
      <c r="P180" s="171"/>
      <c r="V180" s="2"/>
      <c r="W180" s="2"/>
      <c r="X180" s="2"/>
      <c r="Y180" s="2"/>
      <c r="AE180" s="2"/>
      <c r="AF180" s="2"/>
      <c r="AG180" s="2"/>
      <c r="AH180" s="2"/>
      <c r="AI180" s="2"/>
    </row>
    <row r="181" spans="1:35" ht="12.75" customHeight="1">
      <c r="A181" s="2"/>
      <c r="B181" s="160"/>
      <c r="C181" s="160"/>
      <c r="D181" s="160"/>
      <c r="E181" s="160"/>
      <c r="F181" s="161"/>
      <c r="G181" s="168"/>
      <c r="H181" s="168"/>
      <c r="I181" s="168"/>
      <c r="J181" s="168"/>
      <c r="K181" s="168"/>
      <c r="M181" s="161"/>
      <c r="N181" s="161"/>
      <c r="O181" s="161"/>
      <c r="P181" s="161"/>
      <c r="V181" s="2"/>
      <c r="W181" s="2"/>
      <c r="X181" s="2"/>
      <c r="Y181" s="2"/>
      <c r="AE181" s="2"/>
      <c r="AF181" s="2"/>
      <c r="AG181" s="2"/>
      <c r="AH181" s="2"/>
      <c r="AI181" s="2"/>
    </row>
    <row r="182" spans="1:35" ht="12.75" customHeight="1">
      <c r="A182" s="2"/>
      <c r="B182" s="160"/>
      <c r="C182" s="160"/>
      <c r="D182" s="160"/>
      <c r="E182" s="160"/>
      <c r="F182" s="161"/>
      <c r="G182" s="168"/>
      <c r="H182" s="168"/>
      <c r="I182" s="168"/>
      <c r="J182" s="168"/>
      <c r="K182" s="168"/>
      <c r="M182" s="161"/>
      <c r="N182" s="161"/>
      <c r="O182" s="161"/>
      <c r="P182" s="161"/>
      <c r="V182" s="2"/>
      <c r="W182" s="2"/>
      <c r="X182" s="2"/>
      <c r="Y182" s="2"/>
      <c r="AE182" s="2"/>
      <c r="AF182" s="2"/>
      <c r="AG182" s="2"/>
      <c r="AH182" s="2"/>
      <c r="AI182" s="2"/>
    </row>
    <row r="183" spans="1:35" ht="12.75" customHeight="1">
      <c r="A183" s="173"/>
      <c r="B183" s="161"/>
      <c r="C183" s="161"/>
      <c r="D183" s="161"/>
      <c r="E183" s="161"/>
      <c r="F183" s="163"/>
      <c r="G183" s="170"/>
      <c r="H183" s="170"/>
      <c r="I183" s="170"/>
      <c r="J183" s="170"/>
      <c r="K183" s="170"/>
      <c r="M183" s="163"/>
      <c r="N183" s="163"/>
      <c r="O183" s="163"/>
      <c r="P183" s="163"/>
      <c r="V183" s="2"/>
      <c r="W183" s="2"/>
      <c r="X183" s="2"/>
      <c r="Y183" s="2"/>
      <c r="AE183" s="2"/>
      <c r="AF183" s="2"/>
      <c r="AG183" s="2"/>
      <c r="AH183" s="2"/>
      <c r="AI183" s="2"/>
    </row>
    <row r="184" spans="1:35" ht="12.75" customHeight="1">
      <c r="A184" s="173"/>
      <c r="B184" s="161"/>
      <c r="C184" s="161"/>
      <c r="D184" s="161"/>
      <c r="E184" s="161"/>
      <c r="F184" s="161"/>
      <c r="G184" s="171"/>
      <c r="H184" s="171"/>
      <c r="I184" s="171"/>
      <c r="J184" s="171"/>
      <c r="K184" s="171"/>
      <c r="M184" s="161"/>
      <c r="N184" s="161"/>
      <c r="O184" s="161"/>
      <c r="P184" s="161"/>
      <c r="V184" s="2"/>
      <c r="W184" s="2"/>
      <c r="X184" s="2"/>
      <c r="Y184" s="2"/>
      <c r="AE184" s="2"/>
      <c r="AF184" s="2"/>
      <c r="AG184" s="2"/>
      <c r="AH184" s="2"/>
      <c r="AI184" s="2"/>
    </row>
    <row r="185" spans="1:35" ht="12.75" customHeight="1">
      <c r="A185" s="173"/>
      <c r="B185" s="161"/>
      <c r="C185" s="161"/>
      <c r="D185" s="161"/>
      <c r="E185" s="161"/>
      <c r="F185" s="164"/>
      <c r="G185" s="161"/>
      <c r="H185" s="161"/>
      <c r="I185" s="161"/>
      <c r="J185" s="161"/>
      <c r="K185" s="161"/>
      <c r="M185" s="164"/>
      <c r="N185" s="164"/>
      <c r="O185" s="164"/>
      <c r="P185" s="164"/>
      <c r="V185" s="2"/>
      <c r="W185" s="2"/>
      <c r="X185" s="2"/>
      <c r="Y185" s="2"/>
      <c r="AE185" s="2"/>
      <c r="AF185" s="2"/>
      <c r="AG185" s="2"/>
      <c r="AH185" s="2"/>
      <c r="AI185" s="2"/>
    </row>
    <row r="186" spans="1:35" ht="12.75" customHeight="1">
      <c r="A186" s="173"/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M186" s="161"/>
      <c r="N186" s="161"/>
      <c r="O186" s="161"/>
      <c r="P186" s="161"/>
      <c r="V186" s="2"/>
      <c r="W186" s="2"/>
      <c r="X186" s="2"/>
      <c r="Y186" s="2"/>
      <c r="AE186" s="2"/>
      <c r="AF186" s="2"/>
      <c r="AG186" s="2"/>
      <c r="AH186" s="2"/>
      <c r="AI186" s="2"/>
    </row>
    <row r="187" spans="1:35" ht="12.75" customHeight="1">
      <c r="A187" s="177"/>
      <c r="B187" s="161"/>
      <c r="C187" s="161"/>
      <c r="D187" s="161"/>
      <c r="E187" s="161"/>
      <c r="F187" s="165"/>
      <c r="G187" s="163"/>
      <c r="H187" s="163"/>
      <c r="I187" s="163"/>
      <c r="J187" s="163"/>
      <c r="K187" s="163"/>
      <c r="M187" s="165"/>
      <c r="N187" s="165"/>
      <c r="O187" s="165"/>
      <c r="P187" s="165"/>
      <c r="V187" s="2"/>
      <c r="W187" s="2"/>
      <c r="X187" s="2"/>
      <c r="Y187" s="2"/>
      <c r="AE187" s="2"/>
      <c r="AF187" s="2"/>
      <c r="AG187" s="2"/>
      <c r="AH187" s="2"/>
      <c r="AI187" s="2"/>
    </row>
    <row r="188" spans="1:35" ht="12.75" customHeight="1">
      <c r="A188" s="177"/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M188" s="161"/>
      <c r="N188" s="161"/>
      <c r="O188" s="161"/>
      <c r="P188" s="161"/>
      <c r="V188" s="2"/>
      <c r="W188" s="2"/>
      <c r="X188" s="2"/>
      <c r="Y188" s="2"/>
      <c r="AE188" s="2"/>
      <c r="AF188" s="2"/>
      <c r="AG188" s="2"/>
      <c r="AH188" s="2"/>
      <c r="AI188" s="2"/>
    </row>
    <row r="189" spans="1:35" ht="12.75" customHeight="1">
      <c r="A189" s="159"/>
      <c r="B189" s="161"/>
      <c r="C189" s="161"/>
      <c r="D189" s="161"/>
      <c r="E189" s="161"/>
      <c r="F189" s="166"/>
      <c r="G189" s="164"/>
      <c r="H189" s="164"/>
      <c r="I189" s="164"/>
      <c r="J189" s="164"/>
      <c r="K189" s="164"/>
      <c r="M189" s="166"/>
      <c r="N189" s="166"/>
      <c r="O189" s="166"/>
      <c r="P189" s="166"/>
      <c r="V189" s="2"/>
      <c r="W189" s="2"/>
      <c r="X189" s="2"/>
      <c r="Y189" s="2"/>
      <c r="AE189" s="2"/>
      <c r="AF189" s="2"/>
      <c r="AG189" s="2"/>
      <c r="AH189" s="2"/>
      <c r="AI189" s="2"/>
    </row>
    <row r="190" spans="1:35" ht="12.75" customHeight="1">
      <c r="A190" s="179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M190" s="161"/>
      <c r="N190" s="161"/>
      <c r="O190" s="161"/>
      <c r="P190" s="161"/>
      <c r="V190" s="2"/>
      <c r="W190" s="2"/>
      <c r="X190" s="2"/>
      <c r="Y190" s="2"/>
      <c r="AE190" s="2"/>
      <c r="AF190" s="2"/>
      <c r="AG190" s="2"/>
      <c r="AH190" s="2"/>
      <c r="AI190" s="2"/>
    </row>
    <row r="191" spans="1:35" ht="12.75" customHeight="1">
      <c r="A191" s="179"/>
      <c r="B191" s="161"/>
      <c r="C191" s="161"/>
      <c r="D191" s="161"/>
      <c r="E191" s="161"/>
      <c r="F191" s="161"/>
      <c r="G191" s="165"/>
      <c r="H191" s="165"/>
      <c r="I191" s="165"/>
      <c r="J191" s="165"/>
      <c r="K191" s="165"/>
      <c r="M191" s="161"/>
      <c r="N191" s="161"/>
      <c r="O191" s="161"/>
      <c r="P191" s="161"/>
      <c r="V191" s="2"/>
      <c r="W191" s="2"/>
      <c r="X191" s="2"/>
      <c r="Y191" s="2"/>
      <c r="AE191" s="2"/>
      <c r="AF191" s="2"/>
      <c r="AG191" s="2"/>
      <c r="AH191" s="2"/>
      <c r="AI191" s="2"/>
    </row>
    <row r="192" spans="1:35" ht="12.75" customHeight="1">
      <c r="A192" s="179"/>
      <c r="B192" s="161"/>
      <c r="C192" s="161"/>
      <c r="D192" s="161"/>
      <c r="E192" s="161"/>
      <c r="F192" s="164"/>
      <c r="G192" s="161"/>
      <c r="H192" s="161"/>
      <c r="I192" s="161"/>
      <c r="J192" s="161"/>
      <c r="K192" s="161"/>
      <c r="M192" s="164"/>
      <c r="N192" s="164"/>
      <c r="O192" s="164"/>
      <c r="P192" s="164"/>
      <c r="V192" s="2"/>
      <c r="W192" s="2"/>
      <c r="X192" s="2"/>
      <c r="Y192" s="2"/>
      <c r="AE192" s="2"/>
      <c r="AF192" s="2"/>
      <c r="AG192" s="2"/>
      <c r="AH192" s="2"/>
      <c r="AI192" s="2"/>
    </row>
    <row r="193" spans="1:35" ht="12.75" customHeight="1">
      <c r="A193" s="2"/>
      <c r="B193" s="161"/>
      <c r="C193" s="161"/>
      <c r="D193" s="161"/>
      <c r="E193" s="161"/>
      <c r="F193" s="161"/>
      <c r="G193" s="166"/>
      <c r="H193" s="166"/>
      <c r="I193" s="166"/>
      <c r="J193" s="166"/>
      <c r="K193" s="166"/>
      <c r="M193" s="161"/>
      <c r="N193" s="161"/>
      <c r="O193" s="161"/>
      <c r="P193" s="161"/>
      <c r="V193" s="2"/>
      <c r="W193" s="2"/>
      <c r="X193" s="2"/>
      <c r="Y193" s="2"/>
      <c r="AE193" s="2"/>
      <c r="AF193" s="2"/>
      <c r="AG193" s="2"/>
      <c r="AH193" s="2"/>
      <c r="AI193" s="2"/>
    </row>
    <row r="194" spans="1:35" ht="12.75" customHeight="1">
      <c r="A194" s="179"/>
      <c r="B194" s="161"/>
      <c r="C194" s="161"/>
      <c r="D194" s="161"/>
      <c r="E194" s="161"/>
      <c r="F194" s="163"/>
      <c r="G194" s="161"/>
      <c r="H194" s="161"/>
      <c r="I194" s="161"/>
      <c r="J194" s="161"/>
      <c r="K194" s="161"/>
      <c r="M194" s="163"/>
      <c r="N194" s="163"/>
      <c r="O194" s="163"/>
      <c r="P194" s="163"/>
      <c r="V194" s="2"/>
      <c r="W194" s="2"/>
      <c r="X194" s="2"/>
      <c r="Y194" s="2"/>
      <c r="AE194" s="2"/>
      <c r="AF194" s="2"/>
      <c r="AG194" s="2"/>
      <c r="AH194" s="2"/>
      <c r="AI194" s="2"/>
    </row>
    <row r="195" spans="1:35" ht="12.75" customHeight="1">
      <c r="A195" s="179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M195" s="161"/>
      <c r="N195" s="161"/>
      <c r="O195" s="161"/>
      <c r="P195" s="161"/>
      <c r="V195" s="2"/>
      <c r="W195" s="2"/>
      <c r="X195" s="2"/>
      <c r="Y195" s="2"/>
      <c r="AE195" s="2"/>
      <c r="AF195" s="2"/>
      <c r="AG195" s="2"/>
      <c r="AH195" s="2"/>
      <c r="AI195" s="2"/>
    </row>
    <row r="196" spans="1:35" ht="12.75" customHeight="1">
      <c r="A196" s="179"/>
      <c r="B196" s="161"/>
      <c r="C196" s="161"/>
      <c r="D196" s="161"/>
      <c r="E196" s="161"/>
      <c r="F196" s="161"/>
      <c r="G196" s="164"/>
      <c r="H196" s="164"/>
      <c r="I196" s="164"/>
      <c r="J196" s="164"/>
      <c r="K196" s="164"/>
      <c r="M196" s="161"/>
      <c r="N196" s="161"/>
      <c r="O196" s="161"/>
      <c r="P196" s="161"/>
      <c r="V196" s="2"/>
      <c r="W196" s="2"/>
      <c r="X196" s="2"/>
      <c r="Y196" s="2"/>
      <c r="AE196" s="2"/>
      <c r="AF196" s="2"/>
      <c r="AG196" s="2"/>
      <c r="AH196" s="2"/>
      <c r="AI196" s="2"/>
    </row>
    <row r="197" spans="1:35" ht="12.75" customHeight="1">
      <c r="A197" s="179"/>
      <c r="B197" s="161"/>
      <c r="C197" s="161"/>
      <c r="D197" s="161"/>
      <c r="E197" s="172"/>
      <c r="F197" s="171"/>
      <c r="G197" s="161"/>
      <c r="H197" s="161"/>
      <c r="I197" s="161"/>
      <c r="J197" s="161"/>
      <c r="K197" s="161"/>
      <c r="M197" s="171"/>
      <c r="N197" s="171"/>
      <c r="O197" s="171"/>
      <c r="P197" s="171"/>
      <c r="V197" s="2"/>
      <c r="W197" s="2"/>
      <c r="X197" s="2"/>
      <c r="Y197" s="2"/>
      <c r="AE197" s="2"/>
      <c r="AF197" s="2"/>
      <c r="AG197" s="2"/>
      <c r="AH197" s="2"/>
      <c r="AI197" s="2"/>
    </row>
    <row r="198" spans="1:35" ht="12.75" customHeight="1">
      <c r="A198" s="179"/>
      <c r="B198" s="161"/>
      <c r="C198" s="161"/>
      <c r="D198" s="161"/>
      <c r="E198" s="161"/>
      <c r="F198" s="161"/>
      <c r="G198" s="163"/>
      <c r="H198" s="163"/>
      <c r="I198" s="163"/>
      <c r="J198" s="163"/>
      <c r="K198" s="163"/>
      <c r="M198" s="161"/>
      <c r="N198" s="161"/>
      <c r="O198" s="161"/>
      <c r="P198" s="161"/>
      <c r="V198" s="2"/>
      <c r="W198" s="2"/>
      <c r="X198" s="2"/>
      <c r="Y198" s="2"/>
      <c r="AE198" s="2"/>
      <c r="AF198" s="2"/>
      <c r="AG198" s="2"/>
      <c r="AH198" s="2"/>
      <c r="AI198" s="2"/>
    </row>
    <row r="199" spans="1:35" ht="12.75" customHeight="1">
      <c r="A199" s="179"/>
      <c r="B199" s="161"/>
      <c r="C199" s="161"/>
      <c r="D199" s="161"/>
      <c r="E199" s="161"/>
      <c r="F199" s="171"/>
      <c r="G199" s="161"/>
      <c r="H199" s="161"/>
      <c r="I199" s="161"/>
      <c r="J199" s="161"/>
      <c r="K199" s="161"/>
      <c r="M199" s="171"/>
      <c r="N199" s="171"/>
      <c r="O199" s="171"/>
      <c r="P199" s="171"/>
      <c r="V199" s="2"/>
      <c r="W199" s="2"/>
      <c r="X199" s="2"/>
      <c r="Y199" s="2"/>
      <c r="AE199" s="2"/>
      <c r="AF199" s="2"/>
      <c r="AG199" s="2"/>
      <c r="AH199" s="2"/>
      <c r="AI199" s="2"/>
    </row>
    <row r="200" spans="1:35" ht="12.75" customHeight="1">
      <c r="A200" s="179"/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M200" s="161"/>
      <c r="N200" s="161"/>
      <c r="O200" s="161"/>
      <c r="P200" s="161"/>
      <c r="V200" s="2"/>
      <c r="W200" s="2"/>
      <c r="X200" s="2"/>
      <c r="Y200" s="2"/>
      <c r="AE200" s="2"/>
      <c r="AF200" s="2"/>
      <c r="AG200" s="2"/>
      <c r="AH200" s="2"/>
      <c r="AI200" s="2"/>
    </row>
    <row r="201" spans="1:35" ht="12.75" customHeight="1">
      <c r="A201" s="179"/>
      <c r="B201" s="161"/>
      <c r="C201" s="161"/>
      <c r="D201" s="161"/>
      <c r="E201" s="161"/>
      <c r="F201" s="161"/>
      <c r="G201" s="171"/>
      <c r="H201" s="171"/>
      <c r="I201" s="171"/>
      <c r="J201" s="171"/>
      <c r="K201" s="171"/>
      <c r="M201" s="161"/>
      <c r="N201" s="161"/>
      <c r="O201" s="161"/>
      <c r="P201" s="161"/>
      <c r="V201" s="2"/>
      <c r="W201" s="2"/>
      <c r="X201" s="2"/>
      <c r="Y201" s="2"/>
      <c r="AE201" s="2"/>
      <c r="AF201" s="2"/>
      <c r="AG201" s="2"/>
      <c r="AH201" s="2"/>
      <c r="AI201" s="2"/>
    </row>
    <row r="202" spans="1:35" ht="12.75" customHeight="1">
      <c r="A202" s="179"/>
      <c r="B202" s="2"/>
      <c r="C202" s="2"/>
      <c r="D202" s="2"/>
      <c r="E202" s="2"/>
      <c r="F202" s="2"/>
      <c r="G202" s="161"/>
      <c r="H202" s="161"/>
      <c r="I202" s="161"/>
      <c r="J202" s="161"/>
      <c r="K202" s="161"/>
      <c r="M202" s="2"/>
      <c r="N202" s="2"/>
      <c r="O202" s="2"/>
      <c r="P202" s="2"/>
      <c r="V202" s="2"/>
      <c r="W202" s="2"/>
      <c r="X202" s="2"/>
      <c r="Y202" s="2"/>
      <c r="AE202" s="2"/>
      <c r="AF202" s="2"/>
      <c r="AG202" s="2"/>
      <c r="AH202" s="2"/>
      <c r="AI202" s="2"/>
    </row>
    <row r="203" spans="1:35" ht="12.75" customHeight="1">
      <c r="A203" s="179"/>
      <c r="B203" s="2"/>
      <c r="C203" s="2"/>
      <c r="D203" s="2"/>
      <c r="E203" s="2"/>
      <c r="F203" s="2"/>
      <c r="G203" s="171"/>
      <c r="H203" s="171"/>
      <c r="I203" s="171"/>
      <c r="J203" s="171"/>
      <c r="K203" s="171"/>
      <c r="M203" s="2"/>
      <c r="N203" s="2"/>
      <c r="O203" s="2"/>
      <c r="P203" s="2"/>
      <c r="V203" s="2"/>
      <c r="W203" s="2"/>
      <c r="X203" s="2"/>
      <c r="Y203" s="2"/>
      <c r="AE203" s="2"/>
      <c r="AF203" s="2"/>
      <c r="AG203" s="2"/>
      <c r="AH203" s="2"/>
      <c r="AI203" s="2"/>
    </row>
    <row r="204" spans="1:35" ht="12.75" customHeight="1">
      <c r="A204" s="179"/>
      <c r="B204" s="2"/>
      <c r="C204" s="2"/>
      <c r="D204" s="2"/>
      <c r="E204" s="2"/>
      <c r="F204" s="2"/>
      <c r="G204" s="161"/>
      <c r="H204" s="161"/>
      <c r="I204" s="161"/>
      <c r="J204" s="161"/>
      <c r="K204" s="161"/>
      <c r="M204" s="2"/>
      <c r="N204" s="2"/>
      <c r="O204" s="2"/>
      <c r="P204" s="2"/>
      <c r="V204" s="2"/>
      <c r="W204" s="2"/>
      <c r="X204" s="2"/>
      <c r="Y204" s="2"/>
      <c r="AE204" s="2"/>
      <c r="AF204" s="2"/>
      <c r="AG204" s="2"/>
      <c r="AH204" s="2"/>
      <c r="AI204" s="2"/>
    </row>
    <row r="205" spans="1:35" ht="12.75" customHeight="1">
      <c r="A205" s="177"/>
      <c r="B205" s="2"/>
      <c r="C205" s="2"/>
      <c r="D205" s="2"/>
      <c r="E205" s="2"/>
      <c r="F205" s="2"/>
      <c r="G205" s="161"/>
      <c r="H205" s="161"/>
      <c r="I205" s="161"/>
      <c r="J205" s="161"/>
      <c r="K205" s="161"/>
      <c r="M205" s="2"/>
      <c r="N205" s="2"/>
      <c r="O205" s="2"/>
      <c r="P205" s="2"/>
      <c r="V205" s="2"/>
      <c r="W205" s="2"/>
      <c r="X205" s="2"/>
      <c r="Y205" s="2"/>
      <c r="AE205" s="2"/>
      <c r="AF205" s="2"/>
      <c r="AG205" s="2"/>
      <c r="AH205" s="2"/>
      <c r="AI205" s="2"/>
    </row>
    <row r="206" spans="1:35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M206" s="2"/>
      <c r="N206" s="2"/>
      <c r="O206" s="2"/>
      <c r="P206" s="2"/>
      <c r="V206" s="2"/>
      <c r="W206" s="2"/>
      <c r="X206" s="2"/>
      <c r="Y206" s="2"/>
      <c r="AE206" s="2"/>
      <c r="AF206" s="2"/>
      <c r="AG206" s="2"/>
      <c r="AH206" s="2"/>
      <c r="AI206" s="2"/>
    </row>
    <row r="207" spans="1:35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M207" s="2"/>
      <c r="N207" s="2"/>
      <c r="O207" s="2"/>
      <c r="P207" s="2"/>
      <c r="V207" s="2"/>
      <c r="W207" s="2"/>
      <c r="X207" s="2"/>
      <c r="Y207" s="2"/>
      <c r="AE207" s="2"/>
      <c r="AF207" s="2"/>
      <c r="AG207" s="2"/>
      <c r="AH207" s="2"/>
      <c r="AI207" s="2"/>
    </row>
    <row r="208" spans="1:35" ht="12.75" customHeight="1">
      <c r="A208" s="2"/>
      <c r="B208" s="174"/>
      <c r="C208" s="174"/>
      <c r="D208" s="174"/>
      <c r="E208" s="173"/>
      <c r="F208" s="175"/>
      <c r="G208" s="2"/>
      <c r="H208" s="2"/>
      <c r="I208" s="2"/>
      <c r="J208" s="2"/>
      <c r="K208" s="2"/>
      <c r="M208" s="175"/>
      <c r="N208" s="175"/>
      <c r="O208" s="175"/>
      <c r="P208" s="175"/>
      <c r="V208" s="2"/>
      <c r="W208" s="2"/>
      <c r="X208" s="2"/>
      <c r="Y208" s="2"/>
      <c r="AE208" s="2"/>
      <c r="AF208" s="2"/>
      <c r="AG208" s="2"/>
      <c r="AH208" s="2"/>
      <c r="AI208" s="2"/>
    </row>
    <row r="209" spans="1:35" ht="12.75" customHeight="1">
      <c r="A209" s="2"/>
      <c r="B209" s="174"/>
      <c r="C209" s="174"/>
      <c r="D209" s="174"/>
      <c r="E209" s="173"/>
      <c r="F209" s="175"/>
      <c r="G209" s="2"/>
      <c r="H209" s="2"/>
      <c r="I209" s="2"/>
      <c r="J209" s="2"/>
      <c r="K209" s="2"/>
      <c r="M209" s="175"/>
      <c r="N209" s="175"/>
      <c r="O209" s="175"/>
      <c r="P209" s="175"/>
      <c r="V209" s="2"/>
      <c r="W209" s="2"/>
      <c r="X209" s="2"/>
      <c r="Y209" s="2"/>
      <c r="AE209" s="2"/>
      <c r="AF209" s="2"/>
      <c r="AG209" s="2"/>
      <c r="AH209" s="2"/>
      <c r="AI209" s="2"/>
    </row>
    <row r="210" spans="1:35" ht="12.75" customHeight="1">
      <c r="A210" s="2"/>
      <c r="B210" s="176"/>
      <c r="C210" s="176"/>
      <c r="D210" s="176"/>
      <c r="E210" s="173"/>
      <c r="F210" s="175"/>
      <c r="G210" s="2"/>
      <c r="H210" s="2"/>
      <c r="I210" s="2"/>
      <c r="J210" s="2"/>
      <c r="K210" s="2"/>
      <c r="M210" s="175"/>
      <c r="N210" s="175"/>
      <c r="O210" s="175"/>
      <c r="P210" s="175"/>
      <c r="V210" s="2"/>
      <c r="W210" s="2"/>
      <c r="X210" s="2"/>
      <c r="Y210" s="2"/>
      <c r="AE210" s="2"/>
      <c r="AF210" s="2"/>
      <c r="AG210" s="2"/>
      <c r="AH210" s="2"/>
      <c r="AI210" s="2"/>
    </row>
    <row r="211" spans="1:35" ht="12.75" customHeight="1">
      <c r="A211" s="2"/>
      <c r="B211" s="176"/>
      <c r="C211" s="176"/>
      <c r="D211" s="176"/>
      <c r="E211" s="173"/>
      <c r="F211" s="175"/>
      <c r="G211" s="2"/>
      <c r="H211" s="2"/>
      <c r="I211" s="2"/>
      <c r="J211" s="2"/>
      <c r="K211" s="2"/>
      <c r="M211" s="175"/>
      <c r="N211" s="175"/>
      <c r="O211" s="175"/>
      <c r="P211" s="175"/>
      <c r="V211" s="2"/>
      <c r="W211" s="2"/>
      <c r="X211" s="2"/>
      <c r="Y211" s="2"/>
      <c r="AE211" s="2"/>
      <c r="AF211" s="2"/>
      <c r="AG211" s="2"/>
      <c r="AH211" s="2"/>
      <c r="AI211" s="2"/>
    </row>
    <row r="212" spans="1:35" ht="12.75" customHeight="1">
      <c r="A212" s="2"/>
      <c r="B212" s="178"/>
      <c r="C212" s="178"/>
      <c r="D212" s="178"/>
      <c r="E212" s="178"/>
      <c r="F212" s="2"/>
      <c r="G212" s="175"/>
      <c r="H212" s="175"/>
      <c r="I212" s="175"/>
      <c r="J212" s="175"/>
      <c r="K212" s="175"/>
      <c r="M212" s="2"/>
      <c r="N212" s="2"/>
      <c r="O212" s="2"/>
      <c r="P212" s="2"/>
      <c r="V212" s="2"/>
      <c r="W212" s="2"/>
      <c r="X212" s="2"/>
      <c r="Y212" s="2"/>
      <c r="AE212" s="2"/>
      <c r="AF212" s="2"/>
      <c r="AG212" s="2"/>
      <c r="AH212" s="2"/>
      <c r="AI212" s="2"/>
    </row>
    <row r="213" spans="1:35" ht="12.75" customHeight="1">
      <c r="A213" s="2"/>
      <c r="B213" s="160"/>
      <c r="C213" s="160"/>
      <c r="D213" s="160"/>
      <c r="E213" s="178"/>
      <c r="F213" s="2"/>
      <c r="G213" s="175"/>
      <c r="H213" s="175"/>
      <c r="I213" s="175"/>
      <c r="J213" s="175"/>
      <c r="K213" s="175"/>
      <c r="M213" s="2"/>
      <c r="N213" s="2"/>
      <c r="O213" s="2"/>
      <c r="P213" s="2"/>
      <c r="V213" s="2"/>
      <c r="W213" s="2"/>
      <c r="X213" s="2"/>
      <c r="Y213" s="2"/>
      <c r="AE213" s="2"/>
      <c r="AF213" s="2"/>
      <c r="AG213" s="2"/>
      <c r="AH213" s="2"/>
      <c r="AI213" s="2"/>
    </row>
    <row r="214" spans="1:35" ht="12.75" customHeight="1">
      <c r="A214" s="2"/>
      <c r="B214" s="160"/>
      <c r="C214" s="160"/>
      <c r="D214" s="160"/>
      <c r="E214" s="160"/>
      <c r="F214" s="2"/>
      <c r="G214" s="175"/>
      <c r="H214" s="175"/>
      <c r="I214" s="175"/>
      <c r="J214" s="175"/>
      <c r="K214" s="175"/>
      <c r="M214" s="2"/>
      <c r="N214" s="2"/>
      <c r="O214" s="2"/>
      <c r="P214" s="2"/>
      <c r="V214" s="2"/>
      <c r="W214" s="2"/>
      <c r="X214" s="2"/>
      <c r="Y214" s="2"/>
      <c r="AE214" s="2"/>
      <c r="AF214" s="2"/>
      <c r="AG214" s="2"/>
      <c r="AH214" s="2"/>
      <c r="AI214" s="2"/>
    </row>
    <row r="215" spans="1:35" ht="12.75" customHeight="1">
      <c r="A215" s="2"/>
      <c r="B215" s="178"/>
      <c r="C215" s="178"/>
      <c r="D215" s="178"/>
      <c r="E215" s="180"/>
      <c r="F215" s="2"/>
      <c r="G215" s="175"/>
      <c r="H215" s="175"/>
      <c r="I215" s="175"/>
      <c r="J215" s="175"/>
      <c r="K215" s="175"/>
      <c r="M215" s="2"/>
      <c r="N215" s="2"/>
      <c r="O215" s="2"/>
      <c r="P215" s="2"/>
      <c r="V215" s="2"/>
      <c r="W215" s="2"/>
      <c r="X215" s="2"/>
      <c r="Y215" s="2"/>
      <c r="AE215" s="2"/>
      <c r="AF215" s="2"/>
      <c r="AG215" s="2"/>
      <c r="AH215" s="2"/>
      <c r="AI215" s="2"/>
    </row>
    <row r="216" spans="1:35" ht="12.75" customHeight="1">
      <c r="A216" s="2"/>
      <c r="B216" s="178"/>
      <c r="C216" s="178"/>
      <c r="D216" s="178"/>
      <c r="E216" s="178"/>
      <c r="F216" s="2"/>
      <c r="G216" s="2"/>
      <c r="H216" s="2"/>
      <c r="I216" s="2"/>
      <c r="J216" s="2"/>
      <c r="K216" s="2"/>
      <c r="M216" s="2"/>
      <c r="N216" s="2"/>
      <c r="O216" s="2"/>
      <c r="P216" s="2"/>
      <c r="V216" s="2"/>
      <c r="W216" s="2"/>
      <c r="X216" s="2"/>
      <c r="Y216" s="2"/>
      <c r="AE216" s="2"/>
      <c r="AF216" s="2"/>
      <c r="AG216" s="2"/>
      <c r="AH216" s="2"/>
      <c r="AI216" s="2"/>
    </row>
    <row r="217" spans="1:35" ht="12.75" customHeight="1">
      <c r="A217" s="2"/>
      <c r="B217" s="178"/>
      <c r="C217" s="178"/>
      <c r="D217" s="178"/>
      <c r="E217" s="181"/>
      <c r="F217" s="2"/>
      <c r="G217" s="2"/>
      <c r="H217" s="2"/>
      <c r="I217" s="2"/>
      <c r="J217" s="2"/>
      <c r="K217" s="2"/>
      <c r="M217" s="2"/>
      <c r="N217" s="2"/>
      <c r="O217" s="2"/>
      <c r="P217" s="2"/>
      <c r="V217" s="2"/>
      <c r="W217" s="2"/>
      <c r="X217" s="2"/>
      <c r="Y217" s="2"/>
      <c r="AE217" s="2"/>
      <c r="AF217" s="2"/>
      <c r="AG217" s="2"/>
      <c r="AH217" s="2"/>
      <c r="AI217" s="2"/>
    </row>
    <row r="218" spans="1:35" ht="12.75" customHeight="1">
      <c r="A218" s="2"/>
      <c r="B218" s="178"/>
      <c r="C218" s="178"/>
      <c r="D218" s="178"/>
      <c r="E218" s="178"/>
      <c r="F218" s="2"/>
      <c r="G218" s="2"/>
      <c r="H218" s="2"/>
      <c r="I218" s="2"/>
      <c r="J218" s="2"/>
      <c r="K218" s="2"/>
      <c r="M218" s="2"/>
      <c r="N218" s="2"/>
      <c r="O218" s="2"/>
      <c r="P218" s="2"/>
      <c r="V218" s="2"/>
      <c r="W218" s="2"/>
      <c r="X218" s="2"/>
      <c r="Y218" s="2"/>
      <c r="AE218" s="2"/>
      <c r="AF218" s="2"/>
      <c r="AG218" s="2"/>
      <c r="AH218" s="2"/>
      <c r="AI218" s="2"/>
    </row>
    <row r="219" spans="1:35" ht="12.75" customHeight="1">
      <c r="A219" s="2"/>
      <c r="B219" s="178"/>
      <c r="C219" s="178"/>
      <c r="D219" s="178"/>
      <c r="E219" s="181"/>
      <c r="F219" s="2"/>
      <c r="G219" s="2"/>
      <c r="H219" s="2"/>
      <c r="I219" s="2"/>
      <c r="J219" s="2"/>
      <c r="K219" s="2"/>
      <c r="M219" s="2"/>
      <c r="N219" s="2"/>
      <c r="O219" s="2"/>
      <c r="P219" s="2"/>
      <c r="V219" s="2"/>
      <c r="W219" s="2"/>
      <c r="X219" s="2"/>
      <c r="Y219" s="2"/>
      <c r="AE219" s="2"/>
      <c r="AF219" s="2"/>
      <c r="AG219" s="2"/>
      <c r="AH219" s="2"/>
      <c r="AI219" s="2"/>
    </row>
    <row r="220" spans="1:35" ht="12.75" customHeight="1">
      <c r="A220" s="2"/>
      <c r="B220" s="178"/>
      <c r="C220" s="178"/>
      <c r="D220" s="178"/>
      <c r="E220" s="181"/>
      <c r="F220" s="2"/>
      <c r="G220" s="2"/>
      <c r="H220" s="2"/>
      <c r="I220" s="2"/>
      <c r="J220" s="2"/>
      <c r="K220" s="2"/>
      <c r="M220" s="2"/>
      <c r="N220" s="2"/>
      <c r="O220" s="2"/>
      <c r="P220" s="2"/>
      <c r="V220" s="2"/>
      <c r="W220" s="2"/>
      <c r="X220" s="2"/>
      <c r="Y220" s="2"/>
      <c r="AE220" s="2"/>
      <c r="AF220" s="2"/>
      <c r="AG220" s="2"/>
      <c r="AH220" s="2"/>
      <c r="AI220" s="2"/>
    </row>
    <row r="221" spans="1:35" ht="12.75" customHeight="1">
      <c r="A221" s="2"/>
      <c r="B221" s="178"/>
      <c r="C221" s="178"/>
      <c r="D221" s="178"/>
      <c r="E221" s="181"/>
      <c r="F221" s="2"/>
      <c r="G221" s="2"/>
      <c r="H221" s="2"/>
      <c r="I221" s="2"/>
      <c r="J221" s="2"/>
      <c r="K221" s="2"/>
      <c r="M221" s="2"/>
      <c r="N221" s="2"/>
      <c r="O221" s="2"/>
      <c r="P221" s="2"/>
      <c r="V221" s="2"/>
      <c r="W221" s="2"/>
      <c r="X221" s="2"/>
      <c r="Y221" s="2"/>
      <c r="AE221" s="2"/>
      <c r="AF221" s="2"/>
      <c r="AG221" s="2"/>
      <c r="AH221" s="2"/>
      <c r="AI221" s="2"/>
    </row>
    <row r="222" spans="1:35" ht="12.75" customHeight="1">
      <c r="A222" s="2"/>
      <c r="B222" s="178"/>
      <c r="C222" s="178"/>
      <c r="D222" s="178"/>
      <c r="E222" s="178"/>
      <c r="F222" s="2"/>
      <c r="G222" s="2"/>
      <c r="H222" s="2"/>
      <c r="I222" s="2"/>
      <c r="J222" s="2"/>
      <c r="K222" s="2"/>
      <c r="M222" s="2"/>
      <c r="N222" s="2"/>
      <c r="O222" s="2"/>
      <c r="P222" s="2"/>
      <c r="V222" s="2"/>
      <c r="W222" s="2"/>
      <c r="X222" s="2"/>
      <c r="Y222" s="2"/>
      <c r="AE222" s="2"/>
      <c r="AF222" s="2"/>
      <c r="AG222" s="2"/>
      <c r="AH222" s="2"/>
      <c r="AI222" s="2"/>
    </row>
    <row r="223" spans="1:35" ht="12.75" customHeight="1">
      <c r="A223" s="2"/>
      <c r="B223" s="178"/>
      <c r="C223" s="178"/>
      <c r="D223" s="178"/>
      <c r="E223" s="180"/>
      <c r="F223" s="2"/>
      <c r="G223" s="2"/>
      <c r="H223" s="2"/>
      <c r="I223" s="2"/>
      <c r="J223" s="2"/>
      <c r="K223" s="2"/>
      <c r="M223" s="2"/>
      <c r="N223" s="2"/>
      <c r="O223" s="2"/>
      <c r="P223" s="2"/>
      <c r="V223" s="2"/>
      <c r="W223" s="2"/>
      <c r="X223" s="2"/>
      <c r="Y223" s="2"/>
      <c r="AE223" s="2"/>
      <c r="AF223" s="2"/>
      <c r="AG223" s="2"/>
      <c r="AH223" s="2"/>
      <c r="AI223" s="2"/>
    </row>
    <row r="224" spans="1:35" ht="12.75" customHeight="1">
      <c r="A224" s="2"/>
      <c r="B224" s="178"/>
      <c r="C224" s="178"/>
      <c r="D224" s="178"/>
      <c r="E224" s="178"/>
      <c r="F224" s="2"/>
      <c r="G224" s="2"/>
      <c r="H224" s="2"/>
      <c r="I224" s="2"/>
      <c r="J224" s="2"/>
      <c r="K224" s="2"/>
      <c r="M224" s="2"/>
      <c r="N224" s="2"/>
      <c r="O224" s="2"/>
      <c r="P224" s="2"/>
      <c r="V224" s="2"/>
      <c r="W224" s="2"/>
      <c r="X224" s="2"/>
      <c r="Y224" s="2"/>
      <c r="AE224" s="2"/>
      <c r="AF224" s="2"/>
      <c r="AG224" s="2"/>
      <c r="AH224" s="2"/>
      <c r="AI224" s="2"/>
    </row>
    <row r="225" spans="1:35" ht="12.75" customHeight="1">
      <c r="A225" s="2"/>
      <c r="B225" s="178"/>
      <c r="C225" s="178"/>
      <c r="D225" s="178"/>
      <c r="E225" s="182"/>
      <c r="F225" s="2"/>
      <c r="G225" s="2"/>
      <c r="H225" s="2"/>
      <c r="I225" s="2"/>
      <c r="J225" s="2"/>
      <c r="K225" s="2"/>
      <c r="M225" s="2"/>
      <c r="N225" s="2"/>
      <c r="O225" s="2"/>
      <c r="P225" s="2"/>
      <c r="V225" s="2"/>
      <c r="W225" s="2"/>
      <c r="X225" s="2"/>
      <c r="Y225" s="2"/>
      <c r="AE225" s="2"/>
      <c r="AF225" s="2"/>
      <c r="AG225" s="2"/>
      <c r="AH225" s="2"/>
      <c r="AI225" s="2"/>
    </row>
    <row r="226" spans="1:35" ht="12.75" customHeight="1">
      <c r="A226" s="2"/>
      <c r="B226" s="178"/>
      <c r="C226" s="178"/>
      <c r="D226" s="178"/>
      <c r="E226" s="178"/>
      <c r="F226" s="2"/>
      <c r="G226" s="2"/>
      <c r="H226" s="2"/>
      <c r="I226" s="2"/>
      <c r="J226" s="2"/>
      <c r="K226" s="2"/>
      <c r="M226" s="2"/>
      <c r="N226" s="2"/>
      <c r="O226" s="2"/>
      <c r="P226" s="2"/>
      <c r="V226" s="2"/>
      <c r="W226" s="2"/>
      <c r="X226" s="2"/>
      <c r="Y226" s="2"/>
      <c r="AE226" s="2"/>
      <c r="AF226" s="2"/>
      <c r="AG226" s="2"/>
      <c r="AH226" s="2"/>
      <c r="AI226" s="2"/>
    </row>
    <row r="227" spans="1:35" ht="12.75" customHeight="1">
      <c r="A227" s="2"/>
      <c r="B227" s="178"/>
      <c r="C227" s="178"/>
      <c r="D227" s="178"/>
      <c r="E227" s="180"/>
      <c r="F227" s="2"/>
      <c r="G227" s="2"/>
      <c r="H227" s="2"/>
      <c r="I227" s="2"/>
      <c r="J227" s="2"/>
      <c r="K227" s="2"/>
      <c r="M227" s="2"/>
      <c r="N227" s="2"/>
      <c r="O227" s="2"/>
      <c r="P227" s="2"/>
      <c r="V227" s="2"/>
      <c r="W227" s="2"/>
      <c r="X227" s="2"/>
      <c r="Y227" s="2"/>
      <c r="AE227" s="2"/>
      <c r="AF227" s="2"/>
      <c r="AG227" s="2"/>
      <c r="AH227" s="2"/>
      <c r="AI227" s="2"/>
    </row>
    <row r="228" spans="1:35" ht="12.75" customHeight="1">
      <c r="A228" s="2"/>
      <c r="B228" s="178"/>
      <c r="C228" s="178"/>
      <c r="D228" s="178"/>
      <c r="E228" s="178"/>
      <c r="F228" s="2"/>
      <c r="G228" s="2"/>
      <c r="H228" s="2"/>
      <c r="I228" s="2"/>
      <c r="J228" s="2"/>
      <c r="K228" s="2"/>
      <c r="M228" s="2"/>
      <c r="N228" s="2"/>
      <c r="O228" s="2"/>
      <c r="P228" s="2"/>
      <c r="V228" s="2"/>
      <c r="W228" s="2"/>
      <c r="X228" s="2"/>
      <c r="Y228" s="2"/>
      <c r="AE228" s="2"/>
      <c r="AF228" s="2"/>
      <c r="AG228" s="2"/>
      <c r="AH228" s="2"/>
      <c r="AI228" s="2"/>
    </row>
    <row r="229" spans="1:35" ht="12.75" customHeight="1">
      <c r="A229" s="2"/>
      <c r="B229" s="178"/>
      <c r="C229" s="178"/>
      <c r="D229" s="178"/>
      <c r="E229" s="183"/>
      <c r="F229" s="2"/>
      <c r="G229" s="2"/>
      <c r="H229" s="2"/>
      <c r="I229" s="2"/>
      <c r="J229" s="2"/>
      <c r="K229" s="2"/>
      <c r="M229" s="2"/>
      <c r="N229" s="2"/>
      <c r="O229" s="2"/>
      <c r="P229" s="2"/>
      <c r="V229" s="2"/>
      <c r="W229" s="2"/>
      <c r="X229" s="2"/>
      <c r="Y229" s="2"/>
      <c r="AE229" s="2"/>
      <c r="AF229" s="2"/>
      <c r="AG229" s="2"/>
      <c r="AH229" s="2"/>
      <c r="AI229" s="2"/>
    </row>
    <row r="230" spans="1:35" ht="12.75" customHeight="1">
      <c r="A230" s="2"/>
      <c r="B230" s="178"/>
      <c r="C230" s="178"/>
      <c r="D230" s="178"/>
      <c r="E230" s="178"/>
      <c r="F230" s="2"/>
      <c r="G230" s="2"/>
      <c r="H230" s="2"/>
      <c r="I230" s="2"/>
      <c r="J230" s="2"/>
      <c r="K230" s="2"/>
      <c r="M230" s="2"/>
      <c r="N230" s="2"/>
      <c r="O230" s="2"/>
      <c r="P230" s="2"/>
      <c r="V230" s="2"/>
      <c r="W230" s="2"/>
      <c r="X230" s="2"/>
      <c r="Y230" s="2"/>
      <c r="AE230" s="2"/>
      <c r="AF230" s="2"/>
      <c r="AG230" s="2"/>
      <c r="AH230" s="2"/>
      <c r="AI230" s="2"/>
    </row>
    <row r="231" spans="1:35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M231" s="2"/>
      <c r="N231" s="2"/>
      <c r="O231" s="2"/>
      <c r="P231" s="2"/>
      <c r="V231" s="2"/>
      <c r="W231" s="2"/>
      <c r="X231" s="2"/>
      <c r="Y231" s="2"/>
      <c r="AE231" s="2"/>
      <c r="AF231" s="2"/>
      <c r="AG231" s="2"/>
      <c r="AH231" s="2"/>
      <c r="AI231" s="2"/>
    </row>
    <row r="232" spans="1:35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M232" s="2"/>
      <c r="N232" s="2"/>
      <c r="O232" s="2"/>
      <c r="P232" s="2"/>
      <c r="V232" s="2"/>
      <c r="W232" s="2"/>
      <c r="X232" s="2"/>
      <c r="Y232" s="2"/>
      <c r="AE232" s="2"/>
      <c r="AF232" s="2"/>
      <c r="AG232" s="2"/>
      <c r="AH232" s="2"/>
      <c r="AI232" s="2"/>
    </row>
    <row r="233" spans="1:35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M233" s="2"/>
      <c r="N233" s="2"/>
      <c r="O233" s="2"/>
      <c r="P233" s="2"/>
      <c r="V233" s="2"/>
      <c r="W233" s="2"/>
      <c r="X233" s="2"/>
      <c r="Y233" s="2"/>
      <c r="AE233" s="2"/>
      <c r="AF233" s="2"/>
      <c r="AG233" s="2"/>
      <c r="AH233" s="2"/>
      <c r="AI233" s="2"/>
    </row>
    <row r="234" spans="1:35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M234" s="2"/>
      <c r="N234" s="2"/>
      <c r="O234" s="2"/>
      <c r="P234" s="2"/>
      <c r="V234" s="2"/>
      <c r="W234" s="2"/>
      <c r="X234" s="2"/>
      <c r="Y234" s="2"/>
      <c r="AE234" s="2"/>
      <c r="AF234" s="2"/>
      <c r="AG234" s="2"/>
      <c r="AH234" s="2"/>
      <c r="AI234" s="2"/>
    </row>
    <row r="235" spans="1: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M235" s="2"/>
      <c r="N235" s="2"/>
      <c r="O235" s="2"/>
      <c r="P235" s="2"/>
      <c r="V235" s="2"/>
      <c r="W235" s="2"/>
      <c r="X235" s="2"/>
      <c r="Y235" s="2"/>
      <c r="AE235" s="2"/>
      <c r="AF235" s="2"/>
      <c r="AG235" s="2"/>
      <c r="AH235" s="2"/>
      <c r="AI235" s="2"/>
    </row>
    <row r="236" spans="1:35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M236" s="2"/>
      <c r="N236" s="2"/>
      <c r="O236" s="2"/>
      <c r="P236" s="2"/>
      <c r="V236" s="2"/>
      <c r="W236" s="2"/>
      <c r="X236" s="2"/>
      <c r="Y236" s="2"/>
      <c r="AE236" s="2"/>
      <c r="AF236" s="2"/>
      <c r="AG236" s="2"/>
      <c r="AH236" s="2"/>
      <c r="AI236" s="2"/>
    </row>
    <row r="237" spans="1:35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M237" s="2"/>
      <c r="N237" s="2"/>
      <c r="O237" s="2"/>
      <c r="P237" s="2"/>
      <c r="V237" s="2"/>
      <c r="W237" s="2"/>
      <c r="X237" s="2"/>
      <c r="Y237" s="2"/>
      <c r="AE237" s="2"/>
      <c r="AF237" s="2"/>
      <c r="AG237" s="2"/>
      <c r="AH237" s="2"/>
      <c r="AI237" s="2"/>
    </row>
    <row r="238" spans="1:35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M238" s="2"/>
      <c r="N238" s="2"/>
      <c r="O238" s="2"/>
      <c r="P238" s="2"/>
      <c r="V238" s="2"/>
      <c r="W238" s="2"/>
      <c r="X238" s="2"/>
      <c r="Y238" s="2"/>
      <c r="AE238" s="2"/>
      <c r="AF238" s="2"/>
      <c r="AG238" s="2"/>
      <c r="AH238" s="2"/>
      <c r="AI238" s="2"/>
    </row>
    <row r="239" spans="1:35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M239" s="2"/>
      <c r="N239" s="2"/>
      <c r="O239" s="2"/>
      <c r="P239" s="2"/>
      <c r="V239" s="2"/>
      <c r="W239" s="2"/>
      <c r="X239" s="2"/>
      <c r="Y239" s="2"/>
      <c r="AE239" s="2"/>
      <c r="AF239" s="2"/>
      <c r="AG239" s="2"/>
      <c r="AH239" s="2"/>
      <c r="AI239" s="2"/>
    </row>
    <row r="240" spans="2:35" ht="12.7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M240" s="2"/>
      <c r="N240" s="2"/>
      <c r="O240" s="2"/>
      <c r="P240" s="2"/>
      <c r="V240" s="2"/>
      <c r="W240" s="2"/>
      <c r="X240" s="2"/>
      <c r="Y240" s="2"/>
      <c r="AE240" s="2"/>
      <c r="AF240" s="2"/>
      <c r="AG240" s="2"/>
      <c r="AH240" s="2"/>
      <c r="AI240" s="2"/>
    </row>
    <row r="241" spans="2:35" ht="12.7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M241" s="2"/>
      <c r="N241" s="2"/>
      <c r="O241" s="2"/>
      <c r="P241" s="2"/>
      <c r="V241" s="2"/>
      <c r="W241" s="2"/>
      <c r="X241" s="2"/>
      <c r="Y241" s="2"/>
      <c r="AE241" s="2"/>
      <c r="AF241" s="2"/>
      <c r="AG241" s="2"/>
      <c r="AH241" s="2"/>
      <c r="AI241" s="2"/>
    </row>
    <row r="242" spans="2:35" ht="12.7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M242" s="2"/>
      <c r="N242" s="2"/>
      <c r="O242" s="2"/>
      <c r="P242" s="2"/>
      <c r="V242" s="2"/>
      <c r="W242" s="2"/>
      <c r="X242" s="2"/>
      <c r="Y242" s="2"/>
      <c r="AE242" s="2"/>
      <c r="AF242" s="2"/>
      <c r="AG242" s="2"/>
      <c r="AH242" s="2"/>
      <c r="AI242" s="2"/>
    </row>
    <row r="243" spans="2:35" ht="12.7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M243" s="2"/>
      <c r="N243" s="2"/>
      <c r="O243" s="2"/>
      <c r="P243" s="2"/>
      <c r="V243" s="2"/>
      <c r="W243" s="2"/>
      <c r="X243" s="2"/>
      <c r="Y243" s="2"/>
      <c r="AE243" s="2"/>
      <c r="AF243" s="2"/>
      <c r="AG243" s="2"/>
      <c r="AH243" s="2"/>
      <c r="AI243" s="2"/>
    </row>
    <row r="244" spans="2:35" ht="12.7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M244" s="2"/>
      <c r="N244" s="2"/>
      <c r="O244" s="2"/>
      <c r="P244" s="2"/>
      <c r="V244" s="2"/>
      <c r="W244" s="2"/>
      <c r="X244" s="2"/>
      <c r="Y244" s="2"/>
      <c r="AE244" s="2"/>
      <c r="AF244" s="2"/>
      <c r="AG244" s="2"/>
      <c r="AH244" s="2"/>
      <c r="AI244" s="2"/>
    </row>
    <row r="245" spans="2:35" ht="12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M245" s="2"/>
      <c r="N245" s="2"/>
      <c r="O245" s="2"/>
      <c r="P245" s="2"/>
      <c r="V245" s="2"/>
      <c r="W245" s="2"/>
      <c r="X245" s="2"/>
      <c r="Y245" s="2"/>
      <c r="AE245" s="2"/>
      <c r="AF245" s="2"/>
      <c r="AG245" s="2"/>
      <c r="AH245" s="2"/>
      <c r="AI245" s="2"/>
    </row>
    <row r="246" spans="2:35" ht="12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M246" s="2"/>
      <c r="N246" s="2"/>
      <c r="O246" s="2"/>
      <c r="P246" s="2"/>
      <c r="V246" s="2"/>
      <c r="W246" s="2"/>
      <c r="X246" s="2"/>
      <c r="Y246" s="2"/>
      <c r="AE246" s="2"/>
      <c r="AF246" s="2"/>
      <c r="AG246" s="2"/>
      <c r="AH246" s="2"/>
      <c r="AI246" s="2"/>
    </row>
    <row r="247" spans="2:35" ht="12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M247" s="2"/>
      <c r="N247" s="2"/>
      <c r="O247" s="2"/>
      <c r="P247" s="2"/>
      <c r="V247" s="2"/>
      <c r="W247" s="2"/>
      <c r="X247" s="2"/>
      <c r="Y247" s="2"/>
      <c r="AE247" s="2"/>
      <c r="AF247" s="2"/>
      <c r="AG247" s="2"/>
      <c r="AH247" s="2"/>
      <c r="AI247" s="2"/>
    </row>
    <row r="248" spans="2:35" ht="12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M248" s="2"/>
      <c r="N248" s="2"/>
      <c r="O248" s="2"/>
      <c r="P248" s="2"/>
      <c r="V248" s="2"/>
      <c r="W248" s="2"/>
      <c r="X248" s="2"/>
      <c r="Y248" s="2"/>
      <c r="AE248" s="2"/>
      <c r="AF248" s="2"/>
      <c r="AG248" s="2"/>
      <c r="AH248" s="2"/>
      <c r="AI248" s="2"/>
    </row>
    <row r="249" spans="2:35" ht="12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M249" s="2"/>
      <c r="N249" s="2"/>
      <c r="O249" s="2"/>
      <c r="P249" s="2"/>
      <c r="V249" s="2"/>
      <c r="W249" s="2"/>
      <c r="X249" s="2"/>
      <c r="Y249" s="2"/>
      <c r="AE249" s="2"/>
      <c r="AF249" s="2"/>
      <c r="AG249" s="2"/>
      <c r="AH249" s="2"/>
      <c r="AI249" s="2"/>
    </row>
    <row r="250" spans="2:35" ht="12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M250" s="2"/>
      <c r="N250" s="2"/>
      <c r="O250" s="2"/>
      <c r="P250" s="2"/>
      <c r="V250" s="2"/>
      <c r="W250" s="2"/>
      <c r="X250" s="2"/>
      <c r="Y250" s="2"/>
      <c r="AE250" s="2"/>
      <c r="AF250" s="2"/>
      <c r="AG250" s="2"/>
      <c r="AH250" s="2"/>
      <c r="AI250" s="2"/>
    </row>
    <row r="251" spans="2:35" ht="12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M251" s="2"/>
      <c r="N251" s="2"/>
      <c r="O251" s="2"/>
      <c r="P251" s="2"/>
      <c r="V251" s="2"/>
      <c r="W251" s="2"/>
      <c r="X251" s="2"/>
      <c r="Y251" s="2"/>
      <c r="AE251" s="2"/>
      <c r="AF251" s="2"/>
      <c r="AG251" s="2"/>
      <c r="AH251" s="2"/>
      <c r="AI251" s="2"/>
    </row>
    <row r="252" spans="2:35" ht="12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M252" s="2"/>
      <c r="N252" s="2"/>
      <c r="O252" s="2"/>
      <c r="P252" s="2"/>
      <c r="V252" s="2"/>
      <c r="W252" s="2"/>
      <c r="X252" s="2"/>
      <c r="Y252" s="2"/>
      <c r="AE252" s="2"/>
      <c r="AF252" s="2"/>
      <c r="AG252" s="2"/>
      <c r="AH252" s="2"/>
      <c r="AI252" s="2"/>
    </row>
    <row r="253" spans="2:35" ht="12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M253" s="2"/>
      <c r="N253" s="2"/>
      <c r="O253" s="2"/>
      <c r="P253" s="2"/>
      <c r="V253" s="2"/>
      <c r="W253" s="2"/>
      <c r="X253" s="2"/>
      <c r="Y253" s="2"/>
      <c r="AE253" s="2"/>
      <c r="AF253" s="2"/>
      <c r="AG253" s="2"/>
      <c r="AH253" s="2"/>
      <c r="AI253" s="2"/>
    </row>
    <row r="254" spans="2:35" ht="12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M254" s="2"/>
      <c r="N254" s="2"/>
      <c r="O254" s="2"/>
      <c r="P254" s="2"/>
      <c r="V254" s="2"/>
      <c r="W254" s="2"/>
      <c r="X254" s="2"/>
      <c r="Y254" s="2"/>
      <c r="AE254" s="2"/>
      <c r="AF254" s="2"/>
      <c r="AG254" s="2"/>
      <c r="AH254" s="2"/>
      <c r="AI254" s="2"/>
    </row>
    <row r="255" spans="2:35" ht="12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M255" s="2"/>
      <c r="N255" s="2"/>
      <c r="O255" s="2"/>
      <c r="P255" s="2"/>
      <c r="V255" s="2"/>
      <c r="W255" s="2"/>
      <c r="X255" s="2"/>
      <c r="Y255" s="2"/>
      <c r="AE255" s="2"/>
      <c r="AF255" s="2"/>
      <c r="AG255" s="2"/>
      <c r="AH255" s="2"/>
      <c r="AI255" s="2"/>
    </row>
    <row r="256" spans="2:35" ht="12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M256" s="2"/>
      <c r="N256" s="2"/>
      <c r="O256" s="2"/>
      <c r="P256" s="2"/>
      <c r="V256" s="2"/>
      <c r="W256" s="2"/>
      <c r="X256" s="2"/>
      <c r="Y256" s="2"/>
      <c r="AE256" s="2"/>
      <c r="AF256" s="2"/>
      <c r="AG256" s="2"/>
      <c r="AH256" s="2"/>
      <c r="AI256" s="2"/>
    </row>
    <row r="257" spans="2:35" ht="12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M257" s="2"/>
      <c r="N257" s="2"/>
      <c r="O257" s="2"/>
      <c r="P257" s="2"/>
      <c r="V257" s="2"/>
      <c r="W257" s="2"/>
      <c r="X257" s="2"/>
      <c r="Y257" s="2"/>
      <c r="AE257" s="2"/>
      <c r="AF257" s="2"/>
      <c r="AG257" s="2"/>
      <c r="AH257" s="2"/>
      <c r="AI257" s="2"/>
    </row>
    <row r="258" spans="2:35" ht="12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M258" s="2"/>
      <c r="N258" s="2"/>
      <c r="O258" s="2"/>
      <c r="P258" s="2"/>
      <c r="V258" s="2"/>
      <c r="W258" s="2"/>
      <c r="X258" s="2"/>
      <c r="Y258" s="2"/>
      <c r="AE258" s="2"/>
      <c r="AF258" s="2"/>
      <c r="AG258" s="2"/>
      <c r="AH258" s="2"/>
      <c r="AI258" s="2"/>
    </row>
    <row r="259" spans="2:35" ht="12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M259" s="2"/>
      <c r="N259" s="2"/>
      <c r="O259" s="2"/>
      <c r="P259" s="2"/>
      <c r="V259" s="2"/>
      <c r="W259" s="2"/>
      <c r="X259" s="2"/>
      <c r="Y259" s="2"/>
      <c r="AE259" s="2"/>
      <c r="AF259" s="2"/>
      <c r="AG259" s="2"/>
      <c r="AH259" s="2"/>
      <c r="AI259" s="2"/>
    </row>
    <row r="260" spans="2:35" ht="12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M260" s="2"/>
      <c r="N260" s="2"/>
      <c r="O260" s="2"/>
      <c r="P260" s="2"/>
      <c r="V260" s="2"/>
      <c r="W260" s="2"/>
      <c r="X260" s="2"/>
      <c r="Y260" s="2"/>
      <c r="AE260" s="2"/>
      <c r="AF260" s="2"/>
      <c r="AG260" s="2"/>
      <c r="AH260" s="2"/>
      <c r="AI260" s="2"/>
    </row>
    <row r="261" spans="2:35" ht="12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M261" s="2"/>
      <c r="N261" s="2"/>
      <c r="O261" s="2"/>
      <c r="P261" s="2"/>
      <c r="V261" s="2"/>
      <c r="W261" s="2"/>
      <c r="X261" s="2"/>
      <c r="Y261" s="2"/>
      <c r="AE261" s="2"/>
      <c r="AF261" s="2"/>
      <c r="AG261" s="2"/>
      <c r="AH261" s="2"/>
      <c r="AI261" s="2"/>
    </row>
    <row r="262" spans="2:35" ht="12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M262" s="2"/>
      <c r="N262" s="2"/>
      <c r="O262" s="2"/>
      <c r="P262" s="2"/>
      <c r="V262" s="2"/>
      <c r="W262" s="2"/>
      <c r="X262" s="2"/>
      <c r="Y262" s="2"/>
      <c r="AE262" s="2"/>
      <c r="AF262" s="2"/>
      <c r="AG262" s="2"/>
      <c r="AH262" s="2"/>
      <c r="AI262" s="2"/>
    </row>
    <row r="263" spans="2:35" ht="12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M263" s="2"/>
      <c r="N263" s="2"/>
      <c r="O263" s="2"/>
      <c r="P263" s="2"/>
      <c r="V263" s="2"/>
      <c r="W263" s="2"/>
      <c r="X263" s="2"/>
      <c r="Y263" s="2"/>
      <c r="AE263" s="2"/>
      <c r="AF263" s="2"/>
      <c r="AG263" s="2"/>
      <c r="AH263" s="2"/>
      <c r="AI263" s="2"/>
    </row>
    <row r="264" spans="2:35" ht="12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M264" s="2"/>
      <c r="N264" s="2"/>
      <c r="O264" s="2"/>
      <c r="P264" s="2"/>
      <c r="V264" s="2"/>
      <c r="W264" s="2"/>
      <c r="X264" s="2"/>
      <c r="Y264" s="2"/>
      <c r="AE264" s="2"/>
      <c r="AF264" s="2"/>
      <c r="AG264" s="2"/>
      <c r="AH264" s="2"/>
      <c r="AI264" s="2"/>
    </row>
    <row r="265" spans="7:35" ht="12.75" customHeight="1">
      <c r="G265" s="2"/>
      <c r="H265" s="2"/>
      <c r="I265" s="2"/>
      <c r="J265" s="2"/>
      <c r="K265" s="2"/>
      <c r="V265" s="2"/>
      <c r="W265" s="2"/>
      <c r="X265" s="2"/>
      <c r="Y265" s="2"/>
      <c r="AE265" s="2"/>
      <c r="AF265" s="2"/>
      <c r="AG265" s="2"/>
      <c r="AH265" s="2"/>
      <c r="AI265" s="2"/>
    </row>
    <row r="266" spans="7:35" ht="12.75" customHeight="1">
      <c r="G266" s="2"/>
      <c r="H266" s="2"/>
      <c r="I266" s="2"/>
      <c r="J266" s="2"/>
      <c r="K266" s="2"/>
      <c r="V266" s="2"/>
      <c r="W266" s="2"/>
      <c r="X266" s="2"/>
      <c r="Y266" s="2"/>
      <c r="AE266" s="2"/>
      <c r="AF266" s="2"/>
      <c r="AG266" s="2"/>
      <c r="AH266" s="2"/>
      <c r="AI266" s="2"/>
    </row>
    <row r="267" spans="7:35" ht="12.75" customHeight="1">
      <c r="G267" s="2"/>
      <c r="H267" s="2"/>
      <c r="I267" s="2"/>
      <c r="J267" s="2"/>
      <c r="K267" s="2"/>
      <c r="V267" s="2"/>
      <c r="W267" s="2"/>
      <c r="X267" s="2"/>
      <c r="Y267" s="2"/>
      <c r="AE267" s="2"/>
      <c r="AF267" s="2"/>
      <c r="AG267" s="2"/>
      <c r="AH267" s="2"/>
      <c r="AI267" s="2"/>
    </row>
    <row r="268" spans="7:35" ht="12.75" customHeight="1">
      <c r="G268" s="2"/>
      <c r="H268" s="2"/>
      <c r="I268" s="2"/>
      <c r="J268" s="2"/>
      <c r="K268" s="2"/>
      <c r="V268" s="2"/>
      <c r="W268" s="2"/>
      <c r="X268" s="2"/>
      <c r="Y268" s="2"/>
      <c r="AE268" s="2"/>
      <c r="AF268" s="2"/>
      <c r="AG268" s="2"/>
      <c r="AH268" s="2"/>
      <c r="AI268" s="2"/>
    </row>
    <row r="269" spans="22:35" ht="12.75" customHeight="1">
      <c r="V269" s="2"/>
      <c r="W269" s="2"/>
      <c r="X269" s="2"/>
      <c r="Y269" s="2"/>
      <c r="AE269" s="2"/>
      <c r="AF269" s="2"/>
      <c r="AG269" s="2"/>
      <c r="AH269" s="2"/>
      <c r="AI269" s="2"/>
    </row>
    <row r="270" spans="22:35" ht="12.75" customHeight="1">
      <c r="V270" s="2"/>
      <c r="W270" s="2"/>
      <c r="X270" s="2"/>
      <c r="Y270" s="2"/>
      <c r="AE270" s="2"/>
      <c r="AF270" s="2"/>
      <c r="AG270" s="2"/>
      <c r="AH270" s="2"/>
      <c r="AI270" s="2"/>
    </row>
    <row r="271" spans="22:35" ht="12.75" customHeight="1">
      <c r="V271" s="2"/>
      <c r="W271" s="2"/>
      <c r="X271" s="2"/>
      <c r="Y271" s="2"/>
      <c r="AE271" s="2"/>
      <c r="AF271" s="2"/>
      <c r="AG271" s="2"/>
      <c r="AH271" s="2"/>
      <c r="AI271" s="2"/>
    </row>
    <row r="272" spans="22:35" ht="12.75" customHeight="1">
      <c r="V272" s="2"/>
      <c r="W272" s="2"/>
      <c r="X272" s="2"/>
      <c r="Y272" s="2"/>
      <c r="AE272" s="2"/>
      <c r="AF272" s="2"/>
      <c r="AG272" s="2"/>
      <c r="AH272" s="2"/>
      <c r="AI272" s="2"/>
    </row>
    <row r="273" spans="22:35" ht="12.75" customHeight="1">
      <c r="V273" s="2"/>
      <c r="W273" s="2"/>
      <c r="X273" s="2"/>
      <c r="Y273" s="2"/>
      <c r="AE273" s="2"/>
      <c r="AF273" s="2"/>
      <c r="AG273" s="2"/>
      <c r="AH273" s="2"/>
      <c r="AI273" s="2"/>
    </row>
    <row r="274" spans="22:35" ht="12.75" customHeight="1">
      <c r="V274" s="2"/>
      <c r="W274" s="2"/>
      <c r="X274" s="2"/>
      <c r="Y274" s="2"/>
      <c r="AE274" s="2"/>
      <c r="AF274" s="2"/>
      <c r="AG274" s="2"/>
      <c r="AH274" s="2"/>
      <c r="AI274" s="2"/>
    </row>
    <row r="275" spans="22:35" ht="12.75" customHeight="1">
      <c r="V275" s="2"/>
      <c r="W275" s="2"/>
      <c r="X275" s="2"/>
      <c r="Y275" s="2"/>
      <c r="AE275" s="2"/>
      <c r="AF275" s="2"/>
      <c r="AG275" s="2"/>
      <c r="AH275" s="2"/>
      <c r="AI275" s="2"/>
    </row>
    <row r="276" spans="22:35" ht="12.75" customHeight="1">
      <c r="V276" s="2"/>
      <c r="W276" s="2"/>
      <c r="X276" s="2"/>
      <c r="Y276" s="2"/>
      <c r="AE276" s="2"/>
      <c r="AF276" s="2"/>
      <c r="AG276" s="2"/>
      <c r="AH276" s="2"/>
      <c r="AI276" s="2"/>
    </row>
    <row r="277" spans="22:35" ht="12.75" customHeight="1">
      <c r="V277" s="2"/>
      <c r="W277" s="2"/>
      <c r="X277" s="2"/>
      <c r="Y277" s="2"/>
      <c r="AE277" s="2"/>
      <c r="AF277" s="2"/>
      <c r="AG277" s="2"/>
      <c r="AH277" s="2"/>
      <c r="AI277" s="2"/>
    </row>
    <row r="278" spans="22:35" ht="12.75" customHeight="1">
      <c r="V278" s="2"/>
      <c r="W278" s="2"/>
      <c r="X278" s="2"/>
      <c r="Y278" s="2"/>
      <c r="AE278" s="2"/>
      <c r="AF278" s="2"/>
      <c r="AG278" s="2"/>
      <c r="AH278" s="2"/>
      <c r="AI278" s="2"/>
    </row>
    <row r="279" spans="22:35" ht="12.75" customHeight="1">
      <c r="V279" s="2"/>
      <c r="W279" s="2"/>
      <c r="X279" s="2"/>
      <c r="Y279" s="2"/>
      <c r="AE279" s="2"/>
      <c r="AF279" s="2"/>
      <c r="AG279" s="2"/>
      <c r="AH279" s="2"/>
      <c r="AI279" s="2"/>
    </row>
    <row r="280" spans="22:35" ht="12.75" customHeight="1">
      <c r="V280" s="2"/>
      <c r="W280" s="2"/>
      <c r="X280" s="2"/>
      <c r="Y280" s="2"/>
      <c r="AE280" s="2"/>
      <c r="AF280" s="2"/>
      <c r="AG280" s="2"/>
      <c r="AH280" s="2"/>
      <c r="AI280" s="2"/>
    </row>
    <row r="281" spans="22:35" ht="12.75" customHeight="1">
      <c r="V281" s="2"/>
      <c r="W281" s="2"/>
      <c r="X281" s="2"/>
      <c r="Y281" s="2"/>
      <c r="AE281" s="2"/>
      <c r="AF281" s="2"/>
      <c r="AG281" s="2"/>
      <c r="AH281" s="2"/>
      <c r="AI281" s="2"/>
    </row>
    <row r="282" spans="22:35" ht="12.75" customHeight="1">
      <c r="V282" s="2"/>
      <c r="W282" s="2"/>
      <c r="X282" s="2"/>
      <c r="Y282" s="2"/>
      <c r="AE282" s="2"/>
      <c r="AF282" s="2"/>
      <c r="AG282" s="2"/>
      <c r="AH282" s="2"/>
      <c r="AI282" s="2"/>
    </row>
    <row r="283" spans="22:35" ht="12.75" customHeight="1">
      <c r="V283" s="2"/>
      <c r="W283" s="2"/>
      <c r="X283" s="2"/>
      <c r="Y283" s="2"/>
      <c r="AE283" s="2"/>
      <c r="AF283" s="2"/>
      <c r="AG283" s="2"/>
      <c r="AH283" s="2"/>
      <c r="AI283" s="2"/>
    </row>
    <row r="284" spans="22:35" ht="12.75" customHeight="1">
      <c r="V284" s="2"/>
      <c r="W284" s="2"/>
      <c r="X284" s="2"/>
      <c r="Y284" s="2"/>
      <c r="AE284" s="2"/>
      <c r="AF284" s="2"/>
      <c r="AG284" s="2"/>
      <c r="AH284" s="2"/>
      <c r="AI284" s="2"/>
    </row>
    <row r="285" spans="22:35" ht="12.75" customHeight="1">
      <c r="V285" s="2"/>
      <c r="W285" s="2"/>
      <c r="X285" s="2"/>
      <c r="Y285" s="2"/>
      <c r="AE285" s="2"/>
      <c r="AF285" s="2"/>
      <c r="AG285" s="2"/>
      <c r="AH285" s="2"/>
      <c r="AI285" s="2"/>
    </row>
    <row r="286" spans="22:35" ht="12.75" customHeight="1">
      <c r="V286" s="2"/>
      <c r="W286" s="2"/>
      <c r="X286" s="2"/>
      <c r="Y286" s="2"/>
      <c r="AE286" s="2"/>
      <c r="AF286" s="2"/>
      <c r="AG286" s="2"/>
      <c r="AH286" s="2"/>
      <c r="AI286" s="2"/>
    </row>
    <row r="287" spans="22:35" ht="12.75" customHeight="1">
      <c r="V287" s="2"/>
      <c r="W287" s="2"/>
      <c r="X287" s="2"/>
      <c r="Y287" s="2"/>
      <c r="AE287" s="2"/>
      <c r="AF287" s="2"/>
      <c r="AG287" s="2"/>
      <c r="AH287" s="2"/>
      <c r="AI287" s="2"/>
    </row>
    <row r="288" spans="22:35" ht="12.75" customHeight="1">
      <c r="V288" s="2"/>
      <c r="W288" s="2"/>
      <c r="X288" s="2"/>
      <c r="Y288" s="2"/>
      <c r="AE288" s="2"/>
      <c r="AF288" s="2"/>
      <c r="AG288" s="2"/>
      <c r="AH288" s="2"/>
      <c r="AI288" s="2"/>
    </row>
    <row r="289" spans="22:35" ht="12.75" customHeight="1">
      <c r="V289" s="2"/>
      <c r="W289" s="2"/>
      <c r="X289" s="2"/>
      <c r="Y289" s="2"/>
      <c r="AE289" s="2"/>
      <c r="AF289" s="2"/>
      <c r="AG289" s="2"/>
      <c r="AH289" s="2"/>
      <c r="AI289" s="2"/>
    </row>
    <row r="290" spans="22:35" ht="12.75" customHeight="1">
      <c r="V290" s="2"/>
      <c r="W290" s="2"/>
      <c r="X290" s="2"/>
      <c r="Y290" s="2"/>
      <c r="AE290" s="2"/>
      <c r="AF290" s="2"/>
      <c r="AG290" s="2"/>
      <c r="AH290" s="2"/>
      <c r="AI290" s="2"/>
    </row>
    <row r="291" spans="22:35" ht="12.75" customHeight="1">
      <c r="V291" s="2"/>
      <c r="W291" s="2"/>
      <c r="X291" s="2"/>
      <c r="Y291" s="2"/>
      <c r="AE291" s="2"/>
      <c r="AF291" s="2"/>
      <c r="AG291" s="2"/>
      <c r="AH291" s="2"/>
      <c r="AI291" s="2"/>
    </row>
    <row r="292" spans="22:35" ht="12.75" customHeight="1">
      <c r="V292" s="2"/>
      <c r="W292" s="2"/>
      <c r="X292" s="2"/>
      <c r="Y292" s="2"/>
      <c r="AE292" s="2"/>
      <c r="AF292" s="2"/>
      <c r="AG292" s="2"/>
      <c r="AH292" s="2"/>
      <c r="AI292" s="2"/>
    </row>
    <row r="293" spans="22:35" ht="12.75" customHeight="1">
      <c r="V293" s="2"/>
      <c r="W293" s="2"/>
      <c r="X293" s="2"/>
      <c r="Y293" s="2"/>
      <c r="AE293" s="2"/>
      <c r="AF293" s="2"/>
      <c r="AG293" s="2"/>
      <c r="AH293" s="2"/>
      <c r="AI293" s="2"/>
    </row>
    <row r="294" spans="22:35" ht="12.75" customHeight="1">
      <c r="V294" s="2"/>
      <c r="W294" s="2"/>
      <c r="X294" s="2"/>
      <c r="Y294" s="2"/>
      <c r="AE294" s="2"/>
      <c r="AF294" s="2"/>
      <c r="AG294" s="2"/>
      <c r="AH294" s="2"/>
      <c r="AI294" s="2"/>
    </row>
    <row r="295" spans="22:35" ht="12.75" customHeight="1">
      <c r="V295" s="2"/>
      <c r="W295" s="2"/>
      <c r="X295" s="2"/>
      <c r="Y295" s="2"/>
      <c r="AE295" s="2"/>
      <c r="AF295" s="2"/>
      <c r="AG295" s="2"/>
      <c r="AH295" s="2"/>
      <c r="AI295" s="2"/>
    </row>
    <row r="296" spans="22:35" ht="12.75" customHeight="1">
      <c r="V296" s="2"/>
      <c r="W296" s="2"/>
      <c r="X296" s="2"/>
      <c r="Y296" s="2"/>
      <c r="AE296" s="2"/>
      <c r="AF296" s="2"/>
      <c r="AG296" s="2"/>
      <c r="AH296" s="2"/>
      <c r="AI296" s="2"/>
    </row>
    <row r="297" spans="22:35" ht="12.75" customHeight="1">
      <c r="V297" s="2"/>
      <c r="W297" s="2"/>
      <c r="X297" s="2"/>
      <c r="Y297" s="2"/>
      <c r="AE297" s="2"/>
      <c r="AF297" s="2"/>
      <c r="AG297" s="2"/>
      <c r="AH297" s="2"/>
      <c r="AI297" s="2"/>
    </row>
    <row r="298" spans="22:35" ht="12.75" customHeight="1">
      <c r="V298" s="2"/>
      <c r="W298" s="2"/>
      <c r="X298" s="2"/>
      <c r="Y298" s="2"/>
      <c r="AE298" s="2"/>
      <c r="AF298" s="2"/>
      <c r="AG298" s="2"/>
      <c r="AH298" s="2"/>
      <c r="AI298" s="2"/>
    </row>
    <row r="299" spans="22:35" ht="12.75" customHeight="1">
      <c r="V299" s="2"/>
      <c r="W299" s="2"/>
      <c r="X299" s="2"/>
      <c r="Y299" s="2"/>
      <c r="AE299" s="2"/>
      <c r="AF299" s="2"/>
      <c r="AG299" s="2"/>
      <c r="AH299" s="2"/>
      <c r="AI299" s="2"/>
    </row>
    <row r="300" spans="22:35" ht="12.75" customHeight="1">
      <c r="V300" s="2"/>
      <c r="W300" s="2"/>
      <c r="X300" s="2"/>
      <c r="Y300" s="2"/>
      <c r="AE300" s="2"/>
      <c r="AF300" s="2"/>
      <c r="AG300" s="2"/>
      <c r="AH300" s="2"/>
      <c r="AI300" s="2"/>
    </row>
    <row r="301" spans="22:35" ht="12.75" customHeight="1">
      <c r="V301" s="2"/>
      <c r="W301" s="2"/>
      <c r="X301" s="2"/>
      <c r="Y301" s="2"/>
      <c r="AE301" s="2"/>
      <c r="AF301" s="2"/>
      <c r="AG301" s="2"/>
      <c r="AH301" s="2"/>
      <c r="AI301" s="2"/>
    </row>
    <row r="302" spans="22:35" ht="12.75" customHeight="1">
      <c r="V302" s="2"/>
      <c r="W302" s="2"/>
      <c r="X302" s="2"/>
      <c r="Y302" s="2"/>
      <c r="AE302" s="2"/>
      <c r="AF302" s="2"/>
      <c r="AG302" s="2"/>
      <c r="AH302" s="2"/>
      <c r="AI302" s="2"/>
    </row>
    <row r="303" spans="22:35" ht="12.75" customHeight="1">
      <c r="V303" s="2"/>
      <c r="W303" s="2"/>
      <c r="X303" s="2"/>
      <c r="Y303" s="2"/>
      <c r="AE303" s="2"/>
      <c r="AF303" s="2"/>
      <c r="AG303" s="2"/>
      <c r="AH303" s="2"/>
      <c r="AI303" s="2"/>
    </row>
    <row r="304" spans="22:35" ht="12.75" customHeight="1">
      <c r="V304" s="2"/>
      <c r="W304" s="2"/>
      <c r="X304" s="2"/>
      <c r="Y304" s="2"/>
      <c r="AE304" s="2"/>
      <c r="AF304" s="2"/>
      <c r="AG304" s="2"/>
      <c r="AH304" s="2"/>
      <c r="AI304" s="2"/>
    </row>
    <row r="305" spans="22:35" ht="12.75" customHeight="1">
      <c r="V305" s="2"/>
      <c r="W305" s="2"/>
      <c r="X305" s="2"/>
      <c r="Y305" s="2"/>
      <c r="AE305" s="2"/>
      <c r="AF305" s="2"/>
      <c r="AG305" s="2"/>
      <c r="AH305" s="2"/>
      <c r="AI305" s="2"/>
    </row>
    <row r="306" spans="22:35" ht="12.75" customHeight="1">
      <c r="V306" s="2"/>
      <c r="W306" s="2"/>
      <c r="X306" s="2"/>
      <c r="Y306" s="2"/>
      <c r="AE306" s="2"/>
      <c r="AF306" s="2"/>
      <c r="AG306" s="2"/>
      <c r="AH306" s="2"/>
      <c r="AI306" s="2"/>
    </row>
    <row r="307" spans="22:35" ht="12.75" customHeight="1">
      <c r="V307" s="2"/>
      <c r="W307" s="2"/>
      <c r="X307" s="2"/>
      <c r="Y307" s="2"/>
      <c r="AE307" s="2"/>
      <c r="AF307" s="2"/>
      <c r="AG307" s="2"/>
      <c r="AH307" s="2"/>
      <c r="AI307" s="2"/>
    </row>
    <row r="308" spans="22:35" ht="12.75" customHeight="1">
      <c r="V308" s="2"/>
      <c r="W308" s="2"/>
      <c r="X308" s="2"/>
      <c r="Y308" s="2"/>
      <c r="AE308" s="2"/>
      <c r="AF308" s="2"/>
      <c r="AG308" s="2"/>
      <c r="AH308" s="2"/>
      <c r="AI308" s="2"/>
    </row>
    <row r="309" spans="22:35" ht="12.75" customHeight="1">
      <c r="V309" s="2"/>
      <c r="W309" s="2"/>
      <c r="X309" s="2"/>
      <c r="Y309" s="2"/>
      <c r="AE309" s="2"/>
      <c r="AF309" s="2"/>
      <c r="AG309" s="2"/>
      <c r="AH309" s="2"/>
      <c r="AI309" s="2"/>
    </row>
    <row r="310" spans="22:35" ht="12.75" customHeight="1">
      <c r="V310" s="2"/>
      <c r="W310" s="2"/>
      <c r="X310" s="2"/>
      <c r="Y310" s="2"/>
      <c r="AE310" s="2"/>
      <c r="AF310" s="2"/>
      <c r="AG310" s="2"/>
      <c r="AH310" s="2"/>
      <c r="AI310" s="2"/>
    </row>
    <row r="311" spans="22:35" ht="12.75" customHeight="1">
      <c r="V311" s="2"/>
      <c r="W311" s="2"/>
      <c r="X311" s="2"/>
      <c r="Y311" s="2"/>
      <c r="AE311" s="2"/>
      <c r="AF311" s="2"/>
      <c r="AG311" s="2"/>
      <c r="AH311" s="2"/>
      <c r="AI311" s="2"/>
    </row>
    <row r="312" spans="22:35" ht="12.75" customHeight="1">
      <c r="V312" s="2"/>
      <c r="W312" s="2"/>
      <c r="X312" s="2"/>
      <c r="Y312" s="2"/>
      <c r="AE312" s="2"/>
      <c r="AF312" s="2"/>
      <c r="AG312" s="2"/>
      <c r="AH312" s="2"/>
      <c r="AI312" s="2"/>
    </row>
    <row r="313" spans="22:35" ht="12.75" customHeight="1">
      <c r="V313" s="2"/>
      <c r="W313" s="2"/>
      <c r="X313" s="2"/>
      <c r="Y313" s="2"/>
      <c r="AE313" s="2"/>
      <c r="AF313" s="2"/>
      <c r="AG313" s="2"/>
      <c r="AH313" s="2"/>
      <c r="AI313" s="2"/>
    </row>
    <row r="314" spans="22:35" ht="12.75" customHeight="1">
      <c r="V314" s="2"/>
      <c r="W314" s="2"/>
      <c r="X314" s="2"/>
      <c r="Y314" s="2"/>
      <c r="AE314" s="2"/>
      <c r="AF314" s="2"/>
      <c r="AG314" s="2"/>
      <c r="AH314" s="2"/>
      <c r="AI314" s="2"/>
    </row>
    <row r="315" spans="22:35" ht="12.75" customHeight="1">
      <c r="V315" s="2"/>
      <c r="W315" s="2"/>
      <c r="X315" s="2"/>
      <c r="Y315" s="2"/>
      <c r="AE315" s="2"/>
      <c r="AF315" s="2"/>
      <c r="AG315" s="2"/>
      <c r="AH315" s="2"/>
      <c r="AI315" s="2"/>
    </row>
    <row r="316" spans="22:35" ht="12.75" customHeight="1">
      <c r="V316" s="2"/>
      <c r="W316" s="2"/>
      <c r="X316" s="2"/>
      <c r="Y316" s="2"/>
      <c r="AE316" s="2"/>
      <c r="AF316" s="2"/>
      <c r="AG316" s="2"/>
      <c r="AH316" s="2"/>
      <c r="AI316" s="2"/>
    </row>
    <row r="317" spans="22:35" ht="12.75" customHeight="1">
      <c r="V317" s="2"/>
      <c r="W317" s="2"/>
      <c r="X317" s="2"/>
      <c r="Y317" s="2"/>
      <c r="AE317" s="2"/>
      <c r="AF317" s="2"/>
      <c r="AG317" s="2"/>
      <c r="AH317" s="2"/>
      <c r="AI317" s="2"/>
    </row>
    <row r="318" spans="22:35" ht="12.75" customHeight="1">
      <c r="V318" s="2"/>
      <c r="W318" s="2"/>
      <c r="X318" s="2"/>
      <c r="Y318" s="2"/>
      <c r="AE318" s="2"/>
      <c r="AF318" s="2"/>
      <c r="AG318" s="2"/>
      <c r="AH318" s="2"/>
      <c r="AI318" s="2"/>
    </row>
    <row r="319" spans="22:35" ht="12.75" customHeight="1">
      <c r="V319" s="2"/>
      <c r="W319" s="2"/>
      <c r="X319" s="2"/>
      <c r="Y319" s="2"/>
      <c r="AE319" s="2"/>
      <c r="AF319" s="2"/>
      <c r="AG319" s="2"/>
      <c r="AH319" s="2"/>
      <c r="AI319" s="2"/>
    </row>
    <row r="320" spans="22:35" ht="12.75" customHeight="1">
      <c r="V320" s="2"/>
      <c r="W320" s="2"/>
      <c r="X320" s="2"/>
      <c r="Y320" s="2"/>
      <c r="AE320" s="2"/>
      <c r="AF320" s="2"/>
      <c r="AG320" s="2"/>
      <c r="AH320" s="2"/>
      <c r="AI320" s="2"/>
    </row>
    <row r="321" spans="22:35" ht="12.75" customHeight="1">
      <c r="V321" s="2"/>
      <c r="W321" s="2"/>
      <c r="X321" s="2"/>
      <c r="Y321" s="2"/>
      <c r="AE321" s="2"/>
      <c r="AF321" s="2"/>
      <c r="AG321" s="2"/>
      <c r="AH321" s="2"/>
      <c r="AI321" s="2"/>
    </row>
    <row r="322" spans="22:35" ht="12.75" customHeight="1">
      <c r="V322" s="2"/>
      <c r="W322" s="2"/>
      <c r="X322" s="2"/>
      <c r="Y322" s="2"/>
      <c r="AE322" s="2"/>
      <c r="AF322" s="2"/>
      <c r="AG322" s="2"/>
      <c r="AH322" s="2"/>
      <c r="AI322" s="2"/>
    </row>
    <row r="323" spans="22:35" ht="12.75" customHeight="1">
      <c r="V323" s="2"/>
      <c r="W323" s="2"/>
      <c r="X323" s="2"/>
      <c r="Y323" s="2"/>
      <c r="AE323" s="2"/>
      <c r="AF323" s="2"/>
      <c r="AG323" s="2"/>
      <c r="AH323" s="2"/>
      <c r="AI323" s="2"/>
    </row>
    <row r="324" spans="22:35" ht="12.75" customHeight="1">
      <c r="V324" s="2"/>
      <c r="W324" s="2"/>
      <c r="X324" s="2"/>
      <c r="Y324" s="2"/>
      <c r="AE324" s="2"/>
      <c r="AF324" s="2"/>
      <c r="AG324" s="2"/>
      <c r="AH324" s="2"/>
      <c r="AI324" s="2"/>
    </row>
    <row r="325" spans="22:35" ht="12.75" customHeight="1">
      <c r="V325" s="2"/>
      <c r="W325" s="2"/>
      <c r="X325" s="2"/>
      <c r="Y325" s="2"/>
      <c r="AE325" s="2"/>
      <c r="AF325" s="2"/>
      <c r="AG325" s="2"/>
      <c r="AH325" s="2"/>
      <c r="AI325" s="2"/>
    </row>
    <row r="326" spans="22:35" ht="12.75" customHeight="1">
      <c r="V326" s="2"/>
      <c r="W326" s="2"/>
      <c r="X326" s="2"/>
      <c r="Y326" s="2"/>
      <c r="AE326" s="2"/>
      <c r="AF326" s="2"/>
      <c r="AG326" s="2"/>
      <c r="AH326" s="2"/>
      <c r="AI326" s="2"/>
    </row>
    <row r="327" spans="22:35" ht="12.75" customHeight="1">
      <c r="V327" s="2"/>
      <c r="W327" s="2"/>
      <c r="X327" s="2"/>
      <c r="Y327" s="2"/>
      <c r="AE327" s="2"/>
      <c r="AF327" s="2"/>
      <c r="AG327" s="2"/>
      <c r="AH327" s="2"/>
      <c r="AI327" s="2"/>
    </row>
    <row r="328" spans="22:25" ht="12.75" customHeight="1">
      <c r="V328" s="2"/>
      <c r="W328" s="2"/>
      <c r="X328" s="2"/>
      <c r="Y328" s="2"/>
    </row>
  </sheetData>
  <conditionalFormatting sqref="DS63:DX63 EJ63:EO63 DZ63:EG63 ER63:EX63">
    <cfRule type="cellIs" priority="1" dxfId="0" operator="equal" stopIfTrue="1">
      <formula>"OK"</formula>
    </cfRule>
    <cfRule type="cellIs" priority="2" dxfId="1" operator="equal" stopIfTrue="1">
      <formula>"ERROR"</formula>
    </cfRule>
  </conditionalFormatting>
  <conditionalFormatting sqref="A1:FG1">
    <cfRule type="cellIs" priority="3" dxfId="2" operator="notEqual" stopIfTrue="1">
      <formula>0</formula>
    </cfRule>
  </conditionalFormatting>
  <conditionalFormatting sqref="T30">
    <cfRule type="cellIs" priority="4" dxfId="1" operator="notEqual" stopIfTrue="1">
      <formula>0</formula>
    </cfRule>
  </conditionalFormatting>
  <printOptions horizontalCentered="1"/>
  <pageMargins left="0.5" right="0.5" top="0.5" bottom="0.5" header="0.25" footer="0.25"/>
  <pageSetup fitToHeight="1" fitToWidth="1" horizontalDpi="1200" verticalDpi="1200" orientation="landscape" r:id="rId2"/>
  <colBreaks count="3" manualBreakCount="3">
    <brk id="128" min="1" max="82" man="1"/>
    <brk id="137" min="1" max="82" man="1"/>
    <brk id="154" min="1" max="8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No Name</cp:lastModifiedBy>
  <cp:lastPrinted>2008-09-04T18:09:33Z</cp:lastPrinted>
  <dcterms:created xsi:type="dcterms:W3CDTF">1997-10-13T22:59:17Z</dcterms:created>
  <dcterms:modified xsi:type="dcterms:W3CDTF">2008-09-09T00:03:27Z</dcterms:modified>
  <cp:category>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Response</vt:lpwstr>
  </property>
  <property fmtid="{D5CDD505-2E9C-101B-9397-08002B2CF9AE}" pid="3" name="IsHighlyConfidential">
    <vt:lpwstr>0</vt:lpwstr>
  </property>
  <property fmtid="{D5CDD505-2E9C-101B-9397-08002B2CF9AE}" pid="4" name="DocketNumber">
    <vt:lpwstr>072300</vt:lpwstr>
  </property>
  <property fmtid="{D5CDD505-2E9C-101B-9397-08002B2CF9AE}" pid="5" name="IsConfidential">
    <vt:lpwstr>0</vt:lpwstr>
  </property>
  <property fmtid="{D5CDD505-2E9C-101B-9397-08002B2CF9AE}" pid="6" name="Date1">
    <vt:lpwstr>2008-09-09T00:00:00Z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2007-12-03T00:00:00Z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