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61" windowWidth="15480" windowHeight="7695" tabRatio="746" activeTab="0"/>
  </bookViews>
  <sheets>
    <sheet name="Att 2 + Adj pages" sheetId="1" r:id="rId1"/>
  </sheets>
  <externalReferences>
    <externalReference r:id="rId4"/>
  </externalReferences>
  <definedNames>
    <definedName name="_D_01_RateIncrease">'Att 2 + Adj pages'!$FY$44:$GC$68</definedName>
    <definedName name="_D_02_COC">'Att 2 + Adj pages'!$FY$23:$GC$43</definedName>
    <definedName name="_D_03_ConvFctr">'Att 2 + Adj pages'!$FY$2:$GC$22</definedName>
    <definedName name="_FEDERAL_INCOME_TAX">'Att 2 + Adj pages'!$DM$25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dj01">'Att 2 + Adj pages'!$A$2:$G$52</definedName>
    <definedName name="Adj02">'Att 2 + Adj pages'!$H$2:$L$54</definedName>
    <definedName name="Adj03">'Att 2 + Adj pages'!$M$2:$Q$41</definedName>
    <definedName name="Adj04">'Att 2 + Adj pages'!$R$2:$U$33</definedName>
    <definedName name="Adj05">'Att 2 + Adj pages'!$V$2:$Y$35</definedName>
    <definedName name="Adj06">'Att 2 + Adj pages'!$Z$2:$AD$42</definedName>
    <definedName name="Adj07">'Att 2 + Adj pages'!$AE$2:$AI$28</definedName>
    <definedName name="Adj08">'Att 2 + Adj pages'!$AJ$2:$AN$31</definedName>
    <definedName name="Adj09">'Att 2 + Adj pages'!$AO$2:$AS$29</definedName>
    <definedName name="Adj10">'Att 2 + Adj pages'!$AT$2:$AX$35</definedName>
    <definedName name="Adj11">'Att 2 + Adj pages'!$AY$2:$BC$26</definedName>
    <definedName name="Adj12">'Att 2 + Adj pages'!$BD$2:$BI$41</definedName>
    <definedName name="Adj13">'Att 2 + Adj pages'!$BJ$2:$BQ$28</definedName>
    <definedName name="Adj14">'Att 2 + Adj pages'!$BR$2:$BV$50</definedName>
    <definedName name="Adj15">'Att 2 + Adj pages'!$BW$2:$CB$20</definedName>
    <definedName name="Adj16">'Att 2 + Adj pages'!$CC$2:$CF$25</definedName>
    <definedName name="Adj17">'Att 2 + Adj pages'!$CG$2:$CK$21</definedName>
    <definedName name="Adj18">'Att 2 + Adj pages'!$CL$2:$CP$22</definedName>
    <definedName name="Adj19">'Att 2 + Adj pages'!$CQ$2:$CT$16</definedName>
    <definedName name="Adj20">'Att 2 + Adj pages'!$CU$2:$CY$22</definedName>
    <definedName name="Adj21">'Att 2 + Adj pages'!$CZ$2:$DC$47</definedName>
    <definedName name="Adj22">'Att 2 + Adj pages'!$DD$2:$DF$26</definedName>
    <definedName name="Adj23">'Att 2 + Adj pages'!$DG$2:$DK$21</definedName>
    <definedName name="Adj24">'Att 2 + Adj pages'!$DL$2:$DP$21</definedName>
    <definedName name="Adj25">'Att 2 + Adj pages'!$DQ$2:$DU$30</definedName>
    <definedName name="Adj26">'Att 2 + Adj pages'!$DV$2:$DZ$36</definedName>
    <definedName name="Adj27">'Att 2 + Adj pages'!$EA$2:$EE$25</definedName>
    <definedName name="Adj28">'Att 2 + Adj pages'!$EF$2:$EJ$31</definedName>
    <definedName name="Adj29">'Att 2 + Adj pages'!$EK$2:$EN$30</definedName>
    <definedName name="Adj30">'Att 2 + Adj pages'!$EO$2:$ES$30</definedName>
    <definedName name="Adj31">'Att 2 + Adj pages'!$ET$2:$EY$55</definedName>
    <definedName name="Adj32">'Att 2 + Adj pages'!$EZ$2:$FD$43</definedName>
    <definedName name="Adj33">'Att 2 + Adj pages'!$FE$2:$FI$43</definedName>
    <definedName name="Adj34">'Att 2 + Adj pages'!$FJ$2:$FN$31</definedName>
    <definedName name="Adj35">'Att 2 + Adj pages'!$FO$2:$FS$81</definedName>
    <definedName name="Adj36">'Att 2 + Adj pages'!$FT$2:$FX$28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FIT">'Att 2 + Adj pages'!$GB$20</definedName>
    <definedName name="_xlnm.Print_Area" localSheetId="0">'Att 2 + Adj pages'!$HL$2:$HX$63</definedName>
    <definedName name="Summary">'Att 2 + Adj pages'!$HY$2:$IE$62</definedName>
    <definedName name="TESTYEAR">'Att 2 + Adj pages'!$A$7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Z_067119CC_1C61_43DB_B4BB_54397DC63A91_.wvu.PrintArea" localSheetId="0" hidden="1">'Att 2 + Adj pages'!$A$2:$G$65</definedName>
    <definedName name="Z_14262664_129C_4E9B_8245_4B43AF19E33A_.wvu.PrintArea" localSheetId="0" hidden="1">'Att 2 + Adj pages'!$A$2:$G$65</definedName>
    <definedName name="Z_17768135_68BF_4539_94C0_50ED7816A698_.wvu.PrintArea" localSheetId="0" hidden="1">'Att 2 + Adj pages'!$A$2:$G$65</definedName>
    <definedName name="Z_1E64D771_8C52_4EFE_8F0D_67326F432767_.wvu.PrintArea" localSheetId="0" hidden="1">'Att 2 + Adj pages'!$A$2:$G$65</definedName>
    <definedName name="Z_28C5A156_92F3_4234_9C7A_A32D75F798CC_.wvu.PrintArea" localSheetId="0" hidden="1">'Att 2 + Adj pages'!$A$2:$G$65</definedName>
    <definedName name="Z_2DBDF3D7_BA4D_404D_AE4B_DFD7008C0411_.wvu.PrintArea" localSheetId="0" hidden="1">'Att 2 + Adj pages'!$A$2:$G$65</definedName>
    <definedName name="Z_3797879C_3298_4122_A12D_3DFD0284FBDD_.wvu.PrintArea" localSheetId="0" hidden="1">'Att 2 + Adj pages'!$A$2:$G$65</definedName>
    <definedName name="Z_3834E606_B28A_4696_9192_7BDA898195A1_.wvu.PrintArea" localSheetId="0" hidden="1">'Att 2 + Adj pages'!$A$2:$G$65</definedName>
    <definedName name="Z_3DB8EC99_BD55_4ABF_B71E_F70797B0173C_.wvu.PrintArea" localSheetId="0" hidden="1">'Att 2 + Adj pages'!$A$2:$G$65</definedName>
    <definedName name="Z_40B7FB48_DAE3_4682_852F_AC0650D2BE14_.wvu.PrintArea" localSheetId="0" hidden="1">'Att 2 + Adj pages'!$A$2:$G$65</definedName>
    <definedName name="Z_41713566_6DDC_4C14_8259_D9C15B9E45DD_.wvu.PrintArea" localSheetId="0" hidden="1">'Att 2 + Adj pages'!$A$2:$G$65</definedName>
    <definedName name="Z_423F2953_9177_4482_AE78_C7C47BA8995B_.wvu.PrintArea" localSheetId="0" hidden="1">'Att 2 + Adj pages'!$A$2:$G$65</definedName>
    <definedName name="Z_46E5C546_9AEA_4E06_B017_805B7E255C92_.wvu.PrintArea" localSheetId="0" hidden="1">'Att 2 + Adj pages'!$A$2:$G$65</definedName>
    <definedName name="Z_4840C72E_33E7_45CF_A897_030BC56F6B90_.wvu.PrintArea" localSheetId="0" hidden="1">'Att 2 + Adj pages'!$A$2:$G$65</definedName>
    <definedName name="Z_605C023E_A5C7_400F_9AAA_827B8FDB13A8_.wvu.PrintArea" localSheetId="0" hidden="1">'Att 2 + Adj pages'!$A$2:$G$65</definedName>
    <definedName name="Z_62EE4FB2_B9F8_4C5D_BC5C_181361F6DD86_.wvu.PrintArea" localSheetId="0" hidden="1">'Att 2 + Adj pages'!$A$2:$G$65</definedName>
    <definedName name="Z_813D7A4F_EDF6_49ED_B8FD_B74D0B9276AB_.wvu.PrintArea" localSheetId="0" hidden="1">'Att 2 + Adj pages'!$A$2:$G$65</definedName>
    <definedName name="Z_88A240CE_F5A6_4995_A526_0E22BADCFF6D_.wvu.PrintArea" localSheetId="0" hidden="1">'Att 2 + Adj pages'!$A$2:$G$65</definedName>
    <definedName name="Z_8920654A_B782_40BF_9A51_A43F20A27C02_.wvu.PrintArea" localSheetId="0" hidden="1">'Att 2 + Adj pages'!$A$2:$G$65</definedName>
    <definedName name="Z_8E7EA697_A1C1_4FA5_9CC7_93304413A154_.wvu.PrintArea" localSheetId="0" hidden="1">'Att 2 + Adj pages'!$A$2:$G$65</definedName>
    <definedName name="Z_990691EF_FF43_4000_BCD8_6862D2BAD44A_.wvu.PrintArea" localSheetId="0" hidden="1">'Att 2 + Adj pages'!$A$2:$G$65</definedName>
    <definedName name="Z_A3FBC4C2_6ECB_480C_89DD_35506B048870_.wvu.PrintArea" localSheetId="0" hidden="1">'Att 2 + Adj pages'!$A$2:$G$65</definedName>
    <definedName name="Z_ACABE5FC_E604_45C9_ACB7_53C863CA19F6_.wvu.PrintArea" localSheetId="0" hidden="1">'Att 2 + Adj pages'!$FY$2:$GC$22</definedName>
    <definedName name="Z_BA39091D_C7FC_45D0_82A3_5E4EAAFABA5A_.wvu.PrintArea" localSheetId="0" hidden="1">'Att 2 + Adj pages'!$A$2:$G$65</definedName>
    <definedName name="Z_BBEC464C_25F9_4835_BB05_13062D5DEAC1_.wvu.PrintArea" localSheetId="0" hidden="1">'Att 2 + Adj pages'!$A$2:$G$65</definedName>
    <definedName name="Z_C3CE34FF_D7D7_4ECF_B6E1_4700E3130E94_.wvu.PrintArea" localSheetId="0" hidden="1">'Att 2 + Adj pages'!$A$2:$G$65</definedName>
    <definedName name="Z_CD5012F4_E6A6_495E_BF90_5F6D9EE7AF29_.wvu.PrintArea" localSheetId="0" hidden="1">'Att 2 + Adj pages'!$A$2:$G$65</definedName>
    <definedName name="Z_D034A8AA_A968_4D12_B6AF_09F53E5CD513_.wvu.PrintArea" localSheetId="0" hidden="1">'Att 2 + Adj pages'!$H$2:$L$57</definedName>
    <definedName name="Z_D358E58B_5EA6_4EB2_8562_4D9FEBA8EA54_.wvu.PrintArea" localSheetId="0" hidden="1">'Att 2 + Adj pages'!$FY$23:$GC$43</definedName>
    <definedName name="Z_D564613F_7CF3_40DE_8CDA_0C25C1F35855_.wvu.PrintArea" localSheetId="0" hidden="1">'Att 2 + Adj pages'!$A$2:$G$65</definedName>
    <definedName name="Z_DD70B4E1_CC64_4568_BFD6_83390A7B0268_.wvu.PrintArea" localSheetId="0" hidden="1">'Att 2 + Adj pages'!$A$2:$G$65</definedName>
    <definedName name="Z_DF4E3B04_E442_43A1_A47D_E26F6CE7F11C_.wvu.PrintArea" localSheetId="0" hidden="1">'Att 2 + Adj pages'!$A$2:$G$65</definedName>
    <definedName name="Z_E2C26153_D457_4603_B564_60CFADB5026B_.wvu.PrintArea" localSheetId="0" hidden="1">'Att 2 + Adj pages'!$A$2:$G$65</definedName>
    <definedName name="Z_E98B4028_3602_46AA_8C00_41FD8ABF8836_.wvu.PrintArea" localSheetId="0" hidden="1">'Att 2 + Adj pages'!$A$2:$G$65</definedName>
    <definedName name="Z_EDF3DC03_FBB9_4397_9335_6FA548B9B5CD_.wvu.PrintArea" localSheetId="0" hidden="1">'Att 2 + Adj pages'!$A$2:$G$65</definedName>
    <definedName name="Z_F531E925_9E0B_409C_9EAA_ADCDD51D6BA7_.wvu.PrintArea" localSheetId="0" hidden="1">'Att 2 + Adj pages'!$A$2:$G$65</definedName>
    <definedName name="Z_F985D028_064A_46CA_9D34_E4E9B88A9B3C_.wvu.PrintArea" localSheetId="0" hidden="1">'Att 2 + Adj pages'!$A$2:$G$65</definedName>
    <definedName name="Z_FEFCE477_944B_4DAC_AD75_686CC83D0F0B_.wvu.PrintArea" localSheetId="0" hidden="1">'Att 2 + Adj pages'!$A$2:$G$65</definedName>
  </definedNames>
  <calcPr fullCalcOnLoad="1"/>
</workbook>
</file>

<file path=xl/comments1.xml><?xml version="1.0" encoding="utf-8"?>
<comments xmlns="http://schemas.openxmlformats.org/spreadsheetml/2006/main">
  <authors>
    <author>Kermit the Frog</author>
  </authors>
  <commentList>
    <comment ref="FQ14" authorId="0">
      <text>
        <r>
          <rPr>
            <u val="single"/>
            <sz val="10"/>
            <rFont val="Tahoma"/>
            <family val="2"/>
          </rPr>
          <t>Adj Locations for ensuring proper cell referencing:</t>
        </r>
        <r>
          <rPr>
            <sz val="10"/>
            <rFont val="Tahoma"/>
            <family val="0"/>
          </rPr>
          <t xml:space="preserve">
HR(AC,AD) 
WH(AH, AI) 
GLDL(AM, AN)
Sumas (AR, AS) 
WHrn(AW,AX)
Baker(BB, BC)
Amort of Goldendale Gen. Station Fixed Cost Sales(ES)</t>
        </r>
      </text>
    </comment>
    <comment ref="FQ21" authorId="0">
      <text>
        <r>
          <rPr>
            <sz val="10"/>
            <rFont val="Tahoma"/>
            <family val="0"/>
          </rPr>
          <t>Picked up RY Gldl instead of adjustment b/c no Gldl incl. in base amount on Production Plant Premiums tab.</t>
        </r>
      </text>
    </comment>
    <comment ref="FQ29" authorId="0">
      <text>
        <r>
          <rPr>
            <sz val="10"/>
            <rFont val="Tahoma"/>
            <family val="0"/>
          </rPr>
          <t>Picked up RY Gldl instead of adjustment b/c no Gldl incl. in base amount on Restated TY tab.</t>
        </r>
      </text>
    </comment>
  </commentList>
</comments>
</file>

<file path=xl/sharedStrings.xml><?xml version="1.0" encoding="utf-8"?>
<sst xmlns="http://schemas.openxmlformats.org/spreadsheetml/2006/main" count="1514" uniqueCount="645">
  <si>
    <t>DEFERRAL OF GOLDENDALE FIXED COSTS</t>
  </si>
  <si>
    <t>Schedule 40</t>
  </si>
  <si>
    <t>TOTAL ADJUSTMENT TO O&amp;M ON REGULATORY ASSETS</t>
  </si>
  <si>
    <t>RESTATED EXCISE TAXES</t>
  </si>
  <si>
    <t>INCREASE (DECREASE) EXCISE TAX</t>
  </si>
  <si>
    <t>EXCISE TAX</t>
  </si>
  <si>
    <t>&amp; FILING FEE</t>
  </si>
  <si>
    <t>INCREASE (DECREASE) D&amp;O EXPENSE</t>
  </si>
  <si>
    <t>INCREASE(DECREASE) OPERATING EXPENSE</t>
  </si>
  <si>
    <t>INCREASE (DECREASE) OPERATING EXPENSE</t>
  </si>
  <si>
    <t>OPERATING EXPENSES ( RESTATED)</t>
  </si>
  <si>
    <t xml:space="preserve">ACCUM DEPRECIATION </t>
  </si>
  <si>
    <t>DEFERRED INCOME TAX</t>
  </si>
  <si>
    <t>D&amp;O</t>
  </si>
  <si>
    <t>OPERATING EXPENSE</t>
  </si>
  <si>
    <t>ACCUM AMORTIZATION</t>
  </si>
  <si>
    <t>NET REGULATORY LIABILITY</t>
  </si>
  <si>
    <t>HOPKINS RIDGE INFILL MITIGATION CREDIT</t>
  </si>
  <si>
    <t>ACTUAL O&amp;M:</t>
  </si>
  <si>
    <t>NORMAL STORMS</t>
  </si>
  <si>
    <t>FAS 133</t>
  </si>
  <si>
    <t xml:space="preserve">OPERATIONS </t>
  </si>
  <si>
    <t>TOTAL NORMAL STORMS</t>
  </si>
  <si>
    <t>OTHER INTEREST EXPENSE</t>
  </si>
  <si>
    <t>2006 STORM DAMAGE (EXCL 12/13/06 WIND STORM)</t>
  </si>
  <si>
    <t>LESS:  INTEREST ON CUSTOMER DEPOSITS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</si>
  <si>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</si>
  <si>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</si>
  <si>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</si>
  <si>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</si>
  <si>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</si>
  <si>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EXPENSES</t>
  </si>
  <si>
    <t>INCREASE (DECREASE) TAXES OTHER</t>
  </si>
  <si>
    <t>SIX-YEAR AVERAGE STORM EXPENSE FOR RATE YEAR</t>
  </si>
  <si>
    <t xml:space="preserve">RATE YEAR MANAGEMENT WAGE INCREASE </t>
  </si>
  <si>
    <t>INCREASE (DECREASE) IN EXPENSE</t>
  </si>
  <si>
    <t xml:space="preserve">TRANS. EXP. INCL. 500KV O&amp;M </t>
  </si>
  <si>
    <t>INCREASE (DECREASE) FIT @</t>
  </si>
  <si>
    <t>UNCOLLECTIBLES CHARGED TO EXPENSE IN TEST YEAR</t>
  </si>
  <si>
    <t>INCREASE(DECREASE) NOI</t>
  </si>
  <si>
    <t>DEFERRED FIT - DEBIT</t>
  </si>
  <si>
    <t>INCREASE (DECREASE) INCOME</t>
  </si>
  <si>
    <t>MONTANA APPORTIONMENT FACTOR</t>
  </si>
  <si>
    <t>DEFERRED FIT - CREDIT</t>
  </si>
  <si>
    <t>INCREASE(DECREASE) WUTC FILING FEE</t>
  </si>
  <si>
    <t>TRANSMISSION</t>
  </si>
  <si>
    <t>MONTANA TAXABLE INCOME</t>
  </si>
  <si>
    <t>INCREASE (DECREASE) FIT</t>
  </si>
  <si>
    <t>SUM OF TAXES OTHER</t>
  </si>
  <si>
    <t>SALES FOR RESALE</t>
  </si>
  <si>
    <t>DEFERRED FIT - INV TAX CREDIT, NET OF AMORT.</t>
  </si>
  <si>
    <t xml:space="preserve">INCREASE (DECREASE) FIT @ </t>
  </si>
  <si>
    <t>INTEREST EXPENSE ITEMS PER BOOKS:</t>
  </si>
  <si>
    <t>DISTRIBUTION</t>
  </si>
  <si>
    <t>REMAINING 2001 GRC DEFERRALS TO BE AMORTIZED @11/01/08</t>
  </si>
  <si>
    <t>IMMATERIAL</t>
  </si>
  <si>
    <t>REMAINING 2004 GRC DEFERRALS TO BE AMORTIZED @11/01/08</t>
  </si>
  <si>
    <t>INCREASE (DECREASE) EXPENSE</t>
  </si>
  <si>
    <t>INCREASE(DECREASE) FIT</t>
  </si>
  <si>
    <t>TOTAL RESTATED FIT</t>
  </si>
  <si>
    <t>INTEREST ON LONG TERM DEBT</t>
  </si>
  <si>
    <t>CUSTOMER ACCTS</t>
  </si>
  <si>
    <t>SALARIED EMPLOYEES</t>
  </si>
  <si>
    <t>PROFORMA MONTANA CORP. LIC. TAX</t>
  </si>
  <si>
    <t>AMORTIZATION OF DEBT DISCOUNT</t>
  </si>
  <si>
    <t>CUSTOMER SERVICE</t>
  </si>
  <si>
    <t>UNION EMPLOYEES</t>
  </si>
  <si>
    <t>AMORT OF DEFERRED TAXES OF INDIRECT OVERHEADS</t>
  </si>
  <si>
    <t xml:space="preserve">      REGULATORY ASSET (WUTC DOC # UE-051527)</t>
  </si>
  <si>
    <t xml:space="preserve">AMORT OF INTEREST ASSOCIATED WITH DEFERRAL OF UNRECOVERED </t>
  </si>
  <si>
    <t xml:space="preserve">      RESIDENTIAL EXCHANGE BENEFITS CREDITED TO CUSTOMERS ( WUTC </t>
  </si>
  <si>
    <t xml:space="preserve">      DOC # UE-071024)</t>
  </si>
  <si>
    <t xml:space="preserve">SUMMIT BUILDING CONTRACTUAL RENT INCREASES </t>
  </si>
  <si>
    <t>DEFERRED BALANCES FOR 4 YEAR AMORTIZATION AT</t>
  </si>
  <si>
    <t xml:space="preserve">AMORTIZATION OF SUMMIT BUYOUT PURCHASE OPTION </t>
  </si>
  <si>
    <t xml:space="preserve"> PROPERTY TAXES - WASHINGTON</t>
  </si>
  <si>
    <t>CHARGED TO EXPENSE IN TEST YEAR</t>
  </si>
  <si>
    <t>FIT PER BOOKS:</t>
  </si>
  <si>
    <t xml:space="preserve">    AND EXPENSE, NET OF PREMIUMS</t>
  </si>
  <si>
    <t>ADMIN. &amp; GENERAL</t>
  </si>
  <si>
    <t>PRO FORMA INSURANCE COSTS</t>
  </si>
  <si>
    <t xml:space="preserve"> PROPERTY TAXES - MONTANA</t>
  </si>
  <si>
    <t>CATASTROPHIC STORMS</t>
  </si>
  <si>
    <t>TOTAL WAGE INCREASE</t>
  </si>
  <si>
    <t xml:space="preserve"> ELECTRIC ENERGY TAX</t>
  </si>
  <si>
    <t>APPLICABLE TO OPERATIONS @</t>
  </si>
  <si>
    <t xml:space="preserve"> PAYROLL TAXES</t>
  </si>
  <si>
    <t>PURCHASED AND INTERCHANGED</t>
  </si>
  <si>
    <t>TOTAL TAXES OTHER</t>
  </si>
  <si>
    <t>TOTAL CHARGED TO EXPENSE</t>
  </si>
  <si>
    <t xml:space="preserve">INCREASE(DECREASE) FIT </t>
  </si>
  <si>
    <t>OTHER POWER SUPPLY EXPENSES</t>
  </si>
  <si>
    <t>INCREASE(DECREASE) DEFERRED FIT</t>
  </si>
  <si>
    <t xml:space="preserve">INCREASE(DECREASE) NOI </t>
  </si>
  <si>
    <t>RATE BASE:</t>
  </si>
  <si>
    <t>COST OF</t>
  </si>
  <si>
    <t>CAPITAL %</t>
  </si>
  <si>
    <t>CABOT BUYOUT</t>
  </si>
  <si>
    <t>TOTAL REGULATORY ASSETS/LIABS RATEBASE</t>
  </si>
  <si>
    <t>REGULATORY ASSETS/LIABS AMORTIZATION EXPENSE</t>
  </si>
  <si>
    <t>TOTAL DEFERRED NET (GAIN) LOSS TO AMORTIZE</t>
  </si>
  <si>
    <t>AMORTIZATION OF DEFERRED NET (GAIN) LOSS FOR RATE YEAR (Line 3/3years)</t>
  </si>
  <si>
    <t>ADD:  INCREASE TO PRE-TAX INCOME FROM TAX BENEFIT OF</t>
  </si>
  <si>
    <t>ESTIMATED FEDERAL CURRENT COMBINED TAXABLE</t>
  </si>
  <si>
    <t>AMORTIZATION OF DEFERRED NET (GAIN) LOSS FOR TEST YEAR</t>
  </si>
  <si>
    <t>COST %</t>
  </si>
  <si>
    <t>CAPITAL</t>
  </si>
  <si>
    <t>CUSTOMER ACCOUNT EXPENSES</t>
  </si>
  <si>
    <t>INCREASE (DECREASE) FIT @ 35%</t>
  </si>
  <si>
    <t>DEBT</t>
  </si>
  <si>
    <t>PREFERRED</t>
  </si>
  <si>
    <t>EQUITY</t>
  </si>
  <si>
    <t>NET PRODUCTION PROPERTY</t>
  </si>
  <si>
    <t>INCREASE (DECREASE) SALES TO CUSTOMERS</t>
  </si>
  <si>
    <t>DEDUCT:</t>
  </si>
  <si>
    <t>UNCOLLECTIBLES @</t>
  </si>
  <si>
    <t>ANNUAL FILING FEE @</t>
  </si>
  <si>
    <t>STATE UTILITY TAX @</t>
  </si>
  <si>
    <t>ADDITIONAL DEFERRED CREDITS</t>
  </si>
  <si>
    <t>GENERAL RATE INCREASE</t>
  </si>
  <si>
    <t>RATEBASE</t>
  </si>
  <si>
    <t>QUALIFIED RETIREMENT FUND</t>
  </si>
  <si>
    <t>OPERATING INCOME REQUIREMENT</t>
  </si>
  <si>
    <t>PRO FORMA OPERATING INCOME</t>
  </si>
  <si>
    <t>OPERATING REVENUES:</t>
  </si>
  <si>
    <t>POWER COST ASSOCIATED WITH HOPKINS RIDGE INFILL</t>
  </si>
  <si>
    <t>HOPKINS RIDGE INFILL OPERATING EXPENSE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</si>
  <si>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</si>
  <si>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</si>
  <si>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</si>
  <si>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</si>
  <si>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</si>
  <si>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</si>
  <si>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</si>
  <si>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</si>
  <si>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</si>
  <si>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</si>
  <si>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</si>
  <si>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</si>
  <si>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</si>
  <si>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</si>
  <si>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12/4/03 WINDSTORM</t>
  </si>
  <si>
    <t>2007 STORM DAMAGE</t>
  </si>
  <si>
    <t>12/13/06 WIND STORM</t>
  </si>
  <si>
    <t>START OF RATE YEAR (11/1/08):</t>
  </si>
  <si>
    <t>TOTAL RATE YEAR AMORTIZATION</t>
  </si>
  <si>
    <t xml:space="preserve">ADJUSTMENT TO MOVE LEGAL COSTS ASSOCIATED WITH THE SALES OF </t>
  </si>
  <si>
    <t>COST OF WIRE ZONE VEGETATION MANAGEMENT PROGRAM</t>
  </si>
  <si>
    <t>REMOVE GEORGIA PACIFIC STEAM SALES</t>
  </si>
  <si>
    <t>INCREASE IN SERVICE CONTRACT BASELINE CHARGES TSM</t>
  </si>
  <si>
    <t>INCREASE IN SERVICE CONTRACT BASELINE CHARGES DST</t>
  </si>
  <si>
    <t>ADJUSTMENT FOR ONE-TIME FAS 106 CURTAILMENT GAIN</t>
  </si>
  <si>
    <r>
      <t>DEFERRED GAIN RECORDED SINCE UE-060266,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10/31/2008</t>
    </r>
  </si>
  <si>
    <r>
      <t>DEFERRED LOSS RECORDED SINCE UE-060266,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10/31/2008</t>
    </r>
  </si>
  <si>
    <t>INCREASE (DECREASE) EXPENSE  (Line 5 - Line 7)</t>
  </si>
  <si>
    <t>INCREASE (DECREASE) OPERATING EXPENSE (LINE 26 + LINE 32 - LINE 34)</t>
  </si>
  <si>
    <t>TOTAL INCREASE (DECREASE) OPERATING EXPENSE (LINE 16 + LINE 36)</t>
  </si>
  <si>
    <t>INCREASE (DECREASE) FIT @ 35% (LINE 38 X 35%)</t>
  </si>
  <si>
    <t>CUSTOMER ACCTS EXPENSES</t>
  </si>
  <si>
    <t>CUSTOMER SERVICE EXPENSES</t>
  </si>
  <si>
    <t>REMOVE REVENUE ASSOCIATED WITH RIDERS:</t>
  </si>
  <si>
    <t>TOTAL (INCREASE) DECREASE IN REVENUES</t>
  </si>
  <si>
    <t>BILLING DISCOUNTS</t>
  </si>
  <si>
    <t>DECREASE REVENUE SENSITIVE ITEMS FOR DECREASE IN REVENUES:</t>
  </si>
  <si>
    <t>REMOVE EXPENSES ASSOCIATED WITH RIDERS</t>
  </si>
  <si>
    <t>INCREASE (DECREASE) OPERATING INCOME BEFORE FIT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</si>
  <si>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</si>
  <si>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</si>
  <si>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</si>
  <si>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</si>
  <si>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</si>
  <si>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</si>
  <si>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</si>
  <si>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</si>
  <si>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</si>
  <si>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</si>
  <si>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Summary</t>
  </si>
  <si>
    <t>POWER COSTS</t>
  </si>
  <si>
    <t>BAD DEBTS</t>
  </si>
  <si>
    <t>RESTATED PROPERTY TAX</t>
  </si>
  <si>
    <t>MONTANA ELECTRIC ENERGY TAX</t>
  </si>
  <si>
    <t>TOTAL OPERATING EXPENSES</t>
  </si>
  <si>
    <t>INVESTMENT PLAN</t>
  </si>
  <si>
    <t>PRODUCTION ADJUSTMENT</t>
  </si>
  <si>
    <t>MONTANA CORPORATE LICENSE TAX</t>
  </si>
  <si>
    <t>STORM DAMAGE</t>
  </si>
  <si>
    <t>CONVERSION FACTOR</t>
  </si>
  <si>
    <t>RESULTS OF OPERATIONS</t>
  </si>
  <si>
    <t>PERCENT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</si>
  <si>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</si>
  <si>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</si>
  <si>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</si>
  <si>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</si>
  <si>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</si>
  <si>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</si>
  <si>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</si>
  <si>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</si>
  <si>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ACTUAL RESULTS OF</t>
  </si>
  <si>
    <t>POWER</t>
  </si>
  <si>
    <t>FEDERAL</t>
  </si>
  <si>
    <t>BAD</t>
  </si>
  <si>
    <t>MISCELLANEOUS</t>
  </si>
  <si>
    <t>PROPERTY</t>
  </si>
  <si>
    <t xml:space="preserve">INTEREST ON </t>
  </si>
  <si>
    <t>MONTANA</t>
  </si>
  <si>
    <t>SUBTOTAL</t>
  </si>
  <si>
    <t>EMPLOYEE</t>
  </si>
  <si>
    <t>INVESTMENT</t>
  </si>
  <si>
    <t>PRODUCTION</t>
  </si>
  <si>
    <t>PROFORMA</t>
  </si>
  <si>
    <t>MONTANA CORP</t>
  </si>
  <si>
    <t>STORM</t>
  </si>
  <si>
    <t>RATE CASE</t>
  </si>
  <si>
    <t>ACTUAL</t>
  </si>
  <si>
    <t xml:space="preserve">ACTUAL RESULTS 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</si>
  <si>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</si>
  <si>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</si>
  <si>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</si>
  <si>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</si>
  <si>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</si>
  <si>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</si>
  <si>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</si>
  <si>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</si>
  <si>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</si>
  <si>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</si>
  <si>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</si>
  <si>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</si>
  <si>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WASHINGTON</t>
  </si>
  <si>
    <t>TOTAL</t>
  </si>
  <si>
    <t>RATE YEAR</t>
  </si>
  <si>
    <t>COSTS</t>
  </si>
  <si>
    <t>INCOME TAX</t>
  </si>
  <si>
    <t>INSURANCE</t>
  </si>
  <si>
    <t>DEBTS</t>
  </si>
  <si>
    <t>AMORTIZATION</t>
  </si>
  <si>
    <t>TAXES</t>
  </si>
  <si>
    <t>CUST DEPOSITS</t>
  </si>
  <si>
    <t>ENERGY TAX</t>
  </si>
  <si>
    <t>SALES</t>
  </si>
  <si>
    <t>PLAN</t>
  </si>
  <si>
    <t>LICENSE TAX</t>
  </si>
  <si>
    <t>DAMAGE</t>
  </si>
  <si>
    <t>EXPENSES</t>
  </si>
  <si>
    <t>RESULTS OF</t>
  </si>
  <si>
    <t>OPERATIONS</t>
  </si>
  <si>
    <t>RATE</t>
  </si>
  <si>
    <t>1</t>
  </si>
  <si>
    <t>INTEREST EXPENSE FOR TEST YEAR</t>
  </si>
  <si>
    <t>D &amp; O INS. CHG  EXPENSE</t>
  </si>
  <si>
    <t>-</t>
  </si>
  <si>
    <t>TEMP ADJ</t>
  </si>
  <si>
    <t>MWH</t>
  </si>
  <si>
    <t>ADJ FOR LOSSES</t>
  </si>
  <si>
    <t>FUEL</t>
  </si>
  <si>
    <t>CHARGED TO EXPENSE IN TY</t>
  </si>
  <si>
    <t>CHARGED TO EXPENSE FOR TEST YEAR</t>
  </si>
  <si>
    <t>TAX RATE</t>
  </si>
  <si>
    <t>OPERATING REVENUES</t>
  </si>
  <si>
    <t>GPI MWH</t>
  </si>
  <si>
    <t>CHANGE</t>
  </si>
  <si>
    <t>PROFORMA BAD DEBT RATE</t>
  </si>
  <si>
    <t>RATE BASE</t>
  </si>
  <si>
    <t>PAYROLL OVERHEADS</t>
  </si>
  <si>
    <t>ANNUAL FILING FEE</t>
  </si>
  <si>
    <t>WHEELING</t>
  </si>
  <si>
    <t>INCREASE (DECREASE) NOI</t>
  </si>
  <si>
    <t>PROFORMA BAD DEBTS</t>
  </si>
  <si>
    <t>PAYROLL TAXES ASSOC WITH MERIT PAY</t>
  </si>
  <si>
    <t>ADD GRC INCREASE DOCKET 060266</t>
  </si>
  <si>
    <t>ADD PCORC INCREASE DOCKET 070565</t>
  </si>
  <si>
    <t>RESTATING ADJUSTMENTS SALES TO CUSTOMERS</t>
  </si>
  <si>
    <t>PROFORMA ADJUSTMENTS SALES TO CUSTOMERS</t>
  </si>
  <si>
    <t>SALES FOR RESALE - SMALL FIRM</t>
  </si>
  <si>
    <t>MISCELLANEOUS RESTATING ADJUSTMENT</t>
  </si>
  <si>
    <t>MISCELLANEOUS PROFORMA ADJUSTMENTS</t>
  </si>
  <si>
    <t>TOTAL INCREASE (DECREASE) SALES FOR RESALE - SMALL FIRM</t>
  </si>
  <si>
    <t>OF OPERATION</t>
  </si>
  <si>
    <t>RATE DISALLOWANCES FOR MARCH POINT 2 AND TENASKA</t>
  </si>
  <si>
    <t>TENASKA FLOW THRU</t>
  </si>
  <si>
    <t>TOTAL REGULATORY AMORT</t>
  </si>
  <si>
    <t>SUBTOTAL INCREASE (DECREASE) NOI</t>
  </si>
  <si>
    <t>CURRENTLY PAYABLE</t>
  </si>
  <si>
    <t>RESTATED ENERGY TAX</t>
  </si>
  <si>
    <t>PROPERTY INSURANCE</t>
  </si>
  <si>
    <t>INCOME SUBJECT TO APPORTIONMENT</t>
  </si>
  <si>
    <t xml:space="preserve">  STORM DAMAGE EXPENSE (LINE 8)</t>
  </si>
  <si>
    <t>OREGON</t>
  </si>
  <si>
    <t>TOTAL ADJUSTMENT TO RATEBASE</t>
  </si>
  <si>
    <t>STATEMENT OF OPERATING INCOME AND ADJUSTMENTS</t>
  </si>
  <si>
    <t>BENEFIT CONTRIBUTION:</t>
  </si>
  <si>
    <t>WAGES:</t>
  </si>
  <si>
    <t>TOTAL WAGES &amp; TAXES</t>
  </si>
  <si>
    <t xml:space="preserve"> RESIDENTIAL EXCHANGE</t>
  </si>
  <si>
    <t>TOTAL COMPANY CONTRIBUTION FOR MANAGEMENT</t>
  </si>
  <si>
    <t>INVESTMENT PLAN APPLICABLE TO MANAGEMENT</t>
  </si>
  <si>
    <t>PRO FORMA COSTS APPLICABLE TO OPERATIONS</t>
  </si>
  <si>
    <t>REVENUE</t>
  </si>
  <si>
    <t>TEMPERATURE NORMALIZATION ADJUSTMENT:</t>
  </si>
  <si>
    <t>PROFORMA INTEREST</t>
  </si>
  <si>
    <t>CWIP "IN SERVICE" BUT NOT TRANSFERRED TO PLANT</t>
  </si>
  <si>
    <t>PRO FORMA</t>
  </si>
  <si>
    <t>FIT</t>
  </si>
  <si>
    <t>PURCHASES/SALES OF NON-CORE GAS</t>
  </si>
  <si>
    <t>WHEELING FOR OTHERS</t>
  </si>
  <si>
    <t>REGULATORY ASSETS AND LIABILITIES</t>
  </si>
  <si>
    <t>PLANT BALANCE</t>
  </si>
  <si>
    <t>DEPRECIATION EXPENSE</t>
  </si>
  <si>
    <t>WHITE RIVER RELICENSING &amp; CWIP</t>
  </si>
  <si>
    <t>CANWEST</t>
  </si>
  <si>
    <t>AMA OF REGULATORY ASSET/LIABILITY NET OF ACCUM AMORT AND DFIT</t>
  </si>
  <si>
    <t>ADJUSTMENT TO OPERATING EXPENSES</t>
  </si>
  <si>
    <t>403 DEPRECIATION EXPENSE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</si>
  <si>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</si>
  <si>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</si>
  <si>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</si>
  <si>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</si>
  <si>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</si>
  <si>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</si>
  <si>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4111 ACCRETION EXP. - FAS 143 (RECOVERED IN RATES)</t>
  </si>
  <si>
    <t>4111 ACCRETION EXP. - FAS 143 (NOT RECOVERED IN RATES)</t>
  </si>
  <si>
    <t>SUBTOTAL ACCRETION EXPENSE 411.1</t>
  </si>
  <si>
    <t>FLEET DEPR. EXP. ON INC STMNT NOT RECORDED IN 403</t>
  </si>
  <si>
    <t>ADJUSTMENT TO RATE BASE</t>
  </si>
  <si>
    <t>ADJUSTMENTS</t>
  </si>
  <si>
    <t>OPERATING INCOME DEFICIENCY</t>
  </si>
  <si>
    <t>REVENUE REQUIREMENT DEFICIENCY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</si>
  <si>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</si>
  <si>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</si>
  <si>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</si>
  <si>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</si>
  <si>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</si>
  <si>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ADJUSTED</t>
  </si>
  <si>
    <t>REQUIREMENT</t>
  </si>
  <si>
    <t>AFTER</t>
  </si>
  <si>
    <t>PUGET SOUND ENERGY-ELECTRIC</t>
  </si>
  <si>
    <t>GROSS UTILITY PLANT IN SERVICE</t>
  </si>
  <si>
    <t>ACCUM DEPR AND AMORT</t>
  </si>
  <si>
    <t>DEFERRED INCOME TAX LIABILITY</t>
  </si>
  <si>
    <t>DEFERRED INCOME TAX ASSET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</si>
  <si>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</si>
  <si>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</si>
  <si>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</si>
  <si>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</si>
  <si>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</si>
  <si>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</si>
  <si>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FAS 133 OPERATING EXPENSE</t>
  </si>
  <si>
    <t>TOTAL PRODUCTION WAGE INCREASE</t>
  </si>
  <si>
    <t>DEDUCTIBLE CWIP</t>
  </si>
  <si>
    <t>NET RATE BASE</t>
  </si>
  <si>
    <t>BAD DEBT</t>
  </si>
  <si>
    <t>FILING FEE</t>
  </si>
  <si>
    <t>OPEERATING EXPENSES</t>
  </si>
  <si>
    <t>TOTAL OPERAITNG EXPENSES</t>
  </si>
  <si>
    <t xml:space="preserve">BILLING </t>
  </si>
  <si>
    <t>DISCOUNTS</t>
  </si>
  <si>
    <t>INCREASE(DECREASE) INCOME</t>
  </si>
  <si>
    <t>FEDERAL INCOME TAX</t>
  </si>
  <si>
    <t>TAX BENEFIT OF PRO FORMA INTEREST</t>
  </si>
  <si>
    <t>D&amp;O INSURANCE</t>
  </si>
  <si>
    <t>MISCELLANEOUS OPERATING EXPENSE</t>
  </si>
  <si>
    <t>PROPERTY TAXES</t>
  </si>
  <si>
    <t>INTEREST ON CUSTOMER DEPOSITS</t>
  </si>
  <si>
    <t>SFAS 133</t>
  </si>
  <si>
    <t>PROPERTY SALES</t>
  </si>
  <si>
    <t>WAGE INCREASE</t>
  </si>
  <si>
    <t>EMPLOYEE INSURANCE</t>
  </si>
  <si>
    <t>RATE CASE EXPENSES</t>
  </si>
  <si>
    <t>PROPERTY &amp; LIABILITY INSURANCE</t>
  </si>
  <si>
    <t>WAGE</t>
  </si>
  <si>
    <t>RESTATING AND PRO FORMA ADJUSTMENTS</t>
  </si>
  <si>
    <t>PENSION</t>
  </si>
  <si>
    <t>PENSION PLAN</t>
  </si>
  <si>
    <t>MANAGEMENT (INC. EXECUTIVES)</t>
  </si>
  <si>
    <t>3-Yr Average of Net Write Off Rate</t>
  </si>
  <si>
    <t>Test Period Revenues</t>
  </si>
  <si>
    <t>TOTAL AFTER TAX COST OF CAPITAL</t>
  </si>
  <si>
    <t>TEMPERATURE NORMALIZATION</t>
  </si>
  <si>
    <t>TEMPERATURE</t>
  </si>
  <si>
    <t xml:space="preserve">INCREASE (DECREASE) DEFERRED FIT @ 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</si>
  <si>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</si>
  <si>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</si>
  <si>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</si>
  <si>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</si>
  <si>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</si>
  <si>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</si>
  <si>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</si>
  <si>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</si>
  <si>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PROFORMA COSTS (LN 4 + LN 9 + 14)</t>
  </si>
  <si>
    <t>AMORTIZATION (OTHER THAN REGULATORY ASSETS/LIAB)</t>
  </si>
  <si>
    <t>LIBR. DEPREC. PRE 1981 (AMA)</t>
  </si>
  <si>
    <t>LIBR. DEPREC. POST 1980 (AMA)</t>
  </si>
  <si>
    <t>OTHER DEF. TAXES (AMA)</t>
  </si>
  <si>
    <t>NORMALIZATION</t>
  </si>
  <si>
    <t>RESTATING ADJUSTMENTS:</t>
  </si>
  <si>
    <t>Rate Increase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</si>
  <si>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</si>
  <si>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</si>
  <si>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</si>
  <si>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</si>
  <si>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</si>
  <si>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</si>
  <si>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</si>
  <si>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35</t>
  </si>
  <si>
    <t>Schedule 43</t>
  </si>
  <si>
    <t>Firm Resale</t>
  </si>
  <si>
    <t>AFTER TAX DEBT ( LINE 1 * 65%)</t>
  </si>
  <si>
    <t>Transmission</t>
  </si>
  <si>
    <t>Distribution</t>
  </si>
  <si>
    <t>Total</t>
  </si>
  <si>
    <t>PAYROLL TAXES</t>
  </si>
  <si>
    <t>HYDRO AND OTHER POWER</t>
  </si>
  <si>
    <t>AND RESTATED</t>
  </si>
  <si>
    <t>COLSTRIP COMMON FERC ADJUSTMENT</t>
  </si>
  <si>
    <t>COLSTRIP DEFERRED DEPRECIATION FERC ADJ.</t>
  </si>
  <si>
    <t>ENCOGEN ACQUISITION ADJUSTMENT</t>
  </si>
  <si>
    <t>LESS PRODUCTION PROPERTY ACCUM DEPR.</t>
  </si>
  <si>
    <t>LESS PRODUCTION PROPERTY ACCUM AMORT.</t>
  </si>
  <si>
    <t>REGULATORY ASSETS RATE BASE:</t>
  </si>
  <si>
    <t>ADJUSTMENT TO PRODUCTION RATE BASE</t>
  </si>
  <si>
    <t>ADJUSTMENT TO REGULATORY ASSETS RATE BASE</t>
  </si>
  <si>
    <t>ACCUMULATED DEPRECIATION</t>
  </si>
  <si>
    <t>TEST</t>
  </si>
  <si>
    <t>DEPRECIABLE PRODUCTION PROPERTY</t>
  </si>
  <si>
    <t>NON-DEPRECIABLE PRODUCTION PROPERTY</t>
  </si>
  <si>
    <t>PURCHASED POWER</t>
  </si>
  <si>
    <t>OTHER POWER SUPPLY</t>
  </si>
  <si>
    <t>TAXES OTHER-PRODUCTION PROPERTY:</t>
  </si>
  <si>
    <t xml:space="preserve">  TWELVE MONTHS ENDED 9/30/02</t>
  </si>
  <si>
    <t xml:space="preserve">  TWELVE MONTHS ENDED 9/30/03</t>
  </si>
  <si>
    <t>TAX BENEFIT OF PRO</t>
  </si>
  <si>
    <t>FORMA INTEREST</t>
  </si>
  <si>
    <t>ASSOCIATED COMPANIES</t>
  </si>
  <si>
    <t>INTEREST ON DEBT TO ASSOCIATED</t>
  </si>
  <si>
    <t>TOTAL AMORTIZATION OF REG ASSETS/LIABS</t>
  </si>
  <si>
    <t>TAXABLE INCOME (LOSS)</t>
  </si>
  <si>
    <t>FEDERAL INCOME TAX EXPENSE (BENEFIT) @</t>
  </si>
  <si>
    <t>SERP PLAN</t>
  </si>
  <si>
    <t>DEPRECIATION</t>
  </si>
  <si>
    <t>SUBTOTAL PURCHASED AND INTERCHANGED</t>
  </si>
  <si>
    <t>REVENUES AND EXPENSES</t>
  </si>
  <si>
    <t xml:space="preserve">  TWELVE MONTHS ENDED 9/30/04</t>
  </si>
  <si>
    <t xml:space="preserve">  TWELVE MONTHS ENDED 9/30/05</t>
  </si>
  <si>
    <t>WIND PLANT</t>
  </si>
  <si>
    <t>&amp; LIABILITIES</t>
  </si>
  <si>
    <t xml:space="preserve">WILD HORSE </t>
  </si>
  <si>
    <t>INCENTIVE PAY</t>
  </si>
  <si>
    <t>WILD HORSE WIND PLANT</t>
  </si>
  <si>
    <t>REMOVE RESIDENTIAL EXCHANGE - SCH 194</t>
  </si>
  <si>
    <t>BEP</t>
  </si>
  <si>
    <t>&amp; EXPENSES</t>
  </si>
  <si>
    <t>MONTANA ELECTRIC</t>
  </si>
  <si>
    <t>403 ELEC PORTION OF COMMON</t>
  </si>
  <si>
    <t>INCREASE (DECREASE) OPERATING EXPENSES</t>
  </si>
  <si>
    <t>INCREASE(DECREASE) NET OPERATING INCOME</t>
  </si>
  <si>
    <t>FOR THE TWELVE MONTHS ENDED SEPTEMBER 30, 2007</t>
  </si>
  <si>
    <t>SUMAS</t>
  </si>
  <si>
    <t>SUMAS RATEBASE</t>
  </si>
  <si>
    <t>NET SUMAS PLANT RATEBASE</t>
  </si>
  <si>
    <t>SUMAS OPERATING EXPENSE</t>
  </si>
  <si>
    <t>WHITEHORN</t>
  </si>
  <si>
    <t>WHITEHORN OPERATING EXPENSE</t>
  </si>
  <si>
    <t>BAKER HYDRO RELICENSING RATEBASE</t>
  </si>
  <si>
    <t>BAKER HYDRO RELICENSING COSTS</t>
  </si>
  <si>
    <t>BAKER HYDRO RELICENSING OPERATING EXPENSE</t>
  </si>
  <si>
    <t>AMORTIZATION EXPENSE</t>
  </si>
  <si>
    <t>NET BAKER HYDRO RELIC RATEBASE</t>
  </si>
  <si>
    <t>BAKER HYDRO</t>
  </si>
  <si>
    <t>RELICENSING</t>
  </si>
  <si>
    <t>PASS-THROUGH REVENUES AND EXPENSES</t>
  </si>
  <si>
    <t>REMOVE CONSERVATION RIDER - SCHEDULE 120</t>
  </si>
  <si>
    <t>REMOVE MUNICIPAL TAXES - SCHEDULE 81</t>
  </si>
  <si>
    <t>REMOVE LOW INCOME AMORTIZATION - SCHEDULE 129</t>
  </si>
  <si>
    <t>STATE UTILITY TAX</t>
  </si>
  <si>
    <t>PASS-THROUGH</t>
  </si>
  <si>
    <t>REVS. &amp; EXPS.</t>
  </si>
  <si>
    <t>INCOME AT SEPTEMBER 30, 2007</t>
  </si>
  <si>
    <t>AMORTIZATION OF GOLDENDALE FIXED COST DEFERRAL</t>
  </si>
  <si>
    <t>FIXED COST DEFRL</t>
  </si>
  <si>
    <t>AMORT GLDL</t>
  </si>
  <si>
    <t>AMORTIZATION OF FIXED COST DEFERRAL</t>
  </si>
  <si>
    <t>DEPRECIATION STUDY</t>
  </si>
  <si>
    <t>SKAGIT COUNTY SERVICE CENTER</t>
  </si>
  <si>
    <t>SKAGIT OPERATING EXPENSE</t>
  </si>
  <si>
    <t>SKAGIT COUNTY SERVICE FACILITY RATEBASE</t>
  </si>
  <si>
    <t>LEASE PAYMENTS</t>
  </si>
  <si>
    <t>SKAGIT COUNTY FACILITY OPERATING EXPENSES</t>
  </si>
  <si>
    <t>PLANT RATEBASE</t>
  </si>
  <si>
    <t>STUDY</t>
  </si>
  <si>
    <t>SKAGIT</t>
  </si>
  <si>
    <t>FACILITY</t>
  </si>
  <si>
    <t>REG ASSETS</t>
  </si>
  <si>
    <t xml:space="preserve">ADJUSTMENT TO MOVE WAGES FOR OFFICER TIME ON MERGER </t>
  </si>
  <si>
    <t xml:space="preserve">     CHARGED TO PSE:</t>
  </si>
  <si>
    <t xml:space="preserve">     EMPLOYEE BENEFITS, FERC 926</t>
  </si>
  <si>
    <t xml:space="preserve">     PAYROLL TAXES, FERC 408.1</t>
  </si>
  <si>
    <t>MERGER SAVINGS</t>
  </si>
  <si>
    <t>DFIT DEPRECIATION</t>
  </si>
  <si>
    <t>DFIT RETIREMENTS</t>
  </si>
  <si>
    <t>GOLDENDALE AMA GROSS - DEF &amp; INT.</t>
  </si>
  <si>
    <t>GOLDENDALE AMA ACCUMULATED AMORTIZATION</t>
  </si>
  <si>
    <t>GOLDENDALE AMA ACCUMULATED DEFERRED FIT</t>
  </si>
  <si>
    <t>TOTAL GOLDENDALE RATE BASE</t>
  </si>
  <si>
    <t>DEPRECIATION / AMORTIZATION:</t>
  </si>
  <si>
    <t>TOTAL ADJUSTMENT TO RATEBASE (LINE 56 + LINE 67)</t>
  </si>
  <si>
    <t>Attachment B to Bench Request No. 06</t>
  </si>
  <si>
    <t>Attachment C to Bench Request No. 06</t>
  </si>
  <si>
    <t>Attachment D to Bench Request No. 06</t>
  </si>
  <si>
    <t>Attachment A to Bench Request No. 06</t>
  </si>
  <si>
    <t>DEFERRED BALANCES FOR 10 YEAR AMORTIZATION AT</t>
  </si>
  <si>
    <t xml:space="preserve">  TWELVE MONTHS ENDED 9/30/06</t>
  </si>
  <si>
    <t xml:space="preserve">  TWELVE MONTHS ENDED 9/30/07</t>
  </si>
  <si>
    <t>CHARGED TO EXPENSE  FOR TEST YEAR ENDED 9/30/07:</t>
  </si>
  <si>
    <t>LESS CATASTROPHIC STORM AMORT AS (9/30/07)</t>
  </si>
  <si>
    <t>TOTAL DEPRECIATION AND AMORTIZATION (FERC 403)</t>
  </si>
  <si>
    <t>WHITE RIVER PLANT COSTS</t>
  </si>
  <si>
    <t>PRO FORMA COST OF CAPITAL</t>
  </si>
  <si>
    <t>CABOT</t>
  </si>
  <si>
    <t>TENASKA</t>
  </si>
  <si>
    <t>REMOVE MUNICIPAL TAX EXPENSED</t>
  </si>
  <si>
    <t>DEFERRED TAX ASSET</t>
  </si>
  <si>
    <t>DEFERRED TAX LIABILITY</t>
  </si>
  <si>
    <t xml:space="preserve">OPERATING EXPENSES </t>
  </si>
  <si>
    <t>PAY</t>
  </si>
  <si>
    <t>INCENTIVE</t>
  </si>
  <si>
    <t>HEDGING</t>
  </si>
  <si>
    <t>DEFERRED GAINS/LOSSES ON PROPERTY SALES</t>
  </si>
  <si>
    <t>DEFERRED G/L ON</t>
  </si>
  <si>
    <t>RESTATED KWH (COLSTRIP)</t>
  </si>
  <si>
    <t>TAXES OTHER THAN INCOME TAXES</t>
  </si>
  <si>
    <r>
      <t xml:space="preserve">ANNUAL AMORTIZATION (LINE 31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10 YEARS)</t>
    </r>
  </si>
  <si>
    <t>INCOME TAXES</t>
  </si>
  <si>
    <t>HOPKINS RIDGE INFILL RATEBASE (AMA)</t>
  </si>
  <si>
    <t>UTILITY PLANT RATEBASE</t>
  </si>
  <si>
    <t>REGULATORY LIABILITY RATEBASE</t>
  </si>
  <si>
    <t>OVERALL INCREASE TO RATEBASE</t>
  </si>
  <si>
    <t>AMORTIZATION OF MITIGATION CREDIT - REG LIABILITY</t>
  </si>
  <si>
    <t>NET GOLDENDALE PLANT RATEBASE</t>
  </si>
  <si>
    <t>GOLDENDALE OPERATING EXPENSE</t>
  </si>
  <si>
    <t>GOLDENDALE</t>
  </si>
  <si>
    <t>GOLDENDALE RATEBASE</t>
  </si>
  <si>
    <t xml:space="preserve">       REQUESTED IN ACCOUNTING PETITION #UE-071876</t>
  </si>
  <si>
    <t xml:space="preserve">      POWER FROM 557 TO A&amp;G (FERC 923). </t>
  </si>
  <si>
    <t xml:space="preserve">ADJUSTMENT FOR TRANSFERS OF RATEBASE TO NON-UTILITY PLANT </t>
  </si>
  <si>
    <t>CHARGED TO EXPENSE 09/30/07</t>
  </si>
  <si>
    <t>Docket Numbers UE-072300, et al</t>
  </si>
  <si>
    <t>GOLDENDALE FIXED COST DEFERRAL (NEW)</t>
  </si>
  <si>
    <t>ANNUAL NORMALIZATION (LINE 22 / 2 YEARS)</t>
  </si>
  <si>
    <t>SALES TO CUSTOMERS:</t>
  </si>
  <si>
    <t>PROFORMA ADJUSTMENTS:</t>
  </si>
  <si>
    <t>TOTAL INCREASE (DECREASE) SALES TO CUSTOMERS</t>
  </si>
  <si>
    <t>TOTAL INCREASE (DECREASE) OTHER OPERATING REVENUE</t>
  </si>
  <si>
    <t>TOTAL INCREASE (DECREASE) REVENUES</t>
  </si>
  <si>
    <t>DEFERRED EXPENDITURES TO BE AMORTIZED:</t>
  </si>
  <si>
    <t>LESS TEST YEAR EXPENSE:  2001 GRC AMORTIZATION</t>
  </si>
  <si>
    <t>LESS TEST YEAR EXPENSE:  2004 GRC AMORTIZATION</t>
  </si>
  <si>
    <t>REMOVE PCORC INCREASE DOCKET 050870</t>
  </si>
  <si>
    <t>12 MOS ENDED 09/30/2004</t>
  </si>
  <si>
    <t>12 MOS ENDED 09/30/2005</t>
  </si>
  <si>
    <t>ADJUST ACCUM. DEPR. FOR ADDITIONAL DEPRECIATION EXPENSE (50% OF LINE 21)</t>
  </si>
  <si>
    <t>12 MOS ENDED 09/30/2006</t>
  </si>
  <si>
    <t>EXPENSES TO BE NORMALIZED:</t>
  </si>
  <si>
    <t>ESTIMATED PCORC EXPENSES TO BE NORMALIZED</t>
  </si>
  <si>
    <t>ANNUAL NORMALIZATION (LINE 29 / 2)</t>
  </si>
  <si>
    <t>TOTAL INCREASE (DECREASE) EXPENSE</t>
  </si>
  <si>
    <t>ESTIMATED GRC EXPENSES TO BE NORMALIZED</t>
  </si>
  <si>
    <t>LESS TEST YEAR EXPENSE:  GRC DIRECT CHARGES TO FERC 928</t>
  </si>
  <si>
    <t>LESS TEST YEAR EXPENSE:  PCORC DIRECT CHARGES</t>
  </si>
  <si>
    <t>COMPANY STORE - PURCHASE OF MERCHANDISE IN CUST SVC EXP</t>
  </si>
  <si>
    <t>COMPANY STORE - NET PURCH/SALES OF MERCHANDISE IN A&amp;G</t>
  </si>
  <si>
    <t>RATE BASE ADJUSTMENT</t>
  </si>
  <si>
    <t>DEPR. EXP INCLUDED 4.33 DEPR. STUDY</t>
  </si>
  <si>
    <t>UTILITY PLANT BALANCE</t>
  </si>
  <si>
    <t>DEFERRED FIT</t>
  </si>
  <si>
    <t>PROFORMA INTEREST ADJUSTMENT 15.05</t>
  </si>
  <si>
    <t>TOTAL UTILITY PLANT RATEBASE</t>
  </si>
  <si>
    <t>ACQUISITION ADJUSTMENT</t>
  </si>
  <si>
    <t>ACCUMULATED AMORTIZATION ON ACQ ADJ</t>
  </si>
  <si>
    <t>TOTAL ACQUISITION ADJUSTMENT RATEBASE</t>
  </si>
  <si>
    <t>TOTAL RATEBASE</t>
  </si>
  <si>
    <t>Incl. in Line 4</t>
  </si>
  <si>
    <t xml:space="preserve">     LABOR &amp; LABOR OH, PTO, INCENTIVES, FERC 920</t>
  </si>
  <si>
    <t>WILD HORSE RATE BASE</t>
  </si>
  <si>
    <t>WILD HORSE OPERATING EXPENSES:</t>
  </si>
  <si>
    <t>EXCISE TAX &amp; FILING FEE</t>
  </si>
  <si>
    <t>ADMIN &amp; GENERAL EXPENSES</t>
  </si>
  <si>
    <t>TOTAL ADMIN &amp; GENERAL EXPENSES</t>
  </si>
  <si>
    <t>HOPKINS</t>
  </si>
  <si>
    <t>RIDGE INFILL</t>
  </si>
  <si>
    <t>TOTAL POWER COSTS</t>
  </si>
  <si>
    <t>HOPKINS RIDGE INFILL PROJECT</t>
  </si>
  <si>
    <t>NET HOPKINS RIDGE INFILL PLANT RATEBASE</t>
  </si>
  <si>
    <t>O&amp;M ON PRODUCTION PROPERTY</t>
  </si>
  <si>
    <t>PRODUCTION PROPERTY RATE BASE:</t>
  </si>
  <si>
    <t>O&amp;M ON REGULATORY ASSETS:</t>
  </si>
  <si>
    <t>HOPKINS RIDGE PREPAID TRANSMISSION</t>
  </si>
  <si>
    <r>
      <t xml:space="preserve">ANNUAL AMORTIZATION (LINE 25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4 YEARS)</t>
    </r>
  </si>
  <si>
    <t>2</t>
  </si>
  <si>
    <t>PRODUCTION WAGE INCREASE AND INCENTIVE:</t>
  </si>
  <si>
    <t>Adjustment 01</t>
  </si>
  <si>
    <t>Adjustment 02</t>
  </si>
  <si>
    <t>Adjustment 03</t>
  </si>
  <si>
    <t>Adjustment 04</t>
  </si>
  <si>
    <t>Adjustment 05</t>
  </si>
  <si>
    <t>Adjustment 06</t>
  </si>
  <si>
    <t>Adjustment 07</t>
  </si>
  <si>
    <t>Adjustment 08</t>
  </si>
  <si>
    <t>Adjustment 09</t>
  </si>
  <si>
    <t>Adjustment 10</t>
  </si>
  <si>
    <t>Adjustment 11</t>
  </si>
  <si>
    <t>Adjustment 12</t>
  </si>
  <si>
    <t>Adjustment 13</t>
  </si>
  <si>
    <t>Adjustment 14</t>
  </si>
  <si>
    <t>Adjustment 15</t>
  </si>
  <si>
    <t>Adjustment 16</t>
  </si>
  <si>
    <t>Adjustment 17</t>
  </si>
  <si>
    <t>Adjustment 18</t>
  </si>
  <si>
    <t>Adjustment 19</t>
  </si>
  <si>
    <t>Adjustment 20</t>
  </si>
  <si>
    <t>Adjustment 21</t>
  </si>
  <si>
    <t>Adjustment 22</t>
  </si>
  <si>
    <t>Adjustment 23</t>
  </si>
  <si>
    <t>Adjustment 24</t>
  </si>
  <si>
    <t>Adjustment 25</t>
  </si>
  <si>
    <t>Adjustment 26</t>
  </si>
  <si>
    <t>Adjustment 27</t>
  </si>
  <si>
    <t>Adjustment 28</t>
  </si>
  <si>
    <t>Adjustment 29</t>
  </si>
  <si>
    <t>Adjustment 30</t>
  </si>
  <si>
    <t>Adjustment 31</t>
  </si>
  <si>
    <t>Adjustment 32</t>
  </si>
  <si>
    <t>Adjustment 33</t>
  </si>
  <si>
    <t>Adjustment 34</t>
  </si>
  <si>
    <t>Adjustment 35</t>
  </si>
  <si>
    <t>Adjustment 36</t>
  </si>
  <si>
    <t>TOTAL INCENTIVE/MERIT PAY</t>
  </si>
  <si>
    <t>REMOVE SCHEDULE 95A PRODUCTION TAX CREDITS</t>
  </si>
  <si>
    <t>POLE ATTACHMENT REVENUES</t>
  </si>
  <si>
    <t>GREEN POWER - SCH 135/136 (TAGS ELIM IN PAGE 4.03)</t>
  </si>
  <si>
    <t>GREEN POWER - SCH 135/136 BENEFITS PORTION OF ADMIN</t>
  </si>
  <si>
    <t>GREEN POWER - SCH 135/136 TAXES PORTION OF ADMIN</t>
  </si>
  <si>
    <t>GREEN POWER - SCH 135/136 ELIMINATE UNDER EXPENSED</t>
  </si>
  <si>
    <t>Summary Page 1</t>
  </si>
  <si>
    <t>Summary Page 2</t>
  </si>
  <si>
    <t>Summary Page 3</t>
  </si>
  <si>
    <t>Summary Page 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</si>
</sst>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&quot;$&quot;* #,##0.00_);_(&quot;$&quot;* \(#,##0.00\);_(&quot;$&quot;* &quot;-&quot;_);_(@_)"/>
    <numFmt numFmtId="179" formatCode="_(* #,##0.0000_);_(* \(#,##0.0000\);_(* &quot;-&quot;_);_(@_)"/>
    <numFmt numFmtId="180" formatCode="_(* #,##0.000000_);_(* \(#,##0.000000\);_(* &quot;-&quot;_);_(@_)"/>
    <numFmt numFmtId="181" formatCode="#,##0.00000_);[Red]\(#,##0.00000\)"/>
    <numFmt numFmtId="182" formatCode="_(* #,##0.000_);_(* \(#,##0.000\);_(* &quot;-&quot;??_);_(@_)"/>
    <numFmt numFmtId="183" formatCode="_(* #,##0.00000_);_(* \(#,##0.00000\);_(* &quot;-&quot;??_);_(@_)"/>
    <numFmt numFmtId="184" formatCode="_(* #,##0.0000000_);_(* \(#,##0.0000000\);_(* &quot;-&quot;??_);_(@_)"/>
    <numFmt numFmtId="185" formatCode="_(&quot;$&quot;* #,##0.000_);_(&quot;$&quot;* \(#,##0.000\);_(&quot;$&quot;* &quot;-&quot;??_);_(@_)"/>
    <numFmt numFmtId="186" formatCode="_(&quot;$&quot;* #,##0.000_);_(&quot;$&quot;* \(#,##0.000\);_(&quot;$&quot;* &quot;-&quot;???_);_(@_)"/>
    <numFmt numFmtId="187" formatCode="_(&quot;$&quot;* #,##0.000000_);_(&quot;$&quot;* \(#,##0.000000\);_(&quot;$&quot;* &quot;-&quot;??????_);_(@_)"/>
    <numFmt numFmtId="188" formatCode="0.000000"/>
    <numFmt numFmtId="189" formatCode="mm/dd/yy;@"/>
    <numFmt numFmtId="190" formatCode="_(* #,##0.0_);_(* \(#,##0.0\);_(* &quot;-&quot;_);_(@_)"/>
    <numFmt numFmtId="191" formatCode="_(* ###0_);_(* \(###0\);_(* &quot;-&quot;_);_(@_)"/>
    <numFmt numFmtId="192" formatCode="0;[Red]0"/>
    <numFmt numFmtId="193" formatCode="0_);\(0\)"/>
    <numFmt numFmtId="194" formatCode="0.00000%"/>
    <numFmt numFmtId="195" formatCode="&quot;PAGE&quot;\ 0.00"/>
    <numFmt numFmtId="196" formatCode="_(&quot;$&quot;* #,##0.0_);_(&quot;$&quot;* \(#,##0.0\);_(&quot;$&quot;* &quot;-&quot;??_);_(@_)"/>
    <numFmt numFmtId="197" formatCode="d\.mmm\.yy"/>
    <numFmt numFmtId="198" formatCode="#,##0.000"/>
    <numFmt numFmtId="199" formatCode="#,##0.0000000"/>
    <numFmt numFmtId="200" formatCode="_(* #,##0.000000_);_(* \(#,##0.000000\);_(* &quot;-&quot;??_);_(@_)"/>
    <numFmt numFmtId="201" formatCode="_(&quot;$&quot;* #,##0.000000_);_(&quot;$&quot;* \(#,##0.000000\);_(&quot;$&quot;* &quot;-&quot;??_);_(@_)"/>
    <numFmt numFmtId="202" formatCode="_(* #,##0.0000_);_(* \(#,##0.0000\);_(* &quot;-&quot;??_);_(@_)"/>
    <numFmt numFmtId="203" formatCode="_(&quot;$&quot;* #,##0.00000_);_(&quot;$&quot;* \(#,##0.00000\);_(&quot;$&quot;* &quot;-&quot;??????_);_(@_)"/>
    <numFmt numFmtId="204" formatCode="_(&quot;$&quot;* #,##0.000000_);_(&quot;$&quot;* \(#,##0.000000\);_(&quot;$&quot;* &quot;-&quot;_);_(@_)"/>
    <numFmt numFmtId="205" formatCode="#,##0.000000"/>
    <numFmt numFmtId="206" formatCode="_(&quot;$&quot;* #,##0.00000_);_(&quot;$&quot;* \(#,##0.00000\);_(&quot;$&quot;* &quot;-&quot;_);_(@_)"/>
    <numFmt numFmtId="207" formatCode="_(&quot;$&quot;* #,##0.0000000_);_(&quot;$&quot;* \(#,##0.0000000\);_(&quot;$&quot;* &quot;-&quot;_);_(@_)"/>
    <numFmt numFmtId="208" formatCode="_(&quot;$&quot;* #,##0.000000000_);_(&quot;$&quot;* \(#,##0.000000000\);_(&quot;$&quot;* &quot;-&quot;??????_);_(@_)"/>
    <numFmt numFmtId="209" formatCode="0.000000_);\(0.000000\)"/>
    <numFmt numFmtId="210" formatCode="m/yy"/>
    <numFmt numFmtId="211" formatCode="mmm\ yyyy"/>
    <numFmt numFmtId="212" formatCode="mmmm\-yy"/>
    <numFmt numFmtId="213" formatCode="#,##0.0000"/>
    <numFmt numFmtId="214" formatCode="_(&quot;$&quot;* #,##0.0000000000_);_(&quot;$&quot;* \(#,##0.0000000000\);_(&quot;$&quot;* &quot;-&quot;??????_);_(@_)"/>
    <numFmt numFmtId="215" formatCode="_(* #,##0.00000000_);_(* \(#,##0.00000000\);_(* &quot;-&quot;??_);_(@_)"/>
    <numFmt numFmtId="216" formatCode="#."/>
    <numFmt numFmtId="217" formatCode="_(&quot;$&quot;* #,##0.0000_);_(&quot;$&quot;* \(#,##0.0000\);_(&quot;$&quot;* &quot;-&quot;????_);_(@_)"/>
    <numFmt numFmtId="218" formatCode="&quot;$&quot;#,##0.00"/>
    <numFmt numFmtId="219" formatCode="&quot;$&quot;#,##0"/>
    <numFmt numFmtId="220" formatCode="#,##0.000_);\(#,##0.000\)"/>
    <numFmt numFmtId="221" formatCode="#,##0.0000000_);[Red]\(#,##0.0000000\)"/>
    <numFmt numFmtId="222" formatCode="_(&quot;$&quot;* #,##0.000_);_(&quot;$&quot;* \(#,##0.000\);_(&quot;$&quot;* &quot;-&quot;_);_(@_)"/>
    <numFmt numFmtId="223" formatCode="#,##0.0"/>
    <numFmt numFmtId="224" formatCode="_(&quot;$&quot;* #,##0.0000000_);_(&quot;$&quot;* \(#,##0.0000000\);_(&quot;$&quot;* &quot;-&quot;???????_);_(@_)"/>
    <numFmt numFmtId="225" formatCode="mmm\-yyyy"/>
    <numFmt numFmtId="226" formatCode="_(* #,##0.000_);_(* \(#,##0.000\);_(* &quot;-&quot;???_);_(@_)"/>
    <numFmt numFmtId="227" formatCode="_(* #,##0.0_);_(* \(#,##0.0\);_(* &quot;-&quot;?_);_(@_)"/>
  </numFmts>
  <fonts count="49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8"/>
      <color indexed="8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8"/>
      <color indexed="14"/>
      <name val="Helv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b/>
      <i/>
      <sz val="10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0"/>
    </font>
    <font>
      <sz val="10"/>
      <name val="Symbol"/>
      <family val="1"/>
    </font>
    <font>
      <sz val="12"/>
      <color indexed="24"/>
      <name val="Arial"/>
      <family val="0"/>
    </font>
    <font>
      <sz val="10"/>
      <name val="Helv"/>
      <family val="0"/>
    </font>
    <font>
      <b/>
      <i/>
      <sz val="12"/>
      <name val="Times New Roman"/>
      <family val="1"/>
    </font>
    <font>
      <sz val="8.8"/>
      <name val="Symbol"/>
      <family val="1"/>
    </font>
    <font>
      <sz val="10"/>
      <name val="Tahoma"/>
      <family val="0"/>
    </font>
    <font>
      <u val="single"/>
      <sz val="10"/>
      <name val="Tahoma"/>
      <family val="2"/>
    </font>
    <font>
      <sz val="10"/>
      <name val="MS Serif"/>
      <family val="0"/>
    </font>
    <font>
      <sz val="10"/>
      <name val="Courier"/>
      <family val="0"/>
    </font>
    <font>
      <b/>
      <sz val="12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i/>
      <sz val="10"/>
      <color indexed="8"/>
      <name val="Times New Roman"/>
      <family val="1"/>
    </font>
    <font>
      <sz val="12"/>
      <name val="TIMES"/>
      <family val="0"/>
    </font>
    <font>
      <sz val="8"/>
      <color indexed="16"/>
      <name val="Courier"/>
      <family val="0"/>
    </font>
    <font>
      <b/>
      <sz val="12"/>
      <color indexed="20"/>
      <name val="Arial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b/>
      <sz val="12"/>
      <color indexed="5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14">
    <xf numFmtId="188" fontId="13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13" fillId="0" borderId="0">
      <alignment horizontal="left" wrapText="1"/>
      <protection/>
    </xf>
    <xf numFmtId="183" fontId="13" fillId="0" borderId="0">
      <alignment horizontal="left" wrapText="1"/>
      <protection/>
    </xf>
    <xf numFmtId="169" fontId="13" fillId="0" borderId="0">
      <alignment horizontal="left" wrapText="1"/>
      <protection/>
    </xf>
    <xf numFmtId="183" fontId="13" fillId="0" borderId="0">
      <alignment horizontal="left" wrapText="1"/>
      <protection/>
    </xf>
    <xf numFmtId="183" fontId="13" fillId="0" borderId="0">
      <alignment horizontal="left" wrapText="1"/>
      <protection/>
    </xf>
    <xf numFmtId="188" fontId="13" fillId="0" borderId="0">
      <alignment horizontal="left" wrapText="1"/>
      <protection/>
    </xf>
    <xf numFmtId="183" fontId="13" fillId="0" borderId="0">
      <alignment horizontal="left" wrapText="1"/>
      <protection/>
    </xf>
    <xf numFmtId="183" fontId="13" fillId="0" borderId="0">
      <alignment horizontal="left" wrapText="1"/>
      <protection/>
    </xf>
    <xf numFmtId="183" fontId="13" fillId="0" borderId="0">
      <alignment horizontal="left" wrapText="1"/>
      <protection/>
    </xf>
    <xf numFmtId="188" fontId="13" fillId="0" borderId="0">
      <alignment horizontal="left" wrapText="1"/>
      <protection/>
    </xf>
    <xf numFmtId="188" fontId="13" fillId="0" borderId="0">
      <alignment horizontal="left" wrapText="1"/>
      <protection/>
    </xf>
    <xf numFmtId="183" fontId="13" fillId="0" borderId="0">
      <alignment horizontal="left" wrapText="1"/>
      <protection/>
    </xf>
    <xf numFmtId="188" fontId="13" fillId="0" borderId="0">
      <alignment horizontal="left" wrapText="1"/>
      <protection/>
    </xf>
    <xf numFmtId="183" fontId="13" fillId="0" borderId="0">
      <alignment horizontal="left" wrapText="1"/>
      <protection/>
    </xf>
    <xf numFmtId="188" fontId="13" fillId="0" borderId="0">
      <alignment horizontal="left" wrapText="1"/>
      <protection/>
    </xf>
    <xf numFmtId="188" fontId="13" fillId="0" borderId="0">
      <alignment horizontal="left" wrapText="1"/>
      <protection/>
    </xf>
    <xf numFmtId="183" fontId="13" fillId="0" borderId="0">
      <alignment horizontal="left" wrapText="1"/>
      <protection/>
    </xf>
    <xf numFmtId="183" fontId="13" fillId="0" borderId="0">
      <alignment horizontal="left" wrapText="1"/>
      <protection/>
    </xf>
    <xf numFmtId="183" fontId="13" fillId="0" borderId="0">
      <alignment horizontal="left" wrapText="1"/>
      <protection/>
    </xf>
    <xf numFmtId="183" fontId="13" fillId="0" borderId="0">
      <alignment horizontal="left" wrapText="1"/>
      <protection/>
    </xf>
    <xf numFmtId="197" fontId="23" fillId="0" borderId="0" applyFill="0" applyBorder="0" applyAlignment="0">
      <protection/>
    </xf>
    <xf numFmtId="41" fontId="13" fillId="2" borderId="0">
      <alignment/>
      <protection/>
    </xf>
    <xf numFmtId="41" fontId="13" fillId="3" borderId="0">
      <alignment/>
      <protection/>
    </xf>
    <xf numFmtId="4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216" fontId="44" fillId="0" borderId="0">
      <alignment/>
      <protection locked="0"/>
    </xf>
    <xf numFmtId="0" fontId="43" fillId="0" borderId="0">
      <alignment/>
      <protection/>
    </xf>
    <xf numFmtId="0" fontId="34" fillId="0" borderId="0" applyNumberFormat="0" applyAlignment="0">
      <protection/>
    </xf>
    <xf numFmtId="0" fontId="35" fillId="0" borderId="0" applyNumberFormat="0" applyAlignment="0">
      <protection/>
    </xf>
    <xf numFmtId="0" fontId="29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8" fontId="4" fillId="0" borderId="0" applyFont="0" applyFill="0" applyBorder="0" applyAlignment="0" applyProtection="0"/>
    <xf numFmtId="4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13" fillId="0" borderId="0">
      <alignment/>
      <protection/>
    </xf>
    <xf numFmtId="2" fontId="28" fillId="0" borderId="0" applyFont="0" applyFill="0" applyBorder="0" applyAlignment="0" applyProtection="0"/>
    <xf numFmtId="0" fontId="29" fillId="0" borderId="0">
      <alignment/>
      <protection/>
    </xf>
    <xf numFmtId="0" fontId="21" fillId="0" borderId="0" applyNumberFormat="0" applyFill="0" applyBorder="0" applyAlignment="0" applyProtection="0"/>
    <xf numFmtId="38" fontId="17" fillId="3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6" fillId="0" borderId="0">
      <alignment/>
      <protection/>
    </xf>
    <xf numFmtId="40" fontId="26" fillId="0" borderId="0">
      <alignment/>
      <protection/>
    </xf>
    <xf numFmtId="0" fontId="22" fillId="0" borderId="0" applyNumberFormat="0" applyFill="0" applyBorder="0" applyAlignment="0" applyProtection="0"/>
    <xf numFmtId="10" fontId="17" fillId="2" borderId="3" applyNumberFormat="0" applyBorder="0" applyAlignment="0" applyProtection="0"/>
    <xf numFmtId="41" fontId="25" fillId="4" borderId="4">
      <alignment horizontal="left"/>
      <protection locked="0"/>
    </xf>
    <xf numFmtId="10" fontId="25" fillId="4" borderId="4">
      <alignment horizontal="right"/>
      <protection locked="0"/>
    </xf>
    <xf numFmtId="0" fontId="17" fillId="3" borderId="0">
      <alignment/>
      <protection/>
    </xf>
    <xf numFmtId="3" fontId="45" fillId="0" borderId="0" applyFill="0" applyBorder="0" applyAlignment="0" applyProtection="0"/>
    <xf numFmtId="44" fontId="19" fillId="0" borderId="5" applyNumberFormat="0" applyFont="0" applyAlignment="0">
      <protection/>
    </xf>
    <xf numFmtId="44" fontId="19" fillId="0" borderId="6" applyNumberFormat="0" applyFont="0" applyAlignment="0">
      <protection/>
    </xf>
    <xf numFmtId="37" fontId="37" fillId="0" borderId="0">
      <alignment/>
      <protection/>
    </xf>
    <xf numFmtId="187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9" fontId="4" fillId="0" borderId="0" applyFont="0" applyFill="0" applyBorder="0" applyAlignment="0" applyProtection="0"/>
    <xf numFmtId="10" fontId="13" fillId="0" borderId="0" applyFont="0" applyFill="0" applyBorder="0" applyAlignment="0" applyProtection="0"/>
    <xf numFmtId="41" fontId="13" fillId="5" borderId="4">
      <alignment/>
      <protection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7">
      <alignment horizontal="center"/>
      <protection/>
    </xf>
    <xf numFmtId="3" fontId="38" fillId="0" borderId="0" applyFont="0" applyFill="0" applyBorder="0" applyAlignment="0" applyProtection="0"/>
    <xf numFmtId="0" fontId="38" fillId="6" borderId="0" applyNumberFormat="0" applyFont="0" applyBorder="0" applyAlignment="0" applyProtection="0"/>
    <xf numFmtId="0" fontId="43" fillId="0" borderId="0">
      <alignment/>
      <protection/>
    </xf>
    <xf numFmtId="3" fontId="46" fillId="0" borderId="0" applyFill="0" applyBorder="0" applyAlignment="0" applyProtection="0"/>
    <xf numFmtId="0" fontId="47" fillId="0" borderId="0">
      <alignment/>
      <protection/>
    </xf>
    <xf numFmtId="42" fontId="13" fillId="2" borderId="0">
      <alignment/>
      <protection/>
    </xf>
    <xf numFmtId="42" fontId="13" fillId="2" borderId="8">
      <alignment vertical="center"/>
      <protection/>
    </xf>
    <xf numFmtId="0" fontId="19" fillId="2" borderId="9" applyNumberFormat="0">
      <alignment horizontal="center" vertical="center" wrapText="1"/>
      <protection/>
    </xf>
    <xf numFmtId="10" fontId="13" fillId="2" borderId="0">
      <alignment/>
      <protection/>
    </xf>
    <xf numFmtId="217" fontId="13" fillId="2" borderId="0">
      <alignment/>
      <protection/>
    </xf>
    <xf numFmtId="42" fontId="13" fillId="2" borderId="10">
      <alignment horizontal="left"/>
      <protection/>
    </xf>
    <xf numFmtId="217" fontId="18" fillId="2" borderId="10">
      <alignment horizontal="left"/>
      <protection/>
    </xf>
    <xf numFmtId="14" fontId="0" fillId="0" borderId="0" applyNumberFormat="0" applyFill="0" applyBorder="0" applyAlignment="0" applyProtection="0"/>
    <xf numFmtId="190" fontId="13" fillId="0" borderId="0" applyFont="0" applyFill="0" applyAlignment="0">
      <protection/>
    </xf>
    <xf numFmtId="39" fontId="13" fillId="7" borderId="0">
      <alignment/>
      <protection/>
    </xf>
    <xf numFmtId="38" fontId="17" fillId="0" borderId="11">
      <alignment/>
      <protection/>
    </xf>
    <xf numFmtId="38" fontId="26" fillId="0" borderId="10">
      <alignment/>
      <protection/>
    </xf>
    <xf numFmtId="39" fontId="0" fillId="8" borderId="0">
      <alignment/>
      <protection/>
    </xf>
    <xf numFmtId="40" fontId="40" fillId="0" borderId="0" applyBorder="0">
      <alignment horizontal="right"/>
      <protection/>
    </xf>
    <xf numFmtId="41" fontId="20" fillId="2" borderId="0">
      <alignment horizontal="left"/>
      <protection/>
    </xf>
    <xf numFmtId="218" fontId="48" fillId="2" borderId="0">
      <alignment horizontal="left" vertical="center"/>
      <protection/>
    </xf>
    <xf numFmtId="0" fontId="19" fillId="2" borderId="0">
      <alignment horizontal="left" wrapText="1"/>
      <protection/>
    </xf>
    <xf numFmtId="0" fontId="41" fillId="0" borderId="0">
      <alignment horizontal="left" vertical="center"/>
      <protection/>
    </xf>
    <xf numFmtId="0" fontId="28" fillId="0" borderId="12" applyNumberFormat="0" applyFont="0" applyFill="0" applyAlignment="0" applyProtection="0"/>
    <xf numFmtId="0" fontId="43" fillId="0" borderId="13">
      <alignment/>
      <protection/>
    </xf>
  </cellStyleXfs>
  <cellXfs count="551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41" fontId="7" fillId="0" borderId="0" xfId="38" applyNumberFormat="1" applyFont="1" applyFill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41" fontId="7" fillId="0" borderId="9" xfId="0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fill"/>
    </xf>
    <xf numFmtId="2" fontId="8" fillId="0" borderId="0" xfId="0" applyNumberFormat="1" applyFont="1" applyFill="1" applyAlignment="1" applyProtection="1">
      <alignment horizontal="center"/>
      <protection locked="0"/>
    </xf>
    <xf numFmtId="37" fontId="6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10" fontId="6" fillId="0" borderId="0" xfId="82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14" fillId="0" borderId="0" xfId="0" applyNumberFormat="1" applyFont="1" applyFill="1" applyBorder="1" applyAlignment="1" applyProtection="1">
      <alignment horizontal="left"/>
      <protection/>
    </xf>
    <xf numFmtId="171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14" xfId="0" applyFont="1" applyFill="1" applyBorder="1" applyAlignment="1">
      <alignment horizontal="right"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42" fontId="7" fillId="0" borderId="0" xfId="38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37" fontId="6" fillId="0" borderId="0" xfId="0" applyNumberFormat="1" applyFont="1" applyFill="1" applyAlignment="1" applyProtection="1">
      <alignment horizontal="left"/>
      <protection/>
    </xf>
    <xf numFmtId="42" fontId="7" fillId="0" borderId="0" xfId="0" applyNumberFormat="1" applyFont="1" applyFill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Alignment="1" quotePrefix="1">
      <alignment horizontal="centerContinuous"/>
    </xf>
    <xf numFmtId="15" fontId="8" fillId="0" borderId="0" xfId="0" applyNumberFormat="1" applyFont="1" applyFill="1" applyAlignment="1" quotePrefix="1">
      <alignment horizontal="centerContinuous"/>
    </xf>
    <xf numFmtId="18" fontId="8" fillId="0" borderId="0" xfId="0" applyNumberFormat="1" applyFont="1" applyFill="1" applyAlignment="1" quotePrefix="1">
      <alignment horizontal="centerContinuous"/>
    </xf>
    <xf numFmtId="41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fill"/>
    </xf>
    <xf numFmtId="0" fontId="8" fillId="0" borderId="0" xfId="0" applyFont="1" applyFill="1" applyAlignment="1" quotePrefix="1">
      <alignment horizontal="left"/>
    </xf>
    <xf numFmtId="18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9" xfId="0" applyFont="1" applyFill="1" applyBorder="1" applyAlignment="1">
      <alignment horizontal="center"/>
    </xf>
    <xf numFmtId="15" fontId="10" fillId="0" borderId="0" xfId="0" applyNumberFormat="1" applyFont="1" applyFill="1" applyAlignment="1">
      <alignment horizontal="centerContinuous"/>
    </xf>
    <xf numFmtId="37" fontId="7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9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" fontId="7" fillId="0" borderId="0" xfId="0" applyNumberFormat="1" applyFont="1" applyFill="1" applyAlignment="1" quotePrefix="1">
      <alignment horizontal="left"/>
    </xf>
    <xf numFmtId="42" fontId="7" fillId="0" borderId="0" xfId="0" applyNumberFormat="1" applyFont="1" applyFill="1" applyAlignment="1">
      <alignment horizontal="right"/>
    </xf>
    <xf numFmtId="0" fontId="8" fillId="0" borderId="9" xfId="0" applyFont="1" applyFill="1" applyBorder="1" applyAlignment="1">
      <alignment horizontal="center"/>
    </xf>
    <xf numFmtId="42" fontId="7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 quotePrefix="1">
      <alignment horizontal="center"/>
    </xf>
    <xf numFmtId="171" fontId="7" fillId="0" borderId="0" xfId="0" applyNumberFormat="1" applyFont="1" applyFill="1" applyAlignment="1" applyProtection="1">
      <alignment/>
      <protection locked="0"/>
    </xf>
    <xf numFmtId="4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Alignment="1">
      <alignment horizontal="left"/>
    </xf>
    <xf numFmtId="171" fontId="8" fillId="0" borderId="0" xfId="0" applyNumberFormat="1" applyFont="1" applyFill="1" applyAlignment="1">
      <alignment horizontal="centerContinuous"/>
    </xf>
    <xf numFmtId="171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 applyProtection="1" quotePrefix="1">
      <alignment horizontal="center"/>
      <protection locked="0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1" fontId="7" fillId="0" borderId="0" xfId="0" applyNumberFormat="1" applyFont="1" applyFill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0" fontId="7" fillId="0" borderId="0" xfId="82" applyNumberFormat="1" applyFont="1" applyFill="1" applyAlignment="1">
      <alignment horizontal="center"/>
    </xf>
    <xf numFmtId="0" fontId="8" fillId="0" borderId="0" xfId="0" applyFont="1" applyFill="1" applyAlignment="1" applyProtection="1" quotePrefix="1">
      <alignment horizontal="center" wrapText="1"/>
      <protection locked="0"/>
    </xf>
    <xf numFmtId="0" fontId="8" fillId="0" borderId="0" xfId="0" applyFont="1" applyFill="1" applyAlignment="1" quotePrefix="1">
      <alignment horizontal="center"/>
    </xf>
    <xf numFmtId="9" fontId="8" fillId="0" borderId="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7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Alignment="1" applyProtection="1">
      <alignment horizontal="right"/>
      <protection locked="0"/>
    </xf>
    <xf numFmtId="17" fontId="7" fillId="0" borderId="0" xfId="0" applyNumberFormat="1" applyFont="1" applyFill="1" applyBorder="1" applyAlignment="1" quotePrefix="1">
      <alignment horizontal="left"/>
    </xf>
    <xf numFmtId="3" fontId="7" fillId="0" borderId="0" xfId="38" applyNumberFormat="1" applyFont="1" applyFill="1" applyAlignment="1">
      <alignment horizontal="right"/>
    </xf>
    <xf numFmtId="17" fontId="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>
      <alignment/>
    </xf>
    <xf numFmtId="0" fontId="8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indent="1"/>
    </xf>
    <xf numFmtId="4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3" fontId="8" fillId="0" borderId="0" xfId="38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 quotePrefix="1">
      <alignment horizontal="fill"/>
    </xf>
    <xf numFmtId="3" fontId="8" fillId="0" borderId="0" xfId="0" applyNumberFormat="1" applyFont="1" applyFill="1" applyAlignment="1">
      <alignment horizontal="center"/>
    </xf>
    <xf numFmtId="3" fontId="8" fillId="0" borderId="9" xfId="38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 horizontal="fill"/>
      <protection locked="0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fill"/>
    </xf>
    <xf numFmtId="181" fontId="7" fillId="0" borderId="9" xfId="52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41" fontId="7" fillId="0" borderId="9" xfId="38" applyNumberFormat="1" applyFont="1" applyFill="1" applyBorder="1" applyAlignment="1" applyProtection="1">
      <alignment/>
      <protection locked="0"/>
    </xf>
    <xf numFmtId="9" fontId="7" fillId="0" borderId="0" xfId="82" applyFont="1" applyFill="1" applyAlignment="1">
      <alignment horizontal="center"/>
    </xf>
    <xf numFmtId="171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 applyProtection="1">
      <alignment/>
      <protection locked="0"/>
    </xf>
    <xf numFmtId="9" fontId="7" fillId="0" borderId="0" xfId="82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37" fontId="14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Continuous"/>
      <protection locked="0"/>
    </xf>
    <xf numFmtId="177" fontId="15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>
      <alignment horizontal="left"/>
    </xf>
    <xf numFmtId="42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Continuous"/>
    </xf>
    <xf numFmtId="0" fontId="16" fillId="0" borderId="0" xfId="0" applyFont="1" applyFill="1" applyAlignment="1">
      <alignment/>
    </xf>
    <xf numFmtId="15" fontId="7" fillId="0" borderId="0" xfId="0" applyNumberFormat="1" applyFont="1" applyFill="1" applyAlignment="1">
      <alignment/>
    </xf>
    <xf numFmtId="3" fontId="7" fillId="0" borderId="0" xfId="38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171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2" fontId="8" fillId="0" borderId="0" xfId="0" applyNumberFormat="1" applyFont="1" applyFill="1" applyAlignment="1">
      <alignment/>
    </xf>
    <xf numFmtId="3" fontId="8" fillId="0" borderId="0" xfId="38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9" xfId="0" applyFont="1" applyFill="1" applyBorder="1" applyAlignment="1" applyProtection="1">
      <alignment/>
      <protection locked="0"/>
    </xf>
    <xf numFmtId="167" fontId="7" fillId="0" borderId="0" xfId="0" applyNumberFormat="1" applyFont="1" applyFill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42" fontId="7" fillId="0" borderId="0" xfId="52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/>
    </xf>
    <xf numFmtId="42" fontId="7" fillId="0" borderId="0" xfId="38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42" fontId="7" fillId="0" borderId="0" xfId="52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75" fontId="7" fillId="0" borderId="0" xfId="52" applyNumberFormat="1" applyFont="1" applyFill="1" applyBorder="1" applyAlignment="1">
      <alignment/>
    </xf>
    <xf numFmtId="169" fontId="7" fillId="0" borderId="0" xfId="0" applyNumberFormat="1" applyFont="1" applyFill="1" applyAlignment="1">
      <alignment/>
    </xf>
    <xf numFmtId="42" fontId="15" fillId="0" borderId="0" xfId="52" applyNumberFormat="1" applyFont="1" applyFill="1" applyAlignment="1" applyProtection="1">
      <alignment/>
      <protection locked="0"/>
    </xf>
    <xf numFmtId="37" fontId="7" fillId="0" borderId="0" xfId="38" applyNumberFormat="1" applyFont="1" applyFill="1" applyAlignment="1">
      <alignment/>
    </xf>
    <xf numFmtId="41" fontId="7" fillId="0" borderId="9" xfId="38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 applyProtection="1">
      <alignment/>
      <protection locked="0"/>
    </xf>
    <xf numFmtId="175" fontId="7" fillId="0" borderId="0" xfId="52" applyNumberFormat="1" applyFont="1" applyFill="1" applyAlignment="1" applyProtection="1">
      <alignment/>
      <protection locked="0"/>
    </xf>
    <xf numFmtId="42" fontId="7" fillId="0" borderId="0" xfId="52" applyNumberFormat="1" applyFont="1" applyFill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42" fontId="7" fillId="0" borderId="0" xfId="38" applyNumberFormat="1" applyFont="1" applyFill="1" applyBorder="1" applyAlignment="1">
      <alignment/>
    </xf>
    <xf numFmtId="17" fontId="7" fillId="0" borderId="0" xfId="0" applyNumberFormat="1" applyFont="1" applyFill="1" applyAlignment="1">
      <alignment/>
    </xf>
    <xf numFmtId="174" fontId="7" fillId="0" borderId="0" xfId="38" applyNumberFormat="1" applyFont="1" applyFill="1" applyBorder="1" applyAlignment="1">
      <alignment/>
    </xf>
    <xf numFmtId="174" fontId="7" fillId="0" borderId="0" xfId="38" applyNumberFormat="1" applyFont="1" applyFill="1" applyAlignment="1">
      <alignment/>
    </xf>
    <xf numFmtId="41" fontId="7" fillId="0" borderId="10" xfId="0" applyNumberFormat="1" applyFont="1" applyFill="1" applyBorder="1" applyAlignment="1" applyProtection="1">
      <alignment/>
      <protection locked="0"/>
    </xf>
    <xf numFmtId="41" fontId="7" fillId="0" borderId="9" xfId="0" applyNumberFormat="1" applyFont="1" applyFill="1" applyBorder="1" applyAlignment="1">
      <alignment/>
    </xf>
    <xf numFmtId="42" fontId="7" fillId="0" borderId="10" xfId="52" applyNumberFormat="1" applyFont="1" applyFill="1" applyBorder="1" applyAlignment="1" applyProtection="1">
      <alignment/>
      <protection locked="0"/>
    </xf>
    <xf numFmtId="174" fontId="7" fillId="0" borderId="0" xfId="38" applyNumberFormat="1" applyFont="1" applyFill="1" applyAlignment="1" applyProtection="1">
      <alignment/>
      <protection locked="0"/>
    </xf>
    <xf numFmtId="41" fontId="7" fillId="0" borderId="0" xfId="38" applyNumberFormat="1" applyFont="1" applyFill="1" applyAlignment="1">
      <alignment/>
    </xf>
    <xf numFmtId="41" fontId="7" fillId="0" borderId="0" xfId="38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2" fontId="7" fillId="0" borderId="0" xfId="38" applyNumberFormat="1" applyFont="1" applyFill="1" applyAlignment="1" applyProtection="1">
      <alignment/>
      <protection locked="0"/>
    </xf>
    <xf numFmtId="42" fontId="7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42" fontId="7" fillId="0" borderId="8" xfId="0" applyNumberFormat="1" applyFont="1" applyFill="1" applyBorder="1" applyAlignment="1">
      <alignment/>
    </xf>
    <xf numFmtId="41" fontId="7" fillId="0" borderId="0" xfId="38" applyNumberFormat="1" applyFont="1" applyFill="1" applyAlignment="1" applyProtection="1">
      <alignment/>
      <protection locked="0"/>
    </xf>
    <xf numFmtId="9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9" fontId="7" fillId="0" borderId="0" xfId="82" applyFont="1" applyFill="1" applyAlignment="1">
      <alignment/>
    </xf>
    <xf numFmtId="1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4" fontId="7" fillId="0" borderId="9" xfId="38" applyNumberFormat="1" applyFont="1" applyFill="1" applyBorder="1" applyAlignment="1" applyProtection="1">
      <alignment/>
      <protection locked="0"/>
    </xf>
    <xf numFmtId="174" fontId="7" fillId="0" borderId="9" xfId="38" applyNumberFormat="1" applyFont="1" applyFill="1" applyBorder="1" applyAlignment="1">
      <alignment/>
    </xf>
    <xf numFmtId="42" fontId="7" fillId="0" borderId="9" xfId="38" applyNumberFormat="1" applyFont="1" applyFill="1" applyBorder="1" applyAlignment="1" applyProtection="1">
      <alignment/>
      <protection locked="0"/>
    </xf>
    <xf numFmtId="37" fontId="7" fillId="0" borderId="0" xfId="38" applyNumberFormat="1" applyFont="1" applyFill="1" applyBorder="1" applyAlignment="1">
      <alignment/>
    </xf>
    <xf numFmtId="4" fontId="7" fillId="0" borderId="0" xfId="38" applyFont="1" applyFill="1" applyAlignment="1">
      <alignment/>
    </xf>
    <xf numFmtId="175" fontId="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9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41" fontId="7" fillId="0" borderId="0" xfId="52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176" fontId="6" fillId="0" borderId="0" xfId="0" applyNumberFormat="1" applyFont="1" applyFill="1" applyAlignment="1" applyProtection="1">
      <alignment/>
      <protection/>
    </xf>
    <xf numFmtId="3" fontId="16" fillId="0" borderId="0" xfId="38" applyNumberFormat="1" applyFont="1" applyFill="1" applyAlignment="1">
      <alignment/>
    </xf>
    <xf numFmtId="42" fontId="15" fillId="0" borderId="15" xfId="52" applyNumberFormat="1" applyFont="1" applyFill="1" applyBorder="1" applyAlignment="1" applyProtection="1">
      <alignment/>
      <protection/>
    </xf>
    <xf numFmtId="42" fontId="15" fillId="0" borderId="8" xfId="52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42" fontId="11" fillId="0" borderId="0" xfId="0" applyNumberFormat="1" applyFont="1" applyFill="1" applyAlignment="1">
      <alignment/>
    </xf>
    <xf numFmtId="3" fontId="7" fillId="0" borderId="0" xfId="38" applyNumberFormat="1" applyFont="1" applyFill="1" applyBorder="1" applyAlignment="1">
      <alignment/>
    </xf>
    <xf numFmtId="0" fontId="7" fillId="0" borderId="0" xfId="77" applyFont="1" applyFill="1" applyAlignment="1">
      <alignment/>
      <protection/>
    </xf>
    <xf numFmtId="37" fontId="7" fillId="0" borderId="0" xfId="77" applyNumberFormat="1" applyFont="1" applyFill="1" applyAlignment="1">
      <alignment/>
      <protection/>
    </xf>
    <xf numFmtId="41" fontId="7" fillId="0" borderId="10" xfId="38" applyNumberFormat="1" applyFont="1" applyFill="1" applyBorder="1" applyAlignment="1">
      <alignment/>
    </xf>
    <xf numFmtId="42" fontId="7" fillId="0" borderId="15" xfId="0" applyNumberFormat="1" applyFont="1" applyFill="1" applyBorder="1" applyAlignment="1">
      <alignment/>
    </xf>
    <xf numFmtId="42" fontId="7" fillId="0" borderId="8" xfId="52" applyNumberFormat="1" applyFont="1" applyFill="1" applyBorder="1" applyAlignment="1">
      <alignment/>
    </xf>
    <xf numFmtId="41" fontId="7" fillId="0" borderId="0" xfId="38" applyNumberFormat="1" applyFont="1" applyFill="1" applyBorder="1" applyAlignment="1" applyProtection="1">
      <alignment/>
      <protection locked="0"/>
    </xf>
    <xf numFmtId="175" fontId="7" fillId="0" borderId="15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37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right"/>
    </xf>
    <xf numFmtId="42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left"/>
    </xf>
    <xf numFmtId="44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42" fontId="11" fillId="0" borderId="0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6" fontId="7" fillId="0" borderId="0" xfId="52" applyNumberFormat="1" applyFont="1" applyFill="1" applyBorder="1" applyAlignment="1">
      <alignment/>
    </xf>
    <xf numFmtId="6" fontId="8" fillId="0" borderId="0" xfId="52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right"/>
    </xf>
    <xf numFmtId="6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right"/>
    </xf>
    <xf numFmtId="0" fontId="8" fillId="0" borderId="0" xfId="0" applyFont="1" applyFill="1" applyAlignment="1">
      <alignment horizontal="centerContinuous" vertical="center"/>
    </xf>
    <xf numFmtId="9" fontId="7" fillId="0" borderId="0" xfId="0" applyNumberFormat="1" applyFont="1" applyFill="1" applyBorder="1" applyAlignment="1">
      <alignment/>
    </xf>
    <xf numFmtId="175" fontId="7" fillId="0" borderId="8" xfId="0" applyNumberFormat="1" applyFont="1" applyFill="1" applyBorder="1" applyAlignment="1">
      <alignment/>
    </xf>
    <xf numFmtId="42" fontId="7" fillId="0" borderId="0" xfId="38" applyNumberFormat="1" applyFont="1" applyFill="1" applyAlignment="1" applyProtection="1">
      <alignment horizontal="right"/>
      <protection locked="0"/>
    </xf>
    <xf numFmtId="41" fontId="7" fillId="0" borderId="0" xfId="38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1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171" fontId="7" fillId="0" borderId="10" xfId="0" applyNumberFormat="1" applyFont="1" applyFill="1" applyBorder="1" applyAlignment="1" applyProtection="1">
      <alignment horizontal="right"/>
      <protection locked="0"/>
    </xf>
    <xf numFmtId="188" fontId="7" fillId="0" borderId="0" xfId="0" applyFont="1" applyFill="1" applyAlignment="1">
      <alignment/>
    </xf>
    <xf numFmtId="188" fontId="8" fillId="0" borderId="0" xfId="0" applyFont="1" applyFill="1" applyAlignment="1" applyProtection="1">
      <alignment horizontal="centerContinuous"/>
      <protection locked="0"/>
    </xf>
    <xf numFmtId="188" fontId="8" fillId="0" borderId="0" xfId="0" applyFont="1" applyFill="1" applyAlignment="1">
      <alignment horizontal="centerContinuous"/>
    </xf>
    <xf numFmtId="188" fontId="8" fillId="0" borderId="0" xfId="0" applyFont="1" applyFill="1" applyAlignment="1" applyProtection="1">
      <alignment horizontal="center"/>
      <protection locked="0"/>
    </xf>
    <xf numFmtId="188" fontId="8" fillId="0" borderId="0" xfId="0" applyFont="1" applyFill="1" applyAlignment="1">
      <alignment horizontal="center"/>
    </xf>
    <xf numFmtId="188" fontId="8" fillId="0" borderId="9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42" fontId="15" fillId="0" borderId="10" xfId="52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 horizontal="left"/>
    </xf>
    <xf numFmtId="41" fontId="7" fillId="0" borderId="9" xfId="38" applyNumberFormat="1" applyFont="1" applyFill="1" applyBorder="1" applyAlignment="1">
      <alignment horizontal="centerContinuous"/>
    </xf>
    <xf numFmtId="41" fontId="7" fillId="0" borderId="9" xfId="38" applyNumberFormat="1" applyFont="1" applyFill="1" applyBorder="1" applyAlignment="1" quotePrefix="1">
      <alignment horizontal="centerContinuous"/>
    </xf>
    <xf numFmtId="174" fontId="13" fillId="0" borderId="0" xfId="38" applyNumberFormat="1" applyFont="1" applyFill="1" applyAlignment="1">
      <alignment/>
    </xf>
    <xf numFmtId="42" fontId="8" fillId="0" borderId="0" xfId="0" applyNumberFormat="1" applyFont="1" applyFill="1" applyAlignment="1" applyProtection="1">
      <alignment horizontal="center"/>
      <protection locked="0"/>
    </xf>
    <xf numFmtId="188" fontId="7" fillId="0" borderId="9" xfId="0" applyFont="1" applyFill="1" applyBorder="1" applyAlignment="1">
      <alignment horizontal="center"/>
    </xf>
    <xf numFmtId="188" fontId="7" fillId="0" borderId="0" xfId="0" applyFont="1" applyFill="1" applyAlignment="1">
      <alignment horizontal="left"/>
    </xf>
    <xf numFmtId="188" fontId="7" fillId="0" borderId="0" xfId="0" applyFont="1" applyFill="1" applyAlignment="1">
      <alignment vertical="center"/>
    </xf>
    <xf numFmtId="188" fontId="7" fillId="0" borderId="9" xfId="0" applyFont="1" applyFill="1" applyBorder="1" applyAlignment="1">
      <alignment horizontal="center" vertical="top"/>
    </xf>
    <xf numFmtId="188" fontId="7" fillId="0" borderId="0" xfId="0" applyFont="1" applyFill="1" applyAlignment="1">
      <alignment horizontal="left" vertical="center"/>
    </xf>
    <xf numFmtId="37" fontId="7" fillId="0" borderId="0" xfId="38" applyNumberFormat="1" applyFont="1" applyFill="1" applyAlignment="1">
      <alignment vertical="top"/>
    </xf>
    <xf numFmtId="188" fontId="7" fillId="0" borderId="0" xfId="0" applyFont="1" applyAlignment="1">
      <alignment horizontal="left"/>
    </xf>
    <xf numFmtId="0" fontId="7" fillId="9" borderId="0" xfId="0" applyNumberFormat="1" applyFont="1" applyFill="1" applyAlignment="1">
      <alignment/>
    </xf>
    <xf numFmtId="0" fontId="7" fillId="9" borderId="0" xfId="0" applyNumberFormat="1" applyFont="1" applyFill="1" applyBorder="1" applyAlignment="1">
      <alignment/>
    </xf>
    <xf numFmtId="0" fontId="7" fillId="9" borderId="17" xfId="0" applyNumberFormat="1" applyFont="1" applyFill="1" applyBorder="1" applyAlignment="1">
      <alignment/>
    </xf>
    <xf numFmtId="0" fontId="7" fillId="9" borderId="2" xfId="0" applyNumberFormat="1" applyFont="1" applyFill="1" applyBorder="1" applyAlignment="1">
      <alignment/>
    </xf>
    <xf numFmtId="0" fontId="7" fillId="9" borderId="2" xfId="38" applyNumberFormat="1" applyFont="1" applyFill="1" applyBorder="1" applyAlignment="1">
      <alignment/>
    </xf>
    <xf numFmtId="0" fontId="7" fillId="9" borderId="2" xfId="0" applyNumberFormat="1" applyFont="1" applyFill="1" applyBorder="1" applyAlignment="1">
      <alignment horizontal="right"/>
    </xf>
    <xf numFmtId="0" fontId="7" fillId="9" borderId="2" xfId="0" applyNumberFormat="1" applyFont="1" applyFill="1" applyBorder="1" applyAlignment="1" applyProtection="1">
      <alignment/>
      <protection locked="0"/>
    </xf>
    <xf numFmtId="0" fontId="7" fillId="9" borderId="2" xfId="52" applyNumberFormat="1" applyFont="1" applyFill="1" applyBorder="1" applyAlignment="1">
      <alignment/>
    </xf>
    <xf numFmtId="0" fontId="11" fillId="9" borderId="2" xfId="0" applyNumberFormat="1" applyFont="1" applyFill="1" applyBorder="1" applyAlignment="1">
      <alignment/>
    </xf>
    <xf numFmtId="0" fontId="7" fillId="9" borderId="1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left"/>
    </xf>
    <xf numFmtId="188" fontId="7" fillId="0" borderId="0" xfId="0" applyFont="1" applyFill="1" applyAlignment="1" quotePrefix="1">
      <alignment/>
    </xf>
    <xf numFmtId="1" fontId="7" fillId="0" borderId="0" xfId="0" applyNumberFormat="1" applyFont="1" applyFill="1" applyBorder="1" applyAlignment="1" quotePrefix="1">
      <alignment horizontal="left"/>
    </xf>
    <xf numFmtId="41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37" fontId="7" fillId="0" borderId="9" xfId="0" applyNumberFormat="1" applyFont="1" applyFill="1" applyBorder="1" applyAlignment="1">
      <alignment/>
    </xf>
    <xf numFmtId="42" fontId="7" fillId="9" borderId="2" xfId="0" applyNumberFormat="1" applyFont="1" applyFill="1" applyBorder="1" applyAlignment="1">
      <alignment/>
    </xf>
    <xf numFmtId="0" fontId="8" fillId="0" borderId="0" xfId="0" applyFont="1" applyFill="1" applyAlignment="1" applyProtection="1">
      <alignment horizontal="centerContinuous" vertical="center"/>
      <protection locked="0"/>
    </xf>
    <xf numFmtId="190" fontId="7" fillId="0" borderId="0" xfId="0" applyNumberFormat="1" applyFont="1" applyFill="1" applyAlignment="1">
      <alignment/>
    </xf>
    <xf numFmtId="174" fontId="13" fillId="0" borderId="0" xfId="38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188" fontId="24" fillId="0" borderId="0" xfId="0" applyFont="1" applyFill="1" applyAlignment="1">
      <alignment horizontal="left"/>
    </xf>
    <xf numFmtId="174" fontId="24" fillId="0" borderId="0" xfId="0" applyNumberFormat="1" applyFont="1" applyFill="1" applyAlignment="1">
      <alignment/>
    </xf>
    <xf numFmtId="174" fontId="7" fillId="0" borderId="0" xfId="0" applyNumberFormat="1" applyFont="1" applyFill="1" applyAlignment="1" applyProtection="1">
      <alignment/>
      <protection locked="0"/>
    </xf>
    <xf numFmtId="174" fontId="7" fillId="0" borderId="9" xfId="0" applyNumberFormat="1" applyFont="1" applyFill="1" applyBorder="1" applyAlignment="1" applyProtection="1">
      <alignment/>
      <protection locked="0"/>
    </xf>
    <xf numFmtId="174" fontId="7" fillId="0" borderId="0" xfId="0" applyNumberFormat="1" applyFont="1" applyFill="1" applyAlignment="1">
      <alignment horizontal="left"/>
    </xf>
    <xf numFmtId="174" fontId="7" fillId="0" borderId="9" xfId="0" applyNumberFormat="1" applyFont="1" applyFill="1" applyBorder="1" applyAlignment="1">
      <alignment/>
    </xf>
    <xf numFmtId="174" fontId="7" fillId="0" borderId="0" xfId="0" applyNumberFormat="1" applyFont="1" applyFill="1" applyBorder="1" applyAlignment="1" applyProtection="1">
      <alignment/>
      <protection locked="0"/>
    </xf>
    <xf numFmtId="174" fontId="15" fillId="0" borderId="0" xfId="5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9" borderId="2" xfId="0" applyNumberFormat="1" applyFill="1" applyBorder="1" applyAlignment="1">
      <alignment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88" fontId="7" fillId="0" borderId="0" xfId="0" applyFont="1" applyFill="1" applyAlignment="1">
      <alignment horizontal="left" wrapText="1"/>
    </xf>
    <xf numFmtId="37" fontId="7" fillId="0" borderId="9" xfId="38" applyNumberFormat="1" applyFont="1" applyFill="1" applyBorder="1" applyAlignment="1">
      <alignment/>
    </xf>
    <xf numFmtId="37" fontId="7" fillId="0" borderId="0" xfId="52" applyNumberFormat="1" applyFont="1" applyFill="1" applyBorder="1" applyAlignment="1" applyProtection="1">
      <alignment/>
      <protection locked="0"/>
    </xf>
    <xf numFmtId="37" fontId="7" fillId="0" borderId="9" xfId="52" applyNumberFormat="1" applyFont="1" applyFill="1" applyBorder="1" applyAlignment="1" applyProtection="1">
      <alignment/>
      <protection locked="0"/>
    </xf>
    <xf numFmtId="3" fontId="7" fillId="0" borderId="0" xfId="38" applyNumberFormat="1" applyFont="1" applyFill="1" applyAlignment="1">
      <alignment horizontal="left"/>
    </xf>
    <xf numFmtId="175" fontId="7" fillId="0" borderId="0" xfId="52" applyNumberFormat="1" applyFont="1" applyFill="1" applyBorder="1" applyAlignment="1" applyProtection="1">
      <alignment/>
      <protection locked="0"/>
    </xf>
    <xf numFmtId="4" fontId="0" fillId="0" borderId="0" xfId="38" applyFont="1" applyAlignment="1">
      <alignment/>
    </xf>
    <xf numFmtId="37" fontId="7" fillId="0" borderId="10" xfId="38" applyNumberFormat="1" applyFont="1" applyFill="1" applyBorder="1" applyAlignment="1">
      <alignment/>
    </xf>
    <xf numFmtId="15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3" fontId="7" fillId="0" borderId="0" xfId="38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left" wrapText="1"/>
    </xf>
    <xf numFmtId="4" fontId="7" fillId="0" borderId="0" xfId="38" applyFont="1" applyFill="1" applyBorder="1" applyAlignment="1">
      <alignment/>
    </xf>
    <xf numFmtId="188" fontId="8" fillId="0" borderId="0" xfId="0" applyFont="1" applyFill="1" applyAlignment="1">
      <alignment horizontal="right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Alignment="1">
      <alignment/>
    </xf>
    <xf numFmtId="41" fontId="7" fillId="0" borderId="9" xfId="0" applyNumberFormat="1" applyFont="1" applyFill="1" applyBorder="1" applyAlignment="1">
      <alignment horizontal="center"/>
    </xf>
    <xf numFmtId="37" fontId="0" fillId="0" borderId="0" xfId="38" applyNumberFormat="1" applyFont="1" applyFill="1" applyAlignment="1">
      <alignment/>
    </xf>
    <xf numFmtId="3" fontId="0" fillId="0" borderId="0" xfId="38" applyNumberFormat="1" applyFont="1" applyFill="1" applyAlignment="1">
      <alignment/>
    </xf>
    <xf numFmtId="188" fontId="13" fillId="0" borderId="0" xfId="0" applyFont="1" applyFill="1" applyAlignment="1">
      <alignment horizontal="left" wrapText="1"/>
    </xf>
    <xf numFmtId="37" fontId="7" fillId="0" borderId="0" xfId="52" applyNumberFormat="1" applyFont="1" applyFill="1" applyBorder="1" applyAlignment="1">
      <alignment vertical="center"/>
    </xf>
    <xf numFmtId="42" fontId="7" fillId="0" borderId="0" xfId="52" applyNumberFormat="1" applyFont="1" applyFill="1" applyBorder="1" applyAlignment="1" applyProtection="1">
      <alignment/>
      <protection locked="0"/>
    </xf>
    <xf numFmtId="37" fontId="7" fillId="0" borderId="9" xfId="0" applyNumberFormat="1" applyFont="1" applyFill="1" applyBorder="1" applyAlignment="1">
      <alignment wrapText="1"/>
    </xf>
    <xf numFmtId="175" fontId="7" fillId="0" borderId="8" xfId="52" applyNumberFormat="1" applyFont="1" applyFill="1" applyBorder="1" applyAlignment="1" applyProtection="1">
      <alignment/>
      <protection locked="0"/>
    </xf>
    <xf numFmtId="42" fontId="7" fillId="0" borderId="15" xfId="0" applyNumberFormat="1" applyFont="1" applyFill="1" applyBorder="1" applyAlignment="1" applyProtection="1">
      <alignment horizontal="left" wrapText="1"/>
      <protection locked="0"/>
    </xf>
    <xf numFmtId="175" fontId="7" fillId="9" borderId="2" xfId="0" applyNumberFormat="1" applyFont="1" applyFill="1" applyBorder="1" applyAlignment="1">
      <alignment/>
    </xf>
    <xf numFmtId="188" fontId="7" fillId="0" borderId="0" xfId="0" applyFont="1" applyFill="1" applyAlignment="1">
      <alignment horizontal="left" wrapText="1"/>
    </xf>
    <xf numFmtId="188" fontId="11" fillId="0" borderId="0" xfId="0" applyFont="1" applyFill="1" applyAlignment="1">
      <alignment horizontal="centerContinuous"/>
    </xf>
    <xf numFmtId="188" fontId="24" fillId="0" borderId="0" xfId="0" applyFont="1" applyFill="1" applyAlignment="1">
      <alignment horizontal="centerContinuous"/>
    </xf>
    <xf numFmtId="188" fontId="30" fillId="0" borderId="0" xfId="0" applyFont="1" applyFill="1" applyAlignment="1">
      <alignment horizontal="centerContinuous"/>
    </xf>
    <xf numFmtId="188" fontId="8" fillId="0" borderId="0" xfId="0" applyFont="1" applyFill="1" applyAlignment="1">
      <alignment horizontal="left" wrapText="1"/>
    </xf>
    <xf numFmtId="188" fontId="7" fillId="0" borderId="0" xfId="0" applyFont="1" applyFill="1" applyAlignment="1">
      <alignment horizontal="center"/>
    </xf>
    <xf numFmtId="188" fontId="8" fillId="0" borderId="9" xfId="0" applyFont="1" applyFill="1" applyBorder="1" applyAlignment="1">
      <alignment horizontal="left" wrapText="1"/>
    </xf>
    <xf numFmtId="188" fontId="9" fillId="0" borderId="0" xfId="0" applyFont="1" applyAlignment="1">
      <alignment horizontal="left"/>
    </xf>
    <xf numFmtId="188" fontId="7" fillId="0" borderId="0" xfId="0" applyFont="1" applyAlignment="1">
      <alignment horizontal="left" indent="2"/>
    </xf>
    <xf numFmtId="42" fontId="7" fillId="0" borderId="0" xfId="38" applyNumberFormat="1" applyFont="1" applyAlignment="1">
      <alignment/>
    </xf>
    <xf numFmtId="42" fontId="7" fillId="0" borderId="0" xfId="38" applyNumberFormat="1" applyFont="1" applyFill="1" applyBorder="1" applyAlignment="1">
      <alignment/>
    </xf>
    <xf numFmtId="41" fontId="7" fillId="0" borderId="0" xfId="38" applyNumberFormat="1" applyFont="1" applyAlignment="1">
      <alignment/>
    </xf>
    <xf numFmtId="188" fontId="8" fillId="0" borderId="9" xfId="0" applyFont="1" applyBorder="1" applyAlignment="1" applyProtection="1">
      <alignment horizontal="left" wrapText="1"/>
      <protection locked="0"/>
    </xf>
    <xf numFmtId="188" fontId="8" fillId="0" borderId="9" xfId="0" applyFont="1" applyFill="1" applyBorder="1" applyAlignment="1" applyProtection="1">
      <alignment horizontal="center"/>
      <protection locked="0"/>
    </xf>
    <xf numFmtId="41" fontId="7" fillId="0" borderId="0" xfId="38" applyNumberFormat="1" applyFont="1" applyFill="1" applyBorder="1" applyAlignment="1">
      <alignment/>
    </xf>
    <xf numFmtId="41" fontId="7" fillId="0" borderId="9" xfId="38" applyNumberFormat="1" applyFont="1" applyBorder="1" applyAlignment="1">
      <alignment/>
    </xf>
    <xf numFmtId="41" fontId="13" fillId="0" borderId="10" xfId="0" applyNumberFormat="1" applyBorder="1" applyAlignment="1">
      <alignment horizontal="left" wrapText="1"/>
    </xf>
    <xf numFmtId="41" fontId="20" fillId="0" borderId="10" xfId="0" applyNumberFormat="1" applyFont="1" applyBorder="1" applyAlignment="1">
      <alignment horizontal="left" wrapText="1"/>
    </xf>
    <xf numFmtId="41" fontId="24" fillId="0" borderId="10" xfId="38" applyNumberFormat="1" applyFont="1" applyFill="1" applyBorder="1" applyAlignment="1">
      <alignment/>
    </xf>
    <xf numFmtId="41" fontId="7" fillId="0" borderId="0" xfId="0" applyNumberFormat="1" applyFont="1" applyBorder="1" applyAlignment="1">
      <alignment horizontal="left" wrapText="1"/>
    </xf>
    <xf numFmtId="41" fontId="13" fillId="0" borderId="0" xfId="0" applyNumberFormat="1" applyBorder="1" applyAlignment="1">
      <alignment horizontal="left" wrapText="1"/>
    </xf>
    <xf numFmtId="41" fontId="20" fillId="0" borderId="0" xfId="0" applyNumberFormat="1" applyFont="1" applyBorder="1" applyAlignment="1">
      <alignment horizontal="left" wrapText="1"/>
    </xf>
    <xf numFmtId="41" fontId="24" fillId="0" borderId="0" xfId="38" applyNumberFormat="1" applyFont="1" applyFill="1" applyBorder="1" applyAlignment="1">
      <alignment/>
    </xf>
    <xf numFmtId="41" fontId="7" fillId="0" borderId="9" xfId="0" applyNumberFormat="1" applyFont="1" applyBorder="1" applyAlignment="1">
      <alignment horizontal="left" wrapText="1"/>
    </xf>
    <xf numFmtId="41" fontId="7" fillId="0" borderId="9" xfId="38" applyNumberFormat="1" applyFont="1" applyFill="1" applyBorder="1" applyAlignment="1">
      <alignment/>
    </xf>
    <xf numFmtId="41" fontId="24" fillId="0" borderId="0" xfId="0" applyNumberFormat="1" applyFont="1" applyBorder="1" applyAlignment="1">
      <alignment horizontal="left" wrapText="1"/>
    </xf>
    <xf numFmtId="41" fontId="7" fillId="0" borderId="0" xfId="0" applyNumberFormat="1" applyFont="1" applyFill="1" applyBorder="1" applyAlignment="1">
      <alignment horizontal="left" wrapText="1"/>
    </xf>
    <xf numFmtId="171" fontId="7" fillId="0" borderId="0" xfId="0" applyNumberFormat="1" applyFont="1" applyFill="1" applyBorder="1" applyAlignment="1">
      <alignment horizontal="left" wrapText="1"/>
    </xf>
    <xf numFmtId="188" fontId="8" fillId="0" borderId="0" xfId="0" applyFont="1" applyFill="1" applyBorder="1" applyAlignment="1">
      <alignment horizontal="left"/>
    </xf>
    <xf numFmtId="188" fontId="8" fillId="0" borderId="0" xfId="0" applyFont="1" applyFill="1" applyAlignment="1">
      <alignment horizontal="centerContinuous" wrapText="1"/>
    </xf>
    <xf numFmtId="188" fontId="7" fillId="0" borderId="0" xfId="0" applyFont="1" applyAlignment="1">
      <alignment horizontal="left" indent="1"/>
    </xf>
    <xf numFmtId="42" fontId="7" fillId="0" borderId="10" xfId="52" applyNumberFormat="1" applyFont="1" applyBorder="1" applyAlignment="1">
      <alignment/>
    </xf>
    <xf numFmtId="42" fontId="7" fillId="0" borderId="0" xfId="0" applyNumberFormat="1" applyFont="1" applyBorder="1" applyAlignment="1">
      <alignment horizontal="left" wrapText="1"/>
    </xf>
    <xf numFmtId="42" fontId="7" fillId="0" borderId="10" xfId="0" applyNumberFormat="1" applyFont="1" applyBorder="1" applyAlignment="1">
      <alignment horizontal="left" wrapText="1"/>
    </xf>
    <xf numFmtId="188" fontId="8" fillId="0" borderId="0" xfId="0" applyFont="1" applyAlignment="1">
      <alignment horizontal="center"/>
    </xf>
    <xf numFmtId="188" fontId="8" fillId="0" borderId="0" xfId="0" applyFont="1" applyAlignment="1" applyProtection="1">
      <alignment horizontal="left" wrapText="1"/>
      <protection locked="0"/>
    </xf>
    <xf numFmtId="188" fontId="8" fillId="0" borderId="0" xfId="0" applyFont="1" applyFill="1" applyAlignment="1" applyProtection="1">
      <alignment/>
      <protection locked="0"/>
    </xf>
    <xf numFmtId="188" fontId="8" fillId="0" borderId="9" xfId="0" applyFont="1" applyBorder="1" applyAlignment="1">
      <alignment horizontal="center"/>
    </xf>
    <xf numFmtId="188" fontId="7" fillId="0" borderId="0" xfId="0" applyFont="1" applyBorder="1" applyAlignment="1" quotePrefix="1">
      <alignment horizontal="left"/>
    </xf>
    <xf numFmtId="188" fontId="7" fillId="0" borderId="0" xfId="0" applyFont="1" applyBorder="1" applyAlignment="1">
      <alignment horizontal="left"/>
    </xf>
    <xf numFmtId="194" fontId="7" fillId="0" borderId="0" xfId="82" applyNumberFormat="1" applyFont="1" applyBorder="1" applyAlignment="1">
      <alignment horizontal="center"/>
    </xf>
    <xf numFmtId="194" fontId="7" fillId="0" borderId="0" xfId="0" applyNumberFormat="1" applyFont="1" applyBorder="1" applyAlignment="1">
      <alignment horizontal="center" wrapText="1"/>
    </xf>
    <xf numFmtId="188" fontId="9" fillId="0" borderId="0" xfId="0" applyFont="1" applyBorder="1" applyAlignment="1">
      <alignment horizontal="left"/>
    </xf>
    <xf numFmtId="42" fontId="7" fillId="0" borderId="0" xfId="38" applyNumberFormat="1" applyFont="1" applyFill="1" applyAlignment="1">
      <alignment/>
    </xf>
    <xf numFmtId="41" fontId="7" fillId="0" borderId="0" xfId="38" applyNumberFormat="1" applyFont="1" applyFill="1" applyAlignment="1">
      <alignment/>
    </xf>
    <xf numFmtId="41" fontId="7" fillId="0" borderId="10" xfId="52" applyNumberFormat="1" applyFont="1" applyFill="1" applyBorder="1" applyAlignment="1">
      <alignment/>
    </xf>
    <xf numFmtId="41" fontId="13" fillId="0" borderId="10" xfId="0" applyNumberFormat="1" applyFill="1" applyBorder="1" applyAlignment="1">
      <alignment horizontal="left" wrapText="1"/>
    </xf>
    <xf numFmtId="41" fontId="7" fillId="0" borderId="10" xfId="38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 horizontal="left" wrapText="1"/>
    </xf>
    <xf numFmtId="0" fontId="7" fillId="0" borderId="0" xfId="78" applyFont="1" applyFill="1">
      <alignment/>
      <protection/>
    </xf>
    <xf numFmtId="9" fontId="7" fillId="0" borderId="0" xfId="82" applyNumberFormat="1" applyFont="1" applyFill="1" applyBorder="1" applyAlignment="1">
      <alignment/>
    </xf>
    <xf numFmtId="42" fontId="7" fillId="0" borderId="9" xfId="38" applyNumberFormat="1" applyFont="1" applyFill="1" applyBorder="1" applyAlignment="1">
      <alignment/>
    </xf>
    <xf numFmtId="49" fontId="7" fillId="0" borderId="0" xfId="0" applyNumberFormat="1" applyFont="1" applyFill="1" applyAlignment="1" quotePrefix="1">
      <alignment horizontal="fill"/>
    </xf>
    <xf numFmtId="41" fontId="7" fillId="0" borderId="10" xfId="0" applyNumberFormat="1" applyFont="1" applyFill="1" applyBorder="1" applyAlignment="1">
      <alignment horizontal="left" wrapText="1"/>
    </xf>
    <xf numFmtId="41" fontId="13" fillId="0" borderId="0" xfId="0" applyNumberFormat="1" applyFill="1" applyBorder="1" applyAlignment="1">
      <alignment horizontal="centerContinuous" wrapText="1"/>
    </xf>
    <xf numFmtId="41" fontId="7" fillId="0" borderId="0" xfId="38" applyNumberFormat="1" applyFont="1" applyFill="1" applyBorder="1" applyAlignment="1">
      <alignment horizontal="centerContinuous"/>
    </xf>
    <xf numFmtId="41" fontId="13" fillId="0" borderId="0" xfId="0" applyNumberFormat="1" applyFill="1" applyBorder="1" applyAlignment="1">
      <alignment horizontal="left" wrapText="1"/>
    </xf>
    <xf numFmtId="42" fontId="15" fillId="0" borderId="0" xfId="38" applyNumberFormat="1" applyFont="1" applyFill="1" applyBorder="1" applyAlignment="1">
      <alignment/>
    </xf>
    <xf numFmtId="195" fontId="7" fillId="0" borderId="0" xfId="0" applyNumberFormat="1" applyFont="1" applyFill="1" applyAlignment="1">
      <alignment/>
    </xf>
    <xf numFmtId="41" fontId="7" fillId="0" borderId="0" xfId="38" applyNumberFormat="1" applyFont="1" applyBorder="1" applyAlignment="1">
      <alignment/>
    </xf>
    <xf numFmtId="42" fontId="7" fillId="0" borderId="0" xfId="52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left" wrapText="1"/>
    </xf>
    <xf numFmtId="188" fontId="7" fillId="0" borderId="0" xfId="0" applyFont="1" applyFill="1" applyBorder="1" applyAlignment="1">
      <alignment horizontal="left" vertical="top"/>
    </xf>
    <xf numFmtId="167" fontId="7" fillId="0" borderId="0" xfId="0" applyNumberFormat="1" applyFont="1" applyFill="1" applyBorder="1" applyAlignment="1">
      <alignment horizontal="left" wrapText="1"/>
    </xf>
    <xf numFmtId="188" fontId="7" fillId="0" borderId="0" xfId="0" applyFont="1" applyFill="1" applyBorder="1" applyAlignment="1">
      <alignment horizontal="left" wrapText="1"/>
    </xf>
    <xf numFmtId="37" fontId="7" fillId="0" borderId="0" xfId="52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37" fontId="7" fillId="0" borderId="9" xfId="52" applyNumberFormat="1" applyFont="1" applyFill="1" applyBorder="1" applyAlignment="1" applyProtection="1">
      <alignment/>
      <protection locked="0"/>
    </xf>
    <xf numFmtId="175" fontId="7" fillId="0" borderId="0" xfId="52" applyNumberFormat="1" applyFont="1" applyFill="1" applyBorder="1" applyAlignment="1" applyProtection="1">
      <alignment/>
      <protection locked="0"/>
    </xf>
    <xf numFmtId="37" fontId="7" fillId="0" borderId="8" xfId="52" applyNumberFormat="1" applyFont="1" applyFill="1" applyBorder="1" applyAlignment="1" applyProtection="1">
      <alignment/>
      <protection locked="0"/>
    </xf>
    <xf numFmtId="188" fontId="27" fillId="0" borderId="0" xfId="0" applyFont="1" applyFill="1" applyBorder="1" applyAlignment="1">
      <alignment horizontal="right"/>
    </xf>
    <xf numFmtId="41" fontId="7" fillId="0" borderId="0" xfId="0" applyNumberFormat="1" applyFont="1" applyFill="1" applyAlignment="1">
      <alignment horizontal="fill"/>
    </xf>
    <xf numFmtId="37" fontId="7" fillId="0" borderId="0" xfId="52" applyNumberFormat="1" applyFont="1" applyFill="1" applyBorder="1" applyAlignment="1" applyProtection="1">
      <alignment/>
      <protection locked="0"/>
    </xf>
    <xf numFmtId="37" fontId="7" fillId="0" borderId="9" xfId="38" applyNumberFormat="1" applyFont="1" applyFill="1" applyBorder="1" applyAlignment="1">
      <alignment/>
    </xf>
    <xf numFmtId="188" fontId="7" fillId="0" borderId="0" xfId="0" applyFont="1" applyFill="1" applyAlignment="1">
      <alignment vertical="top"/>
    </xf>
    <xf numFmtId="0" fontId="8" fillId="0" borderId="0" xfId="0" applyNumberFormat="1" applyFont="1" applyFill="1" applyAlignment="1">
      <alignment horizontal="left"/>
    </xf>
    <xf numFmtId="188" fontId="7" fillId="0" borderId="0" xfId="0" applyFont="1" applyFill="1" applyBorder="1" applyAlignment="1">
      <alignment horizontal="right"/>
    </xf>
    <xf numFmtId="37" fontId="7" fillId="0" borderId="0" xfId="38" applyNumberFormat="1" applyFont="1" applyFill="1" applyBorder="1" applyAlignment="1">
      <alignment/>
    </xf>
    <xf numFmtId="42" fontId="7" fillId="0" borderId="15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Alignment="1">
      <alignment horizontal="left" vertical="center" indent="2"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9" fontId="7" fillId="0" borderId="0" xfId="0" applyNumberFormat="1" applyFont="1" applyFill="1" applyBorder="1" applyAlignment="1">
      <alignment horizontal="left" wrapText="1"/>
    </xf>
    <xf numFmtId="173" fontId="7" fillId="0" borderId="0" xfId="82" applyNumberFormat="1" applyFont="1" applyFill="1" applyBorder="1" applyAlignment="1">
      <alignment horizontal="right"/>
    </xf>
    <xf numFmtId="174" fontId="13" fillId="0" borderId="0" xfId="38" applyNumberFormat="1" applyFont="1" applyFill="1" applyAlignment="1">
      <alignment/>
    </xf>
    <xf numFmtId="41" fontId="7" fillId="0" borderId="0" xfId="0" applyNumberFormat="1" applyFont="1" applyFill="1" applyAlignment="1">
      <alignment horizontal="center"/>
    </xf>
    <xf numFmtId="175" fontId="7" fillId="0" borderId="0" xfId="52" applyNumberFormat="1" applyFont="1" applyFill="1" applyBorder="1" applyAlignment="1">
      <alignment/>
    </xf>
    <xf numFmtId="174" fontId="7" fillId="0" borderId="0" xfId="38" applyNumberFormat="1" applyFont="1" applyFill="1" applyBorder="1" applyAlignment="1">
      <alignment/>
    </xf>
    <xf numFmtId="174" fontId="7" fillId="0" borderId="9" xfId="38" applyNumberFormat="1" applyFont="1" applyFill="1" applyBorder="1" applyAlignment="1">
      <alignment/>
    </xf>
    <xf numFmtId="188" fontId="7" fillId="0" borderId="10" xfId="0" applyFont="1" applyFill="1" applyBorder="1" applyAlignment="1">
      <alignment/>
    </xf>
    <xf numFmtId="188" fontId="7" fillId="0" borderId="0" xfId="0" applyFont="1" applyBorder="1" applyAlignment="1">
      <alignment/>
    </xf>
    <xf numFmtId="3" fontId="7" fillId="0" borderId="10" xfId="38" applyNumberFormat="1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Alignment="1">
      <alignment horizontal="left" indent="3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42" fontId="7" fillId="0" borderId="9" xfId="38" applyNumberFormat="1" applyFont="1" applyFill="1" applyBorder="1" applyAlignment="1">
      <alignment/>
    </xf>
    <xf numFmtId="188" fontId="10" fillId="0" borderId="0" xfId="0" applyFont="1" applyFill="1" applyAlignment="1">
      <alignment/>
    </xf>
    <xf numFmtId="174" fontId="7" fillId="0" borderId="0" xfId="38" applyNumberFormat="1" applyFont="1" applyFill="1" applyBorder="1" applyAlignment="1" applyProtection="1">
      <alignment/>
      <protection locked="0"/>
    </xf>
    <xf numFmtId="174" fontId="7" fillId="0" borderId="10" xfId="38" applyNumberFormat="1" applyFont="1" applyFill="1" applyBorder="1" applyAlignment="1" applyProtection="1">
      <alignment/>
      <protection locked="0"/>
    </xf>
    <xf numFmtId="42" fontId="0" fillId="9" borderId="2" xfId="0" applyNumberFormat="1" applyFill="1" applyBorder="1" applyAlignment="1">
      <alignment/>
    </xf>
    <xf numFmtId="41" fontId="7" fillId="0" borderId="0" xfId="38" applyNumberFormat="1" applyFont="1" applyAlignment="1">
      <alignment wrapText="1"/>
    </xf>
    <xf numFmtId="41" fontId="7" fillId="0" borderId="10" xfId="52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42" fontId="7" fillId="0" borderId="2" xfId="0" applyNumberFormat="1" applyFont="1" applyBorder="1" applyAlignment="1">
      <alignment horizontal="left" wrapText="1"/>
    </xf>
    <xf numFmtId="188" fontId="7" fillId="0" borderId="0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2" fontId="7" fillId="0" borderId="0" xfId="0" applyNumberFormat="1" applyFont="1" applyFill="1" applyBorder="1" applyAlignment="1">
      <alignment horizontal="left" wrapText="1"/>
    </xf>
    <xf numFmtId="41" fontId="7" fillId="0" borderId="9" xfId="0" applyNumberFormat="1" applyFont="1" applyFill="1" applyBorder="1" applyAlignment="1" applyProtection="1">
      <alignment horizontal="right"/>
      <protection locked="0"/>
    </xf>
    <xf numFmtId="42" fontId="7" fillId="0" borderId="8" xfId="52" applyNumberFormat="1" applyFont="1" applyBorder="1" applyAlignment="1">
      <alignment/>
    </xf>
    <xf numFmtId="188" fontId="9" fillId="0" borderId="0" xfId="0" applyFont="1" applyFill="1" applyBorder="1" applyAlignment="1">
      <alignment horizontal="left" indent="1"/>
    </xf>
    <xf numFmtId="188" fontId="7" fillId="0" borderId="0" xfId="0" applyFont="1" applyFill="1" applyAlignment="1">
      <alignment horizontal="left" indent="2"/>
    </xf>
    <xf numFmtId="42" fontId="7" fillId="0" borderId="10" xfId="0" applyNumberFormat="1" applyFont="1" applyFill="1" applyBorder="1" applyAlignment="1">
      <alignment horizontal="left" wrapText="1"/>
    </xf>
    <xf numFmtId="42" fontId="7" fillId="0" borderId="15" xfId="0" applyNumberFormat="1" applyFont="1" applyFill="1" applyBorder="1" applyAlignment="1">
      <alignment horizontal="left" wrapText="1"/>
    </xf>
    <xf numFmtId="42" fontId="7" fillId="0" borderId="8" xfId="0" applyNumberFormat="1" applyFont="1" applyBorder="1" applyAlignment="1">
      <alignment horizontal="left" wrapText="1"/>
    </xf>
    <xf numFmtId="41" fontId="7" fillId="0" borderId="8" xfId="0" applyNumberFormat="1" applyFont="1" applyFill="1" applyBorder="1" applyAlignment="1">
      <alignment/>
    </xf>
    <xf numFmtId="41" fontId="7" fillId="9" borderId="2" xfId="0" applyNumberFormat="1" applyFont="1" applyFill="1" applyBorder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41" fontId="7" fillId="0" borderId="2" xfId="38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2" fontId="0" fillId="0" borderId="0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1" fontId="24" fillId="0" borderId="0" xfId="0" applyNumberFormat="1" applyFont="1" applyFill="1" applyBorder="1" applyAlignment="1">
      <alignment horizontal="left" wrapText="1"/>
    </xf>
    <xf numFmtId="188" fontId="7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centerContinuous"/>
    </xf>
    <xf numFmtId="10" fontId="9" fillId="0" borderId="0" xfId="0" applyNumberFormat="1" applyFont="1" applyFill="1" applyAlignment="1">
      <alignment horizontal="center"/>
    </xf>
    <xf numFmtId="41" fontId="24" fillId="0" borderId="0" xfId="0" applyNumberFormat="1" applyFont="1" applyFill="1" applyAlignment="1">
      <alignment/>
    </xf>
    <xf numFmtId="42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42" fontId="24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41" fontId="24" fillId="0" borderId="9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42" fontId="24" fillId="0" borderId="0" xfId="0" applyNumberFormat="1" applyFont="1" applyFill="1" applyBorder="1" applyAlignment="1">
      <alignment/>
    </xf>
    <xf numFmtId="188" fontId="9" fillId="0" borderId="0" xfId="0" applyFont="1" applyFill="1" applyBorder="1" applyAlignment="1">
      <alignment horizontal="left" wrapText="1"/>
    </xf>
    <xf numFmtId="41" fontId="24" fillId="0" borderId="0" xfId="38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41" fontId="24" fillId="0" borderId="9" xfId="0" applyNumberFormat="1" applyFont="1" applyFill="1" applyBorder="1" applyAlignment="1">
      <alignment/>
    </xf>
    <xf numFmtId="174" fontId="24" fillId="0" borderId="0" xfId="0" applyNumberFormat="1" applyFont="1" applyFill="1" applyAlignment="1" applyProtection="1">
      <alignment/>
      <protection locked="0"/>
    </xf>
    <xf numFmtId="174" fontId="24" fillId="0" borderId="9" xfId="0" applyNumberFormat="1" applyFont="1" applyFill="1" applyBorder="1" applyAlignment="1" applyProtection="1">
      <alignment/>
      <protection locked="0"/>
    </xf>
    <xf numFmtId="174" fontId="24" fillId="0" borderId="9" xfId="0" applyNumberFormat="1" applyFont="1" applyFill="1" applyBorder="1" applyAlignment="1">
      <alignment/>
    </xf>
    <xf numFmtId="188" fontId="0" fillId="0" borderId="0" xfId="0" applyFont="1" applyFill="1" applyAlignment="1">
      <alignment/>
    </xf>
    <xf numFmtId="188" fontId="0" fillId="0" borderId="10" xfId="0" applyFont="1" applyFill="1" applyBorder="1" applyAlignment="1">
      <alignment/>
    </xf>
    <xf numFmtId="188" fontId="7" fillId="0" borderId="0" xfId="0" applyFont="1" applyFill="1" applyAlignment="1">
      <alignment horizontal="right"/>
    </xf>
    <xf numFmtId="10" fontId="24" fillId="0" borderId="19" xfId="82" applyNumberFormat="1" applyFont="1" applyFill="1" applyBorder="1" applyAlignment="1" applyProtection="1">
      <alignment horizontal="center"/>
      <protection locked="0"/>
    </xf>
    <xf numFmtId="175" fontId="24" fillId="0" borderId="0" xfId="0" applyNumberFormat="1" applyFont="1" applyFill="1" applyBorder="1" applyAlignment="1">
      <alignment/>
    </xf>
    <xf numFmtId="42" fontId="24" fillId="0" borderId="0" xfId="0" applyNumberFormat="1" applyFont="1" applyFill="1" applyBorder="1" applyAlignment="1">
      <alignment horizontal="right"/>
    </xf>
    <xf numFmtId="37" fontId="7" fillId="0" borderId="9" xfId="0" applyNumberFormat="1" applyFont="1" applyFill="1" applyBorder="1" applyAlignment="1">
      <alignment horizontal="right"/>
    </xf>
    <xf numFmtId="42" fontId="7" fillId="0" borderId="0" xfId="52" applyNumberFormat="1" applyFont="1" applyFill="1" applyAlignment="1">
      <alignment horizontal="right"/>
    </xf>
    <xf numFmtId="41" fontId="7" fillId="0" borderId="9" xfId="0" applyNumberFormat="1" applyFont="1" applyFill="1" applyBorder="1" applyAlignment="1">
      <alignment horizontal="right"/>
    </xf>
    <xf numFmtId="41" fontId="7" fillId="0" borderId="0" xfId="52" applyNumberFormat="1" applyFont="1" applyFill="1" applyAlignment="1">
      <alignment/>
    </xf>
    <xf numFmtId="42" fontId="7" fillId="0" borderId="9" xfId="52" applyNumberFormat="1" applyFont="1" applyFill="1" applyBorder="1" applyAlignment="1">
      <alignment/>
    </xf>
    <xf numFmtId="41" fontId="7" fillId="0" borderId="9" xfId="52" applyNumberFormat="1" applyFont="1" applyFill="1" applyBorder="1" applyAlignment="1">
      <alignment/>
    </xf>
    <xf numFmtId="167" fontId="7" fillId="0" borderId="9" xfId="0" applyNumberFormat="1" applyFont="1" applyFill="1" applyBorder="1" applyAlignment="1">
      <alignment horizontal="center"/>
    </xf>
    <xf numFmtId="42" fontId="7" fillId="0" borderId="2" xfId="38" applyNumberFormat="1" applyFont="1" applyFill="1" applyBorder="1" applyAlignment="1">
      <alignment/>
    </xf>
    <xf numFmtId="42" fontId="7" fillId="0" borderId="15" xfId="38" applyNumberFormat="1" applyFont="1" applyFill="1" applyBorder="1" applyAlignment="1">
      <alignment/>
    </xf>
    <xf numFmtId="41" fontId="7" fillId="0" borderId="0" xfId="38" applyNumberFormat="1" applyFont="1" applyFill="1" applyAlignment="1">
      <alignment wrapText="1"/>
    </xf>
    <xf numFmtId="42" fontId="7" fillId="0" borderId="0" xfId="52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15" fillId="0" borderId="0" xfId="52" applyNumberFormat="1" applyFont="1" applyFill="1" applyBorder="1" applyAlignment="1" applyProtection="1">
      <alignment/>
      <protection locked="0"/>
    </xf>
    <xf numFmtId="42" fontId="7" fillId="0" borderId="8" xfId="38" applyNumberFormat="1" applyFont="1" applyFill="1" applyBorder="1" applyAlignment="1">
      <alignment/>
    </xf>
    <xf numFmtId="41" fontId="7" fillId="0" borderId="8" xfId="38" applyNumberFormat="1" applyFont="1" applyBorder="1" applyAlignment="1">
      <alignment/>
    </xf>
    <xf numFmtId="173" fontId="7" fillId="0" borderId="9" xfId="82" applyNumberFormat="1" applyFont="1" applyFill="1" applyBorder="1" applyAlignment="1">
      <alignment horizontal="right"/>
    </xf>
    <xf numFmtId="173" fontId="7" fillId="0" borderId="9" xfId="82" applyNumberFormat="1" applyFont="1" applyFill="1" applyBorder="1" applyAlignment="1">
      <alignment/>
    </xf>
    <xf numFmtId="175" fontId="7" fillId="0" borderId="8" xfId="52" applyNumberFormat="1" applyFont="1" applyFill="1" applyBorder="1" applyAlignment="1">
      <alignment/>
    </xf>
    <xf numFmtId="37" fontId="7" fillId="0" borderId="0" xfId="38" applyNumberFormat="1" applyFont="1" applyFill="1" applyAlignment="1" applyProtection="1">
      <alignment vertical="center"/>
      <protection locked="0"/>
    </xf>
    <xf numFmtId="37" fontId="7" fillId="0" borderId="0" xfId="38" applyNumberFormat="1" applyFont="1" applyFill="1" applyBorder="1" applyAlignment="1" applyProtection="1">
      <alignment/>
      <protection locked="0"/>
    </xf>
    <xf numFmtId="5" fontId="7" fillId="0" borderId="8" xfId="52" applyNumberFormat="1" applyFont="1" applyFill="1" applyBorder="1" applyAlignment="1">
      <alignment/>
    </xf>
    <xf numFmtId="169" fontId="7" fillId="0" borderId="9" xfId="0" applyNumberFormat="1" applyFont="1" applyFill="1" applyBorder="1" applyAlignment="1">
      <alignment/>
    </xf>
    <xf numFmtId="169" fontId="7" fillId="0" borderId="3" xfId="0" applyNumberFormat="1" applyFont="1" applyFill="1" applyBorder="1" applyAlignment="1" applyProtection="1">
      <alignment/>
      <protection locked="0"/>
    </xf>
    <xf numFmtId="170" fontId="7" fillId="0" borderId="9" xfId="0" applyNumberFormat="1" applyFont="1" applyFill="1" applyBorder="1" applyAlignment="1" applyProtection="1">
      <alignment/>
      <protection locked="0"/>
    </xf>
    <xf numFmtId="41" fontId="13" fillId="0" borderId="10" xfId="0" applyNumberFormat="1" applyFont="1" applyBorder="1" applyAlignment="1">
      <alignment horizontal="left" wrapText="1"/>
    </xf>
    <xf numFmtId="41" fontId="13" fillId="0" borderId="0" xfId="0" applyNumberFormat="1" applyFont="1" applyBorder="1" applyAlignment="1">
      <alignment horizontal="left" wrapText="1"/>
    </xf>
    <xf numFmtId="42" fontId="7" fillId="0" borderId="0" xfId="38" applyNumberFormat="1" applyFont="1" applyBorder="1" applyAlignment="1">
      <alignment/>
    </xf>
    <xf numFmtId="165" fontId="7" fillId="0" borderId="0" xfId="82" applyNumberFormat="1" applyFont="1" applyFill="1" applyBorder="1" applyAlignment="1">
      <alignment/>
    </xf>
    <xf numFmtId="221" fontId="7" fillId="0" borderId="0" xfId="52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/>
      <protection locked="0"/>
    </xf>
    <xf numFmtId="222" fontId="7" fillId="0" borderId="0" xfId="0" applyNumberFormat="1" applyFont="1" applyFill="1" applyBorder="1" applyAlignment="1" applyProtection="1">
      <alignment/>
      <protection locked="0"/>
    </xf>
    <xf numFmtId="188" fontId="7" fillId="0" borderId="0" xfId="0" applyFont="1" applyFill="1" applyBorder="1" applyAlignment="1">
      <alignment horizontal="left"/>
    </xf>
    <xf numFmtId="4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 horizontal="centerContinuous"/>
      <protection locked="0"/>
    </xf>
    <xf numFmtId="18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Continuous"/>
      <protection locked="0"/>
    </xf>
    <xf numFmtId="10" fontId="24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 applyProtection="1">
      <alignment/>
      <protection locked="0"/>
    </xf>
    <xf numFmtId="170" fontId="7" fillId="0" borderId="0" xfId="0" applyNumberFormat="1" applyFont="1" applyFill="1" applyBorder="1" applyAlignment="1">
      <alignment/>
    </xf>
    <xf numFmtId="3" fontId="8" fillId="0" borderId="0" xfId="38" applyNumberFormat="1" applyFont="1" applyFill="1" applyBorder="1" applyAlignment="1">
      <alignment/>
    </xf>
    <xf numFmtId="42" fontId="7" fillId="0" borderId="9" xfId="52" applyNumberFormat="1" applyFont="1" applyFill="1" applyBorder="1" applyAlignment="1" applyProtection="1">
      <alignment/>
      <protection locked="0"/>
    </xf>
    <xf numFmtId="42" fontId="7" fillId="9" borderId="2" xfId="52" applyNumberFormat="1" applyFont="1" applyFill="1" applyBorder="1" applyAlignment="1">
      <alignment/>
    </xf>
    <xf numFmtId="171" fontId="7" fillId="0" borderId="9" xfId="0" applyNumberFormat="1" applyFont="1" applyFill="1" applyBorder="1" applyAlignment="1" applyProtection="1">
      <alignment/>
      <protection locked="0"/>
    </xf>
    <xf numFmtId="42" fontId="7" fillId="0" borderId="8" xfId="52" applyNumberFormat="1" applyFont="1" applyFill="1" applyBorder="1" applyAlignment="1" applyProtection="1">
      <alignment/>
      <protection locked="0"/>
    </xf>
    <xf numFmtId="10" fontId="7" fillId="0" borderId="9" xfId="82" applyNumberFormat="1" applyFont="1" applyFill="1" applyBorder="1" applyAlignment="1">
      <alignment horizontal="right"/>
    </xf>
    <xf numFmtId="42" fontId="7" fillId="0" borderId="0" xfId="52" applyNumberFormat="1" applyFont="1" applyFill="1" applyBorder="1" applyAlignment="1" applyProtection="1">
      <alignment horizontal="right"/>
      <protection locked="0"/>
    </xf>
    <xf numFmtId="42" fontId="15" fillId="0" borderId="8" xfId="38" applyNumberFormat="1" applyFont="1" applyFill="1" applyBorder="1" applyAlignment="1">
      <alignment/>
    </xf>
    <xf numFmtId="42" fontId="15" fillId="0" borderId="0" xfId="52" applyNumberFormat="1" applyFont="1" applyFill="1" applyBorder="1" applyAlignment="1" applyProtection="1">
      <alignment/>
      <protection/>
    </xf>
    <xf numFmtId="188" fontId="7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 horizontal="left"/>
    </xf>
    <xf numFmtId="42" fontId="7" fillId="0" borderId="8" xfId="0" applyNumberFormat="1" applyFont="1" applyFill="1" applyBorder="1" applyAlignment="1">
      <alignment horizontal="right"/>
    </xf>
    <xf numFmtId="3" fontId="7" fillId="0" borderId="0" xfId="38" applyNumberFormat="1" applyFont="1" applyFill="1" applyAlignment="1" applyProtection="1">
      <alignment/>
      <protection locked="0"/>
    </xf>
    <xf numFmtId="175" fontId="7" fillId="0" borderId="10" xfId="0" applyNumberFormat="1" applyFont="1" applyFill="1" applyBorder="1" applyAlignment="1">
      <alignment/>
    </xf>
    <xf numFmtId="188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Alignment="1" applyProtection="1">
      <alignment/>
      <protection locked="0"/>
    </xf>
    <xf numFmtId="195" fontId="8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42" fontId="42" fillId="0" borderId="0" xfId="52" applyNumberFormat="1" applyFont="1" applyFill="1" applyBorder="1" applyAlignment="1" applyProtection="1">
      <alignment/>
      <protection/>
    </xf>
  </cellXfs>
  <cellStyles count="10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Calc Currency (0)" xfId="35"/>
    <cellStyle name="Calculation" xfId="36"/>
    <cellStyle name="CheckCell" xfId="37"/>
    <cellStyle name="Comma" xfId="38"/>
    <cellStyle name="Comma [0]" xfId="39"/>
    <cellStyle name="Comma0" xfId="40"/>
    <cellStyle name="Comma0 - Style2" xfId="41"/>
    <cellStyle name="Comma0 - Style4" xfId="42"/>
    <cellStyle name="Comma0 - Style5" xfId="43"/>
    <cellStyle name="Comma0_00COS Ind Allocators" xfId="44"/>
    <cellStyle name="Comma1 - Style1" xfId="45"/>
    <cellStyle name="Copied" xfId="46"/>
    <cellStyle name="COST1" xfId="47"/>
    <cellStyle name="Curren - Style1" xfId="48"/>
    <cellStyle name="Curren - Style2" xfId="49"/>
    <cellStyle name="Curren - Style5" xfId="50"/>
    <cellStyle name="Curren - Style6" xfId="51"/>
    <cellStyle name="Currency" xfId="52"/>
    <cellStyle name="Currency [0]" xfId="53"/>
    <cellStyle name="Currency0" xfId="54"/>
    <cellStyle name="Date" xfId="55"/>
    <cellStyle name="Entered" xfId="56"/>
    <cellStyle name="Fixed" xfId="57"/>
    <cellStyle name="Fixed3 - Style3" xfId="58"/>
    <cellStyle name="Followed Hyperlink" xfId="59"/>
    <cellStyle name="Grey" xfId="60"/>
    <cellStyle name="Header1" xfId="61"/>
    <cellStyle name="Header2" xfId="62"/>
    <cellStyle name="Heading 1" xfId="63"/>
    <cellStyle name="Heading 2" xfId="64"/>
    <cellStyle name="Heading1" xfId="65"/>
    <cellStyle name="Heading2" xfId="66"/>
    <cellStyle name="Hyperlink" xfId="67"/>
    <cellStyle name="Input [yellow]" xfId="68"/>
    <cellStyle name="Input Cells" xfId="69"/>
    <cellStyle name="Input Cells Percent" xfId="70"/>
    <cellStyle name="Lines" xfId="71"/>
    <cellStyle name="LINKED" xfId="72"/>
    <cellStyle name="modified border" xfId="73"/>
    <cellStyle name="modified border1" xfId="74"/>
    <cellStyle name="no dec" xfId="75"/>
    <cellStyle name="Normal - Style1" xfId="76"/>
    <cellStyle name="Normal_model" xfId="77"/>
    <cellStyle name="Normal_Wild Horse 2006 GRC" xfId="78"/>
    <cellStyle name="Percen - Style1" xfId="79"/>
    <cellStyle name="Percen - Style2" xfId="80"/>
    <cellStyle name="Percen - Style3" xfId="81"/>
    <cellStyle name="Percent" xfId="82"/>
    <cellStyle name="Percent [2]" xfId="83"/>
    <cellStyle name="Processing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purple - Style8" xfId="91"/>
    <cellStyle name="RED" xfId="92"/>
    <cellStyle name="Red - Style7" xfId="93"/>
    <cellStyle name="Report" xfId="94"/>
    <cellStyle name="Report Bar" xfId="95"/>
    <cellStyle name="Report Heading" xfId="96"/>
    <cellStyle name="Report Percent" xfId="97"/>
    <cellStyle name="Report Unit Cost" xfId="98"/>
    <cellStyle name="Reports Total" xfId="99"/>
    <cellStyle name="Reports Unit Cost Total" xfId="100"/>
    <cellStyle name="RevList" xfId="101"/>
    <cellStyle name="round100" xfId="102"/>
    <cellStyle name="shade" xfId="103"/>
    <cellStyle name="StmtTtl1" xfId="104"/>
    <cellStyle name="StmtTtl2" xfId="105"/>
    <cellStyle name="STYL1 - Style1" xfId="106"/>
    <cellStyle name="Subtotal" xfId="107"/>
    <cellStyle name="Sub-total" xfId="108"/>
    <cellStyle name="Title: Major" xfId="109"/>
    <cellStyle name="Title: Minor" xfId="110"/>
    <cellStyle name="Title: Worksheet" xfId="111"/>
    <cellStyle name="Total" xfId="112"/>
    <cellStyle name="Total4 - Style4" xfId="113"/>
  </cellStyles>
  <dxfs count="3">
    <dxf>
      <fill>
        <patternFill>
          <bgColor rgb="FF339933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K152"/>
  <sheetViews>
    <sheetView tabSelected="1" workbookViewId="0" topLeftCell="HP1">
      <pane ySplit="15" topLeftCell="BM62" activePane="bottomLeft" state="frozen"/>
      <selection pane="topLeft" activeCell="A1" sqref="A1"/>
      <selection pane="bottomLeft" activeCell="HL2" sqref="HL2:HX63"/>
    </sheetView>
  </sheetViews>
  <sheetFormatPr defaultColWidth="9.33203125" defaultRowHeight="15" customHeight="1"/>
  <cols>
    <col min="1" max="1" width="6.83203125" style="78" customWidth="1"/>
    <col min="2" max="2" width="39.83203125" style="78" customWidth="1"/>
    <col min="3" max="3" width="15.5" style="78" customWidth="1"/>
    <col min="4" max="4" width="15.83203125" style="78" customWidth="1"/>
    <col min="5" max="5" width="14.83203125" style="78" customWidth="1"/>
    <col min="6" max="6" width="19.66015625" style="78" customWidth="1"/>
    <col min="7" max="7" width="15.83203125" style="78" customWidth="1"/>
    <col min="8" max="8" width="5.83203125" style="78" customWidth="1"/>
    <col min="9" max="9" width="69.33203125" style="78" customWidth="1"/>
    <col min="10" max="10" width="15.66015625" style="78" customWidth="1"/>
    <col min="11" max="11" width="18.66015625" style="78" customWidth="1"/>
    <col min="12" max="12" width="21" style="78" customWidth="1"/>
    <col min="13" max="13" width="5.83203125" style="78" customWidth="1"/>
    <col min="14" max="14" width="72.5" style="78" customWidth="1"/>
    <col min="15" max="15" width="19.83203125" style="78" customWidth="1"/>
    <col min="16" max="16" width="22.16015625" style="78" customWidth="1"/>
    <col min="17" max="17" width="22.5" style="78" customWidth="1"/>
    <col min="18" max="18" width="5.83203125" style="78" customWidth="1"/>
    <col min="19" max="19" width="56.83203125" style="133" customWidth="1"/>
    <col min="20" max="20" width="16.33203125" style="133" bestFit="1" customWidth="1"/>
    <col min="21" max="21" width="21.16015625" style="133" customWidth="1"/>
    <col min="22" max="22" width="5.83203125" style="78" customWidth="1"/>
    <col min="23" max="23" width="50.5" style="78" customWidth="1"/>
    <col min="24" max="24" width="25.33203125" style="78" customWidth="1"/>
    <col min="25" max="25" width="21.83203125" style="78" customWidth="1"/>
    <col min="26" max="26" width="5.83203125" style="78" customWidth="1"/>
    <col min="27" max="27" width="59" style="78" customWidth="1"/>
    <col min="28" max="30" width="21.83203125" style="78" customWidth="1"/>
    <col min="31" max="31" width="5.83203125" style="78" customWidth="1"/>
    <col min="32" max="32" width="68.16015625" style="78" bestFit="1" customWidth="1"/>
    <col min="33" max="33" width="17.33203125" style="78" bestFit="1" customWidth="1"/>
    <col min="34" max="34" width="17.16015625" style="140" bestFit="1" customWidth="1"/>
    <col min="35" max="35" width="17.83203125" style="78" customWidth="1"/>
    <col min="36" max="36" width="5.83203125" style="78" customWidth="1"/>
    <col min="37" max="37" width="48.66015625" style="78" bestFit="1" customWidth="1"/>
    <col min="38" max="40" width="17.83203125" style="78" customWidth="1"/>
    <col min="41" max="41" width="5.83203125" style="78" customWidth="1"/>
    <col min="42" max="42" width="48.66015625" style="78" bestFit="1" customWidth="1"/>
    <col min="43" max="45" width="17.83203125" style="78" customWidth="1"/>
    <col min="46" max="46" width="5.83203125" style="78" customWidth="1"/>
    <col min="47" max="47" width="61.33203125" style="78" bestFit="1" customWidth="1"/>
    <col min="48" max="50" width="17.83203125" style="78" customWidth="1"/>
    <col min="51" max="51" width="5.83203125" style="78" customWidth="1"/>
    <col min="52" max="52" width="48.66015625" style="78" bestFit="1" customWidth="1"/>
    <col min="53" max="55" width="17.83203125" style="78" customWidth="1"/>
    <col min="56" max="56" width="5.83203125" style="78" customWidth="1"/>
    <col min="57" max="57" width="51" style="78" customWidth="1"/>
    <col min="58" max="60" width="17.83203125" style="78" customWidth="1"/>
    <col min="61" max="61" width="15.83203125" style="78" customWidth="1"/>
    <col min="62" max="62" width="5.83203125" style="78" customWidth="1"/>
    <col min="63" max="63" width="35.83203125" style="78" customWidth="1"/>
    <col min="64" max="64" width="17.5" style="78" bestFit="1" customWidth="1"/>
    <col min="65" max="65" width="19.33203125" style="78" bestFit="1" customWidth="1"/>
    <col min="66" max="66" width="21.66015625" style="78" bestFit="1" customWidth="1"/>
    <col min="67" max="67" width="18.5" style="78" bestFit="1" customWidth="1"/>
    <col min="68" max="68" width="18.83203125" style="78" bestFit="1" customWidth="1"/>
    <col min="69" max="69" width="18.16015625" style="78" customWidth="1"/>
    <col min="70" max="70" width="5.83203125" style="78" customWidth="1"/>
    <col min="71" max="71" width="89.5" style="78" customWidth="1"/>
    <col min="72" max="72" width="17.5" style="78" customWidth="1"/>
    <col min="73" max="73" width="20.5" style="78" customWidth="1"/>
    <col min="74" max="74" width="20" style="78" customWidth="1"/>
    <col min="75" max="75" width="5.83203125" style="78" customWidth="1"/>
    <col min="76" max="76" width="55.16015625" style="78" customWidth="1"/>
    <col min="77" max="77" width="20.66015625" style="78" customWidth="1"/>
    <col min="78" max="78" width="19.33203125" style="78" customWidth="1"/>
    <col min="79" max="79" width="19.83203125" style="78" customWidth="1"/>
    <col min="80" max="80" width="21.33203125" style="78" customWidth="1"/>
    <col min="81" max="81" width="5.83203125" style="130" customWidth="1"/>
    <col min="82" max="82" width="59.83203125" style="130" customWidth="1"/>
    <col min="83" max="83" width="6.5" style="130" customWidth="1"/>
    <col min="84" max="84" width="22.66015625" style="130" customWidth="1"/>
    <col min="85" max="85" width="5.83203125" style="78" customWidth="1"/>
    <col min="86" max="86" width="55.16015625" style="130" customWidth="1"/>
    <col min="87" max="87" width="17" style="130" customWidth="1"/>
    <col min="88" max="88" width="15.66015625" style="130" customWidth="1"/>
    <col min="89" max="89" width="18.16015625" style="130" customWidth="1"/>
    <col min="90" max="90" width="6.83203125" style="78" customWidth="1"/>
    <col min="91" max="91" width="37.33203125" style="78" customWidth="1"/>
    <col min="92" max="92" width="6.5" style="78" customWidth="1"/>
    <col min="93" max="93" width="18" style="78" customWidth="1"/>
    <col min="94" max="94" width="22" style="78" customWidth="1"/>
    <col min="95" max="95" width="6.83203125" style="78" customWidth="1"/>
    <col min="96" max="96" width="36.16015625" style="78" customWidth="1"/>
    <col min="97" max="97" width="16.16015625" style="78" customWidth="1"/>
    <col min="98" max="98" width="18.83203125" style="78" customWidth="1"/>
    <col min="99" max="99" width="6.83203125" style="78" customWidth="1"/>
    <col min="100" max="100" width="45.16015625" style="78" customWidth="1"/>
    <col min="101" max="103" width="19.83203125" style="78" customWidth="1"/>
    <col min="104" max="104" width="5.83203125" style="78" customWidth="1"/>
    <col min="105" max="105" width="82.66015625" style="78" bestFit="1" customWidth="1"/>
    <col min="106" max="106" width="22.33203125" style="78" customWidth="1"/>
    <col min="107" max="107" width="22.5" style="78" customWidth="1"/>
    <col min="108" max="108" width="5.83203125" style="78" customWidth="1"/>
    <col min="109" max="109" width="91.5" style="78" bestFit="1" customWidth="1"/>
    <col min="110" max="110" width="16.83203125" style="78" customWidth="1"/>
    <col min="111" max="111" width="5.83203125" style="78" customWidth="1"/>
    <col min="112" max="112" width="54.33203125" style="78" customWidth="1"/>
    <col min="113" max="113" width="16" style="78" customWidth="1"/>
    <col min="114" max="114" width="18.5" style="78" customWidth="1"/>
    <col min="115" max="115" width="29.33203125" style="78" customWidth="1"/>
    <col min="116" max="116" width="5.83203125" style="78" customWidth="1"/>
    <col min="117" max="117" width="43.83203125" style="78" customWidth="1"/>
    <col min="118" max="120" width="16" style="78" customWidth="1"/>
    <col min="121" max="121" width="6.83203125" style="78" customWidth="1"/>
    <col min="122" max="122" width="42.83203125" style="78" customWidth="1"/>
    <col min="123" max="125" width="18" style="78" customWidth="1"/>
    <col min="126" max="126" width="5.83203125" style="78" customWidth="1"/>
    <col min="127" max="127" width="61.16015625" style="78" customWidth="1"/>
    <col min="128" max="128" width="9.66015625" style="78" customWidth="1"/>
    <col min="129" max="129" width="19.83203125" style="78" customWidth="1"/>
    <col min="130" max="130" width="19.5" style="78" customWidth="1"/>
    <col min="131" max="131" width="6.83203125" style="78" customWidth="1"/>
    <col min="132" max="132" width="41.66015625" style="78" customWidth="1"/>
    <col min="133" max="133" width="10.16015625" style="78" customWidth="1"/>
    <col min="134" max="134" width="10.83203125" style="78" customWidth="1"/>
    <col min="135" max="135" width="23.16015625" style="78" customWidth="1"/>
    <col min="136" max="136" width="6.83203125" style="78" customWidth="1"/>
    <col min="137" max="137" width="47.5" style="301" customWidth="1"/>
    <col min="138" max="138" width="23.83203125" style="301" customWidth="1"/>
    <col min="139" max="139" width="22.5" style="301" customWidth="1"/>
    <col min="140" max="140" width="20.5" style="301" customWidth="1"/>
    <col min="141" max="141" width="6.83203125" style="78" customWidth="1"/>
    <col min="142" max="142" width="66" style="78" customWidth="1"/>
    <col min="143" max="143" width="12.16015625" style="78" customWidth="1"/>
    <col min="144" max="144" width="21.16015625" style="78" customWidth="1"/>
    <col min="145" max="145" width="6.83203125" style="78" customWidth="1"/>
    <col min="146" max="146" width="56.16015625" style="78" bestFit="1" customWidth="1"/>
    <col min="147" max="149" width="21.16015625" style="78" customWidth="1"/>
    <col min="150" max="150" width="7.33203125" style="78" bestFit="1" customWidth="1"/>
    <col min="151" max="151" width="61.16015625" style="78" customWidth="1"/>
    <col min="152" max="152" width="17.83203125" style="78" customWidth="1"/>
    <col min="153" max="153" width="15.66015625" style="78" customWidth="1"/>
    <col min="154" max="154" width="17.16015625" style="78" customWidth="1"/>
    <col min="155" max="155" width="17.83203125" style="78" customWidth="1"/>
    <col min="156" max="156" width="6.83203125" style="78" customWidth="1"/>
    <col min="157" max="157" width="62.83203125" style="78" customWidth="1"/>
    <col min="158" max="159" width="18.5" style="78" customWidth="1"/>
    <col min="160" max="160" width="18.33203125" style="78" customWidth="1"/>
    <col min="161" max="161" width="7.33203125" style="301" customWidth="1"/>
    <col min="162" max="162" width="66.83203125" style="301" customWidth="1"/>
    <col min="163" max="163" width="16.83203125" style="301" customWidth="1"/>
    <col min="164" max="164" width="16.66015625" style="301" customWidth="1"/>
    <col min="165" max="165" width="20.5" style="301" customWidth="1"/>
    <col min="166" max="166" width="6.83203125" style="78" customWidth="1"/>
    <col min="167" max="167" width="59" style="301" bestFit="1" customWidth="1"/>
    <col min="168" max="170" width="20.5" style="301" customWidth="1"/>
    <col min="171" max="171" width="6.83203125" style="78" customWidth="1"/>
    <col min="172" max="172" width="66.83203125" style="78" customWidth="1"/>
    <col min="173" max="173" width="23.83203125" style="78" customWidth="1"/>
    <col min="174" max="174" width="21.66015625" style="78" customWidth="1"/>
    <col min="175" max="175" width="24.66015625" style="78" customWidth="1"/>
    <col min="176" max="176" width="5.83203125" style="78" customWidth="1"/>
    <col min="177" max="177" width="43.83203125" style="78" customWidth="1"/>
    <col min="178" max="180" width="16" style="78" customWidth="1"/>
    <col min="181" max="181" width="5.83203125" style="78" customWidth="1"/>
    <col min="182" max="182" width="56.66015625" style="78" customWidth="1"/>
    <col min="183" max="184" width="13.33203125" style="78" customWidth="1"/>
    <col min="185" max="185" width="28.5" style="78" customWidth="1"/>
    <col min="186" max="186" width="7.33203125" style="134" customWidth="1"/>
    <col min="187" max="187" width="45.5" style="78" customWidth="1"/>
    <col min="188" max="188" width="28" style="78" customWidth="1"/>
    <col min="189" max="189" width="22.5" style="78" customWidth="1"/>
    <col min="190" max="190" width="21.5" style="78" bestFit="1" customWidth="1"/>
    <col min="191" max="191" width="22.5" style="78" customWidth="1"/>
    <col min="192" max="192" width="19.83203125" style="78" customWidth="1"/>
    <col min="193" max="193" width="28.66015625" style="78" customWidth="1"/>
    <col min="194" max="194" width="19.33203125" style="78" customWidth="1"/>
    <col min="195" max="196" width="22.66015625" style="78" customWidth="1"/>
    <col min="197" max="197" width="7.83203125" style="78" customWidth="1"/>
    <col min="198" max="198" width="45.5" style="78" customWidth="1"/>
    <col min="199" max="202" width="22.66015625" style="78" customWidth="1"/>
    <col min="203" max="203" width="22" style="78" customWidth="1"/>
    <col min="204" max="204" width="26" style="78" bestFit="1" customWidth="1"/>
    <col min="205" max="205" width="19.16015625" style="78" bestFit="1" customWidth="1"/>
    <col min="206" max="206" width="18.33203125" style="78" bestFit="1" customWidth="1"/>
    <col min="207" max="207" width="17.83203125" style="78" customWidth="1"/>
    <col min="208" max="208" width="7.16015625" style="78" customWidth="1"/>
    <col min="209" max="209" width="45.5" style="78" customWidth="1"/>
    <col min="210" max="210" width="28.16015625" style="78" bestFit="1" customWidth="1"/>
    <col min="211" max="211" width="22.5" style="78" bestFit="1" customWidth="1"/>
    <col min="212" max="212" width="18" style="78" customWidth="1"/>
    <col min="213" max="213" width="16.16015625" style="78" customWidth="1"/>
    <col min="214" max="214" width="24.66015625" style="78" customWidth="1"/>
    <col min="215" max="215" width="18.83203125" style="78" customWidth="1"/>
    <col min="216" max="216" width="19.16015625" style="78" bestFit="1" customWidth="1"/>
    <col min="217" max="217" width="15.33203125" style="78" customWidth="1"/>
    <col min="218" max="218" width="18.33203125" style="78" customWidth="1"/>
    <col min="219" max="219" width="19.16015625" style="78" bestFit="1" customWidth="1"/>
    <col min="220" max="220" width="7.16015625" style="78" customWidth="1"/>
    <col min="221" max="221" width="45.5" style="78" customWidth="1"/>
    <col min="222" max="222" width="16.33203125" style="78" customWidth="1"/>
    <col min="223" max="223" width="22.5" style="78" bestFit="1" customWidth="1"/>
    <col min="224" max="224" width="22.5" style="78" customWidth="1"/>
    <col min="225" max="225" width="19.16015625" style="78" bestFit="1" customWidth="1"/>
    <col min="226" max="226" width="17.16015625" style="78" bestFit="1" customWidth="1"/>
    <col min="227" max="227" width="20.83203125" style="78" bestFit="1" customWidth="1"/>
    <col min="228" max="228" width="20.83203125" style="78" customWidth="1"/>
    <col min="229" max="229" width="21.33203125" style="78" customWidth="1"/>
    <col min="230" max="230" width="20.83203125" style="78" customWidth="1"/>
    <col min="231" max="231" width="22.16015625" style="78" bestFit="1" customWidth="1"/>
    <col min="232" max="232" width="24.5" style="78" customWidth="1"/>
    <col min="233" max="233" width="7.83203125" style="78" customWidth="1"/>
    <col min="234" max="234" width="41" style="78" customWidth="1"/>
    <col min="235" max="235" width="24.66015625" style="78" bestFit="1" customWidth="1"/>
    <col min="236" max="236" width="22" style="78" customWidth="1"/>
    <col min="237" max="237" width="25" style="78" customWidth="1"/>
    <col min="238" max="238" width="21.33203125" style="78" customWidth="1"/>
    <col min="239" max="239" width="25" style="78" customWidth="1"/>
    <col min="240" max="240" width="6.5" style="78" customWidth="1"/>
    <col min="241" max="241" width="16.66015625" style="133" customWidth="1"/>
    <col min="242" max="16384" width="16.66015625" style="78" customWidth="1"/>
  </cols>
  <sheetData>
    <row r="1" spans="1:241" s="269" customFormat="1" ht="15" customHeight="1">
      <c r="A1" s="271">
        <f>ROUND(SUM(B1:FS1),0)</f>
        <v>0</v>
      </c>
      <c r="B1" s="272"/>
      <c r="C1" s="272"/>
      <c r="D1" s="272"/>
      <c r="E1" s="272"/>
      <c r="F1" s="272"/>
      <c r="G1" s="272">
        <f>ROUND(GG49-G51,0)</f>
        <v>0</v>
      </c>
      <c r="H1" s="272"/>
      <c r="I1" s="272"/>
      <c r="J1" s="272"/>
      <c r="K1" s="272"/>
      <c r="L1" s="272">
        <f>ROUND(L53-GH49,0)</f>
        <v>0</v>
      </c>
      <c r="M1" s="272"/>
      <c r="N1" s="272"/>
      <c r="O1" s="272"/>
      <c r="P1" s="272"/>
      <c r="Q1" s="272">
        <f>ROUND(Q40-GI49,0)</f>
        <v>0</v>
      </c>
      <c r="R1" s="272"/>
      <c r="S1" s="272"/>
      <c r="T1" s="272"/>
      <c r="U1" s="273">
        <f>ROUND(U32-GJ49,0)</f>
        <v>0</v>
      </c>
      <c r="V1" s="272"/>
      <c r="W1" s="272"/>
      <c r="X1" s="272"/>
      <c r="Y1" s="272">
        <f>ROUND(Y34-GK49,0)</f>
        <v>0</v>
      </c>
      <c r="Z1" s="272"/>
      <c r="AA1" s="272"/>
      <c r="AB1" s="272"/>
      <c r="AC1" s="333"/>
      <c r="AD1" s="333">
        <f>ROUND(AD41-GL49,0)</f>
        <v>0</v>
      </c>
      <c r="AE1" s="272"/>
      <c r="AF1" s="272"/>
      <c r="AG1" s="272"/>
      <c r="AH1" s="333">
        <f>ROUND(GM51-AI18,0)</f>
        <v>0</v>
      </c>
      <c r="AI1" s="333">
        <f>ROUND(AI27-GM49,0)</f>
        <v>0</v>
      </c>
      <c r="AJ1" s="272"/>
      <c r="AK1" s="333"/>
      <c r="AL1" s="333"/>
      <c r="AM1" s="333">
        <f>AN18-GN51</f>
        <v>0</v>
      </c>
      <c r="AN1" s="333">
        <f>AN30-GN49</f>
        <v>0</v>
      </c>
      <c r="AO1" s="272"/>
      <c r="AP1" s="333"/>
      <c r="AQ1" s="333"/>
      <c r="AR1" s="333">
        <f>AS17-GQ51</f>
        <v>0</v>
      </c>
      <c r="AS1" s="333">
        <f>AS28-GQ49</f>
        <v>0</v>
      </c>
      <c r="AT1" s="272"/>
      <c r="AU1" s="333"/>
      <c r="AV1" s="333"/>
      <c r="AW1" s="333">
        <f>AX24-GR51</f>
        <v>0</v>
      </c>
      <c r="AX1" s="333">
        <f>AX34-GR49</f>
        <v>0</v>
      </c>
      <c r="AY1" s="272"/>
      <c r="AZ1" s="333"/>
      <c r="BA1" s="333"/>
      <c r="BB1" s="333">
        <f>BC16-GS51</f>
        <v>0</v>
      </c>
      <c r="BC1" s="333">
        <f>BC25-GS49</f>
        <v>0</v>
      </c>
      <c r="BD1" s="272"/>
      <c r="BE1" s="333"/>
      <c r="BF1" s="333"/>
      <c r="BG1" s="333"/>
      <c r="BH1" s="333"/>
      <c r="BI1" s="333">
        <f>ROUND(BH40-GT49,2)</f>
        <v>0</v>
      </c>
      <c r="BJ1" s="272"/>
      <c r="BK1" s="272"/>
      <c r="BL1" s="272"/>
      <c r="BM1" s="272"/>
      <c r="BN1" s="272"/>
      <c r="BO1" s="272"/>
      <c r="BP1" s="272"/>
      <c r="BQ1" s="303">
        <f>ROUND(BQ27-GU49,0)</f>
        <v>0</v>
      </c>
      <c r="BR1" s="272"/>
      <c r="BS1" s="272"/>
      <c r="BT1" s="272"/>
      <c r="BU1" s="272">
        <f>ROUND(BV49-GV51,0)</f>
        <v>0</v>
      </c>
      <c r="BV1" s="272">
        <f>ROUND(BV42-GV49,0)</f>
        <v>0</v>
      </c>
      <c r="BW1" s="272"/>
      <c r="BX1" s="272"/>
      <c r="BY1" s="272"/>
      <c r="BZ1" s="272"/>
      <c r="CA1" s="272"/>
      <c r="CB1" s="272">
        <f>ROUND(CB19-GW49,0)</f>
        <v>0</v>
      </c>
      <c r="CC1" s="273"/>
      <c r="CD1" s="273"/>
      <c r="CE1" s="273"/>
      <c r="CF1" s="273">
        <f>ROUND(CF24-GX49,0)</f>
        <v>0</v>
      </c>
      <c r="CG1" s="272"/>
      <c r="CH1" s="273"/>
      <c r="CI1" s="273"/>
      <c r="CJ1" s="273"/>
      <c r="CK1" s="274">
        <f>ROUND(CK20-GY49,0)</f>
        <v>0</v>
      </c>
      <c r="CL1" s="272"/>
      <c r="CM1" s="272"/>
      <c r="CN1" s="272"/>
      <c r="CO1" s="272"/>
      <c r="CP1" s="272">
        <f>ROUND(CP21-HB49,0)</f>
        <v>0</v>
      </c>
      <c r="CQ1" s="272"/>
      <c r="CR1" s="272"/>
      <c r="CS1" s="272"/>
      <c r="CT1" s="272">
        <f>ROUND(CT15-HC49,0)</f>
        <v>0</v>
      </c>
      <c r="CU1" s="272"/>
      <c r="CV1" s="272"/>
      <c r="CW1" s="272"/>
      <c r="CX1" s="272"/>
      <c r="CY1" s="275">
        <f>ROUND(CY21-HD49,0)</f>
        <v>0</v>
      </c>
      <c r="CZ1" s="272"/>
      <c r="DA1" s="272"/>
      <c r="DB1" s="272"/>
      <c r="DC1" s="272">
        <f>ROUND(DC46-HE49,0)</f>
        <v>0</v>
      </c>
      <c r="DD1" s="272"/>
      <c r="DE1" s="272"/>
      <c r="DF1" s="272">
        <f>ROUND(DF25-HF49,0)</f>
        <v>0</v>
      </c>
      <c r="DG1" s="272"/>
      <c r="DH1" s="272"/>
      <c r="DI1" s="272"/>
      <c r="DJ1" s="272"/>
      <c r="DK1" s="276">
        <f>ROUND(DK20-HG49,0)</f>
        <v>0</v>
      </c>
      <c r="DL1" s="272"/>
      <c r="DM1" s="272"/>
      <c r="DN1" s="272"/>
      <c r="DO1" s="272"/>
      <c r="DP1" s="276">
        <f>ROUND(DP20-HH49,0)</f>
        <v>0</v>
      </c>
      <c r="DQ1" s="272"/>
      <c r="DR1" s="272"/>
      <c r="DS1" s="272"/>
      <c r="DT1" s="272"/>
      <c r="DU1" s="272">
        <f>ROUND(DU29-HI49,0)</f>
        <v>0</v>
      </c>
      <c r="DV1" s="272"/>
      <c r="DW1" s="272"/>
      <c r="DX1" s="272"/>
      <c r="DY1" s="272"/>
      <c r="DZ1" s="272">
        <f>ROUND(DZ35-HJ49,0)</f>
        <v>0</v>
      </c>
      <c r="EA1" s="272"/>
      <c r="EB1" s="272"/>
      <c r="EC1" s="272"/>
      <c r="ED1" s="272"/>
      <c r="EE1" s="272">
        <f>ROUND(EE24-HK49,0)</f>
        <v>0</v>
      </c>
      <c r="EF1" s="272"/>
      <c r="EG1" s="303"/>
      <c r="EH1" s="303"/>
      <c r="EI1" s="303"/>
      <c r="EJ1" s="273">
        <f>ROUND(EJ30-HN49,0)</f>
        <v>0</v>
      </c>
      <c r="EK1" s="272"/>
      <c r="EL1" s="272"/>
      <c r="EM1" s="272"/>
      <c r="EN1" s="272">
        <f>ROUND(EN29-HO49,0)</f>
        <v>0</v>
      </c>
      <c r="EO1" s="272"/>
      <c r="EP1" s="272"/>
      <c r="EQ1" s="272"/>
      <c r="ER1" s="452">
        <f>ES29-HP51</f>
        <v>0</v>
      </c>
      <c r="ES1" s="285">
        <f>ES23-HP49</f>
        <v>0</v>
      </c>
      <c r="ET1" s="272"/>
      <c r="EU1" s="272"/>
      <c r="EV1" s="272"/>
      <c r="EW1" s="272"/>
      <c r="EX1" s="272"/>
      <c r="EY1" s="285">
        <f>ROUND(EY54-HQ49,0)</f>
        <v>0</v>
      </c>
      <c r="EZ1" s="272"/>
      <c r="FA1" s="272"/>
      <c r="FB1" s="272"/>
      <c r="FC1" s="272">
        <f>ROUND(FD42-HR51,0)</f>
        <v>0</v>
      </c>
      <c r="FD1" s="333">
        <f>ROUND(FD31-HR49,0)</f>
        <v>0</v>
      </c>
      <c r="FE1" s="303"/>
      <c r="FF1" s="303"/>
      <c r="FG1" s="303"/>
      <c r="FH1" s="436">
        <f>ROUND(FI42-HS51,0)</f>
        <v>0</v>
      </c>
      <c r="FI1" s="333">
        <f>ROUND(FI36-HS49,0)</f>
        <v>0</v>
      </c>
      <c r="FJ1" s="272"/>
      <c r="FK1" s="272"/>
      <c r="FL1" s="272"/>
      <c r="FM1" s="272"/>
      <c r="FN1" s="272"/>
      <c r="FO1" s="272"/>
      <c r="FP1" s="272"/>
      <c r="FQ1" s="272"/>
      <c r="FR1" s="277">
        <f>ROUND(FR80-HU62,0)</f>
        <v>0</v>
      </c>
      <c r="FS1" s="272">
        <f>ROUND(FS48-HU49,0)</f>
        <v>0</v>
      </c>
      <c r="FT1" s="272"/>
      <c r="FU1" s="272"/>
      <c r="FV1" s="272"/>
      <c r="FW1" s="272"/>
      <c r="FX1" s="534">
        <f>ROUND(FX27-HV49,0)</f>
        <v>0</v>
      </c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  <c r="GP1" s="272"/>
      <c r="GQ1" s="272"/>
      <c r="GR1" s="272"/>
      <c r="GS1" s="272"/>
      <c r="GT1" s="272"/>
      <c r="GU1" s="272"/>
      <c r="GV1" s="272"/>
      <c r="GW1" s="272"/>
      <c r="GX1" s="272"/>
      <c r="GY1" s="272"/>
      <c r="GZ1" s="272"/>
      <c r="HA1" s="272"/>
      <c r="HB1" s="272"/>
      <c r="HC1" s="272"/>
      <c r="HD1" s="272"/>
      <c r="HE1" s="272"/>
      <c r="HF1" s="272"/>
      <c r="HG1" s="272"/>
      <c r="HH1" s="272"/>
      <c r="HI1" s="272"/>
      <c r="HJ1" s="272"/>
      <c r="HK1" s="272"/>
      <c r="HL1" s="272"/>
      <c r="HM1" s="272"/>
      <c r="HN1" s="272"/>
      <c r="HO1" s="272"/>
      <c r="HP1" s="272"/>
      <c r="HQ1" s="272"/>
      <c r="HR1" s="272"/>
      <c r="HS1" s="272"/>
      <c r="HT1" s="272"/>
      <c r="HU1" s="272"/>
      <c r="HV1" s="272"/>
      <c r="HW1" s="272"/>
      <c r="HX1" s="272"/>
      <c r="HY1" s="272"/>
      <c r="HZ1" s="272"/>
      <c r="IA1" s="272"/>
      <c r="IB1" s="272"/>
      <c r="IC1" s="272"/>
      <c r="ID1" s="272"/>
      <c r="IE1" s="278"/>
      <c r="IG1" s="270"/>
    </row>
    <row r="2" spans="1:241" ht="15" customHeight="1">
      <c r="A2" s="135"/>
      <c r="G2" s="1" t="s">
        <v>544</v>
      </c>
      <c r="H2" s="135"/>
      <c r="L2" s="1" t="s">
        <v>544</v>
      </c>
      <c r="M2" s="135"/>
      <c r="N2" s="135"/>
      <c r="O2" s="11"/>
      <c r="P2" s="11"/>
      <c r="Q2" s="1" t="s">
        <v>544</v>
      </c>
      <c r="R2" s="135"/>
      <c r="S2" s="78"/>
      <c r="T2" s="78"/>
      <c r="U2" s="1" t="s">
        <v>544</v>
      </c>
      <c r="V2" s="135"/>
      <c r="Y2" s="1" t="s">
        <v>544</v>
      </c>
      <c r="Z2" s="135"/>
      <c r="AD2" s="1" t="s">
        <v>544</v>
      </c>
      <c r="AE2" s="135"/>
      <c r="AH2" s="78"/>
      <c r="AI2" s="1" t="s">
        <v>544</v>
      </c>
      <c r="AK2" s="334"/>
      <c r="AL2" s="334"/>
      <c r="AM2" s="334"/>
      <c r="AN2" s="1" t="s">
        <v>544</v>
      </c>
      <c r="AP2" s="334"/>
      <c r="AQ2" s="334"/>
      <c r="AR2" s="334"/>
      <c r="AS2" s="1" t="s">
        <v>544</v>
      </c>
      <c r="AU2" s="334"/>
      <c r="AV2" s="334"/>
      <c r="AW2" s="334"/>
      <c r="AX2" s="1" t="s">
        <v>544</v>
      </c>
      <c r="AZ2" s="334"/>
      <c r="BA2" s="334"/>
      <c r="BB2" s="334"/>
      <c r="BC2" s="1" t="s">
        <v>544</v>
      </c>
      <c r="BE2" s="334"/>
      <c r="BF2" s="334"/>
      <c r="BG2" s="334"/>
      <c r="BH2" s="334"/>
      <c r="BI2" s="1" t="s">
        <v>544</v>
      </c>
      <c r="BJ2" s="135"/>
      <c r="BQ2" s="1" t="s">
        <v>544</v>
      </c>
      <c r="BR2" s="135"/>
      <c r="BT2" s="131"/>
      <c r="BV2" s="1" t="s">
        <v>544</v>
      </c>
      <c r="BW2" s="135"/>
      <c r="CB2" s="1" t="s">
        <v>544</v>
      </c>
      <c r="CC2" s="135"/>
      <c r="CD2" s="78"/>
      <c r="CE2" s="78"/>
      <c r="CF2" s="1" t="s">
        <v>544</v>
      </c>
      <c r="CG2" s="135"/>
      <c r="CH2" s="78"/>
      <c r="CI2" s="78"/>
      <c r="CJ2" s="78"/>
      <c r="CK2" s="1" t="s">
        <v>544</v>
      </c>
      <c r="CL2" s="135"/>
      <c r="CP2" s="1" t="s">
        <v>544</v>
      </c>
      <c r="CQ2" s="135"/>
      <c r="CT2" s="1" t="s">
        <v>544</v>
      </c>
      <c r="CU2" s="135"/>
      <c r="CY2" s="1" t="s">
        <v>544</v>
      </c>
      <c r="CZ2" s="135"/>
      <c r="DC2" s="1" t="s">
        <v>544</v>
      </c>
      <c r="DD2" s="135"/>
      <c r="DE2" s="129"/>
      <c r="DF2" s="1" t="s">
        <v>544</v>
      </c>
      <c r="DG2" s="135"/>
      <c r="DK2" s="1" t="s">
        <v>544</v>
      </c>
      <c r="DL2" s="135"/>
      <c r="DP2" s="1" t="s">
        <v>544</v>
      </c>
      <c r="DQ2" s="135"/>
      <c r="DU2" s="1" t="s">
        <v>544</v>
      </c>
      <c r="DV2" s="135"/>
      <c r="DZ2" s="1" t="s">
        <v>544</v>
      </c>
      <c r="EA2" s="135"/>
      <c r="EE2" s="1" t="s">
        <v>544</v>
      </c>
      <c r="EF2" s="135"/>
      <c r="EG2" s="78"/>
      <c r="EH2" s="78"/>
      <c r="EI2" s="78"/>
      <c r="EJ2" s="1" t="s">
        <v>544</v>
      </c>
      <c r="EK2" s="135"/>
      <c r="EN2" s="1" t="s">
        <v>544</v>
      </c>
      <c r="EO2" s="135"/>
      <c r="EP2" s="132"/>
      <c r="EQ2" s="132"/>
      <c r="ER2" s="132"/>
      <c r="ES2" s="1" t="s">
        <v>544</v>
      </c>
      <c r="ET2" s="135"/>
      <c r="EU2" s="132"/>
      <c r="EV2" s="132"/>
      <c r="EW2" s="132"/>
      <c r="EX2" s="132"/>
      <c r="EY2" s="1" t="s">
        <v>544</v>
      </c>
      <c r="EZ2" s="135"/>
      <c r="FA2" s="1"/>
      <c r="FB2" s="1"/>
      <c r="FC2" s="1"/>
      <c r="FD2" s="1" t="s">
        <v>544</v>
      </c>
      <c r="FE2" s="135"/>
      <c r="FF2" s="78"/>
      <c r="FG2" s="78"/>
      <c r="FH2" s="140"/>
      <c r="FI2" s="1" t="s">
        <v>544</v>
      </c>
      <c r="FJ2" s="135"/>
      <c r="FK2" s="78"/>
      <c r="FL2" s="78"/>
      <c r="FM2" s="140"/>
      <c r="FN2" s="1" t="s">
        <v>544</v>
      </c>
      <c r="FO2" s="135"/>
      <c r="FS2" s="1" t="s">
        <v>544</v>
      </c>
      <c r="FT2" s="135"/>
      <c r="FX2" s="1" t="s">
        <v>544</v>
      </c>
      <c r="FY2" s="135"/>
      <c r="GC2" s="1" t="s">
        <v>544</v>
      </c>
      <c r="GD2" s="135"/>
      <c r="GN2" s="1" t="s">
        <v>544</v>
      </c>
      <c r="GO2" s="135"/>
      <c r="GY2" s="1" t="s">
        <v>544</v>
      </c>
      <c r="GZ2" s="135"/>
      <c r="HK2" s="1" t="s">
        <v>544</v>
      </c>
      <c r="HL2" s="135"/>
      <c r="HU2" s="43"/>
      <c r="HW2" s="41"/>
      <c r="HX2" s="1" t="s">
        <v>544</v>
      </c>
      <c r="HY2" s="135"/>
      <c r="IE2" s="1" t="s">
        <v>544</v>
      </c>
      <c r="IF2" s="1"/>
      <c r="IG2" s="61"/>
    </row>
    <row r="3" spans="1:241" ht="15" customHeight="1" thickBot="1">
      <c r="A3" s="41"/>
      <c r="B3" s="135"/>
      <c r="C3" s="135"/>
      <c r="D3" s="135"/>
      <c r="E3" s="135"/>
      <c r="F3" s="135"/>
      <c r="G3" s="1" t="s">
        <v>505</v>
      </c>
      <c r="L3" s="1" t="s">
        <v>505</v>
      </c>
      <c r="Q3" s="1" t="s">
        <v>505</v>
      </c>
      <c r="S3" s="78"/>
      <c r="T3" s="78"/>
      <c r="U3" s="1" t="s">
        <v>505</v>
      </c>
      <c r="Y3" s="1" t="s">
        <v>505</v>
      </c>
      <c r="AD3" s="1" t="s">
        <v>505</v>
      </c>
      <c r="AE3" s="392"/>
      <c r="AH3" s="78"/>
      <c r="AI3" s="1" t="s">
        <v>505</v>
      </c>
      <c r="AK3" s="334"/>
      <c r="AL3" s="334"/>
      <c r="AM3" s="334"/>
      <c r="AN3" s="1" t="s">
        <v>505</v>
      </c>
      <c r="AP3" s="334"/>
      <c r="AQ3" s="334"/>
      <c r="AR3" s="334"/>
      <c r="AS3" s="1" t="s">
        <v>505</v>
      </c>
      <c r="AU3" s="334"/>
      <c r="AV3" s="334"/>
      <c r="AW3" s="334"/>
      <c r="AX3" s="1" t="s">
        <v>505</v>
      </c>
      <c r="AZ3" s="334"/>
      <c r="BA3" s="334"/>
      <c r="BB3" s="334"/>
      <c r="BC3" s="1" t="s">
        <v>505</v>
      </c>
      <c r="BE3" s="334"/>
      <c r="BF3" s="334"/>
      <c r="BG3" s="334"/>
      <c r="BH3" s="334"/>
      <c r="BI3" s="1" t="s">
        <v>505</v>
      </c>
      <c r="BQ3" s="1" t="s">
        <v>505</v>
      </c>
      <c r="BV3" s="1" t="s">
        <v>505</v>
      </c>
      <c r="CB3" s="1" t="s">
        <v>505</v>
      </c>
      <c r="CF3" s="1" t="s">
        <v>505</v>
      </c>
      <c r="CK3" s="1" t="s">
        <v>505</v>
      </c>
      <c r="CP3" s="1" t="s">
        <v>505</v>
      </c>
      <c r="CT3" s="1" t="s">
        <v>505</v>
      </c>
      <c r="CY3" s="1" t="s">
        <v>505</v>
      </c>
      <c r="DC3" s="1" t="s">
        <v>505</v>
      </c>
      <c r="DF3" s="1" t="s">
        <v>505</v>
      </c>
      <c r="DK3" s="1" t="s">
        <v>505</v>
      </c>
      <c r="DP3" s="1" t="s">
        <v>505</v>
      </c>
      <c r="DU3" s="1" t="s">
        <v>505</v>
      </c>
      <c r="DZ3" s="1" t="s">
        <v>505</v>
      </c>
      <c r="EE3" s="1" t="s">
        <v>505</v>
      </c>
      <c r="EG3" s="78"/>
      <c r="EH3" s="78"/>
      <c r="EI3" s="78"/>
      <c r="EJ3" s="1" t="s">
        <v>505</v>
      </c>
      <c r="EN3" s="1" t="s">
        <v>505</v>
      </c>
      <c r="ES3" s="1" t="s">
        <v>505</v>
      </c>
      <c r="EY3" s="1" t="s">
        <v>505</v>
      </c>
      <c r="FA3" s="1"/>
      <c r="FB3" s="1"/>
      <c r="FC3" s="1"/>
      <c r="FD3" s="1" t="s">
        <v>505</v>
      </c>
      <c r="FE3" s="78"/>
      <c r="FF3" s="78"/>
      <c r="FG3" s="78"/>
      <c r="FH3" s="140"/>
      <c r="FI3" s="1" t="s">
        <v>505</v>
      </c>
      <c r="FK3" s="78"/>
      <c r="FL3" s="78"/>
      <c r="FM3" s="140"/>
      <c r="FN3" s="1" t="s">
        <v>505</v>
      </c>
      <c r="FS3" s="1" t="s">
        <v>505</v>
      </c>
      <c r="FX3" s="1" t="s">
        <v>505</v>
      </c>
      <c r="FY3" s="135"/>
      <c r="FZ3" s="135"/>
      <c r="GA3" s="135"/>
      <c r="GB3" s="135"/>
      <c r="GC3" s="1" t="s">
        <v>506</v>
      </c>
      <c r="GD3" s="135"/>
      <c r="GG3" s="140"/>
      <c r="GH3" s="140"/>
      <c r="GI3" s="140"/>
      <c r="GJ3" s="140"/>
      <c r="GK3" s="140"/>
      <c r="GL3" s="140"/>
      <c r="GM3" s="140"/>
      <c r="GN3" s="1" t="s">
        <v>504</v>
      </c>
      <c r="GO3" s="140"/>
      <c r="GP3" s="140"/>
      <c r="GQ3" s="140"/>
      <c r="GR3" s="140"/>
      <c r="GS3" s="140"/>
      <c r="GT3" s="140"/>
      <c r="GV3" s="140"/>
      <c r="GW3" s="140"/>
      <c r="GX3" s="140"/>
      <c r="GY3" s="1" t="s">
        <v>504</v>
      </c>
      <c r="GZ3" s="140"/>
      <c r="HA3" s="140"/>
      <c r="HB3" s="140"/>
      <c r="HC3" s="140"/>
      <c r="HD3" s="140"/>
      <c r="HF3" s="140"/>
      <c r="HG3" s="140"/>
      <c r="HH3" s="140"/>
      <c r="HI3" s="140"/>
      <c r="HK3" s="1" t="s">
        <v>504</v>
      </c>
      <c r="HL3" s="135"/>
      <c r="HM3" s="140"/>
      <c r="HN3" s="140"/>
      <c r="HQ3" s="140"/>
      <c r="HS3" s="140"/>
      <c r="HT3" s="140"/>
      <c r="HU3" s="140"/>
      <c r="HV3" s="140"/>
      <c r="HW3" s="140"/>
      <c r="HX3" s="1" t="s">
        <v>504</v>
      </c>
      <c r="HY3" s="135"/>
      <c r="IE3" s="1" t="s">
        <v>507</v>
      </c>
      <c r="IF3" s="1"/>
      <c r="IG3" s="61"/>
    </row>
    <row r="4" spans="7:241" s="135" customFormat="1" ht="15" customHeight="1" thickBot="1" thickTop="1">
      <c r="G4" s="548" t="s">
        <v>598</v>
      </c>
      <c r="H4" s="61"/>
      <c r="I4" s="61"/>
      <c r="J4" s="61"/>
      <c r="K4" s="61"/>
      <c r="L4" s="548" t="s">
        <v>599</v>
      </c>
      <c r="N4" s="136"/>
      <c r="O4" s="99"/>
      <c r="P4" s="99"/>
      <c r="Q4" s="548" t="s">
        <v>600</v>
      </c>
      <c r="U4" s="548" t="s">
        <v>601</v>
      </c>
      <c r="Y4" s="548" t="s">
        <v>602</v>
      </c>
      <c r="AD4" s="548" t="s">
        <v>603</v>
      </c>
      <c r="AI4" s="548" t="s">
        <v>604</v>
      </c>
      <c r="AK4" s="334"/>
      <c r="AL4" s="334"/>
      <c r="AM4" s="319"/>
      <c r="AN4" s="548" t="s">
        <v>605</v>
      </c>
      <c r="AP4" s="334"/>
      <c r="AQ4" s="334"/>
      <c r="AR4" s="319"/>
      <c r="AS4" s="548" t="s">
        <v>606</v>
      </c>
      <c r="AU4" s="334"/>
      <c r="AV4" s="334"/>
      <c r="AW4" s="319"/>
      <c r="AX4" s="548" t="s">
        <v>607</v>
      </c>
      <c r="AZ4" s="334"/>
      <c r="BA4" s="334"/>
      <c r="BB4" s="319"/>
      <c r="BC4" s="548" t="s">
        <v>608</v>
      </c>
      <c r="BE4" s="334"/>
      <c r="BF4" s="334"/>
      <c r="BG4" s="319"/>
      <c r="BH4" s="319"/>
      <c r="BI4" s="548" t="s">
        <v>609</v>
      </c>
      <c r="BQ4" s="548" t="s">
        <v>610</v>
      </c>
      <c r="BT4" s="138"/>
      <c r="BV4" s="548" t="s">
        <v>611</v>
      </c>
      <c r="CA4" s="61"/>
      <c r="CB4" s="548" t="s">
        <v>612</v>
      </c>
      <c r="CC4" s="135" t="s">
        <v>175</v>
      </c>
      <c r="CF4" s="548" t="s">
        <v>613</v>
      </c>
      <c r="CH4" s="100"/>
      <c r="CI4" s="100"/>
      <c r="CJ4" s="100"/>
      <c r="CK4" s="548" t="s">
        <v>614</v>
      </c>
      <c r="CP4" s="548" t="s">
        <v>615</v>
      </c>
      <c r="CT4" s="548" t="s">
        <v>616</v>
      </c>
      <c r="CU4" s="61"/>
      <c r="CV4" s="1"/>
      <c r="CW4" s="1"/>
      <c r="CX4" s="1"/>
      <c r="CY4" s="548" t="s">
        <v>617</v>
      </c>
      <c r="DA4" s="78"/>
      <c r="DC4" s="548" t="s">
        <v>618</v>
      </c>
      <c r="DF4" s="548" t="s">
        <v>619</v>
      </c>
      <c r="DG4" s="34"/>
      <c r="DH4" s="34"/>
      <c r="DI4" s="34"/>
      <c r="DJ4" s="34"/>
      <c r="DK4" s="548" t="s">
        <v>620</v>
      </c>
      <c r="DL4" s="34"/>
      <c r="DM4" s="34"/>
      <c r="DN4" s="34"/>
      <c r="DO4" s="34"/>
      <c r="DP4" s="548" t="s">
        <v>621</v>
      </c>
      <c r="DU4" s="548" t="s">
        <v>622</v>
      </c>
      <c r="DZ4" s="548" t="s">
        <v>623</v>
      </c>
      <c r="EE4" s="548" t="s">
        <v>624</v>
      </c>
      <c r="EJ4" s="548" t="s">
        <v>625</v>
      </c>
      <c r="EN4" s="548" t="s">
        <v>626</v>
      </c>
      <c r="EO4" s="139"/>
      <c r="EP4" s="139"/>
      <c r="EQ4" s="139"/>
      <c r="ER4" s="139"/>
      <c r="ES4" s="548" t="s">
        <v>627</v>
      </c>
      <c r="ET4" s="139"/>
      <c r="EU4" s="139"/>
      <c r="EV4" s="139"/>
      <c r="EW4" s="139"/>
      <c r="EX4" s="139"/>
      <c r="EY4" s="548" t="s">
        <v>628</v>
      </c>
      <c r="FA4" s="34"/>
      <c r="FB4" s="34"/>
      <c r="FC4" s="34"/>
      <c r="FD4" s="548" t="s">
        <v>629</v>
      </c>
      <c r="FF4" s="137"/>
      <c r="FH4" s="140"/>
      <c r="FI4" s="548" t="s">
        <v>630</v>
      </c>
      <c r="FK4" s="137"/>
      <c r="FM4" s="140"/>
      <c r="FN4" s="548" t="s">
        <v>631</v>
      </c>
      <c r="FS4" s="548" t="s">
        <v>632</v>
      </c>
      <c r="FT4" s="34"/>
      <c r="FU4" s="34"/>
      <c r="FV4" s="34"/>
      <c r="FW4" s="34"/>
      <c r="FX4" s="548" t="s">
        <v>633</v>
      </c>
      <c r="GC4" s="22" t="s">
        <v>600</v>
      </c>
      <c r="GN4" s="549" t="s">
        <v>641</v>
      </c>
      <c r="GY4" s="549" t="s">
        <v>642</v>
      </c>
      <c r="HK4" s="549" t="s">
        <v>643</v>
      </c>
      <c r="HX4" s="549" t="s">
        <v>644</v>
      </c>
      <c r="IE4" s="549" t="s">
        <v>176</v>
      </c>
      <c r="IF4" s="62"/>
      <c r="IG4" s="62"/>
    </row>
    <row r="5" spans="1:241" s="135" customFormat="1" ht="15" customHeight="1">
      <c r="A5" s="21" t="s">
        <v>334</v>
      </c>
      <c r="B5" s="20"/>
      <c r="C5" s="20"/>
      <c r="D5" s="20"/>
      <c r="E5" s="20"/>
      <c r="F5" s="20"/>
      <c r="G5" s="20"/>
      <c r="H5" s="21" t="s">
        <v>334</v>
      </c>
      <c r="I5" s="20"/>
      <c r="J5" s="20"/>
      <c r="K5" s="20"/>
      <c r="L5" s="20"/>
      <c r="M5" s="21" t="s">
        <v>334</v>
      </c>
      <c r="N5" s="20"/>
      <c r="O5" s="20"/>
      <c r="P5" s="21"/>
      <c r="Q5" s="20"/>
      <c r="R5" s="21" t="s">
        <v>334</v>
      </c>
      <c r="S5" s="20"/>
      <c r="T5" s="20"/>
      <c r="U5" s="101"/>
      <c r="V5" s="21" t="s">
        <v>334</v>
      </c>
      <c r="W5" s="20"/>
      <c r="X5" s="20"/>
      <c r="Y5" s="20"/>
      <c r="Z5" s="21" t="s">
        <v>334</v>
      </c>
      <c r="AA5" s="240"/>
      <c r="AB5" s="240"/>
      <c r="AC5" s="240"/>
      <c r="AD5" s="240"/>
      <c r="AE5" s="21" t="s">
        <v>334</v>
      </c>
      <c r="AF5" s="240"/>
      <c r="AG5" s="240"/>
      <c r="AH5" s="240"/>
      <c r="AI5" s="240"/>
      <c r="AJ5" s="21" t="s">
        <v>334</v>
      </c>
      <c r="AK5" s="335"/>
      <c r="AL5" s="336"/>
      <c r="AM5" s="336"/>
      <c r="AN5" s="336"/>
      <c r="AO5" s="21" t="s">
        <v>334</v>
      </c>
      <c r="AP5" s="335"/>
      <c r="AQ5" s="336"/>
      <c r="AR5" s="336"/>
      <c r="AS5" s="336"/>
      <c r="AT5" s="21" t="s">
        <v>334</v>
      </c>
      <c r="AU5" s="335"/>
      <c r="AV5" s="336"/>
      <c r="AW5" s="336"/>
      <c r="AX5" s="336"/>
      <c r="AY5" s="21" t="s">
        <v>334</v>
      </c>
      <c r="AZ5" s="335"/>
      <c r="BA5" s="336"/>
      <c r="BB5" s="336"/>
      <c r="BC5" s="336"/>
      <c r="BD5" s="21" t="s">
        <v>334</v>
      </c>
      <c r="BE5" s="335"/>
      <c r="BF5" s="336"/>
      <c r="BG5" s="336"/>
      <c r="BH5" s="336"/>
      <c r="BI5" s="336"/>
      <c r="BJ5" s="21" t="s">
        <v>334</v>
      </c>
      <c r="BK5" s="20"/>
      <c r="BL5" s="20"/>
      <c r="BM5" s="20"/>
      <c r="BN5" s="20"/>
      <c r="BO5" s="20"/>
      <c r="BP5" s="20"/>
      <c r="BQ5" s="20"/>
      <c r="BR5" s="21" t="s">
        <v>334</v>
      </c>
      <c r="BS5" s="39"/>
      <c r="BT5" s="74"/>
      <c r="BU5" s="20"/>
      <c r="BV5" s="20"/>
      <c r="BW5" s="21" t="s">
        <v>334</v>
      </c>
      <c r="BX5" s="20"/>
      <c r="BY5" s="20"/>
      <c r="BZ5" s="20"/>
      <c r="CA5" s="20"/>
      <c r="CB5" s="20"/>
      <c r="CC5" s="286" t="s">
        <v>334</v>
      </c>
      <c r="CD5" s="286"/>
      <c r="CE5" s="286"/>
      <c r="CF5" s="286"/>
      <c r="CG5" s="21" t="s">
        <v>334</v>
      </c>
      <c r="CH5" s="20"/>
      <c r="CI5" s="20"/>
      <c r="CJ5" s="20"/>
      <c r="CK5" s="87"/>
      <c r="CL5" s="21" t="s">
        <v>334</v>
      </c>
      <c r="CM5" s="20"/>
      <c r="CN5" s="20"/>
      <c r="CO5" s="20"/>
      <c r="CP5" s="20"/>
      <c r="CQ5" s="21" t="s">
        <v>334</v>
      </c>
      <c r="CR5" s="20"/>
      <c r="CS5" s="20"/>
      <c r="CT5" s="20"/>
      <c r="CU5" s="21" t="s">
        <v>334</v>
      </c>
      <c r="CV5" s="20"/>
      <c r="CW5" s="20"/>
      <c r="CX5" s="20"/>
      <c r="CY5" s="20"/>
      <c r="CZ5" s="21" t="s">
        <v>334</v>
      </c>
      <c r="DA5" s="20"/>
      <c r="DB5" s="20"/>
      <c r="DC5" s="20"/>
      <c r="DD5" s="21" t="s">
        <v>334</v>
      </c>
      <c r="DE5" s="20"/>
      <c r="DF5" s="20"/>
      <c r="DG5" s="21" t="s">
        <v>334</v>
      </c>
      <c r="DH5" s="35"/>
      <c r="DI5" s="20"/>
      <c r="DJ5" s="20"/>
      <c r="DK5" s="20"/>
      <c r="DL5" s="21" t="s">
        <v>334</v>
      </c>
      <c r="DM5" s="35"/>
      <c r="DN5" s="20"/>
      <c r="DO5" s="20"/>
      <c r="DP5" s="20"/>
      <c r="DQ5" s="21" t="s">
        <v>334</v>
      </c>
      <c r="DR5" s="20"/>
      <c r="DS5" s="20"/>
      <c r="DT5" s="20"/>
      <c r="DU5" s="20"/>
      <c r="DV5" s="21" t="s">
        <v>334</v>
      </c>
      <c r="DW5" s="20"/>
      <c r="DX5" s="20"/>
      <c r="DY5" s="20"/>
      <c r="DZ5" s="20"/>
      <c r="EA5" s="21" t="s">
        <v>334</v>
      </c>
      <c r="EB5" s="20"/>
      <c r="EC5" s="20"/>
      <c r="ED5" s="20"/>
      <c r="EE5" s="20"/>
      <c r="EF5" s="21" t="s">
        <v>334</v>
      </c>
      <c r="EG5" s="240"/>
      <c r="EH5" s="240"/>
      <c r="EI5" s="240"/>
      <c r="EJ5" s="240"/>
      <c r="EK5" s="21" t="s">
        <v>334</v>
      </c>
      <c r="EL5" s="20"/>
      <c r="EM5" s="20"/>
      <c r="EN5" s="20"/>
      <c r="EO5" s="21" t="s">
        <v>334</v>
      </c>
      <c r="EP5" s="20"/>
      <c r="EQ5" s="20"/>
      <c r="ER5" s="20"/>
      <c r="ES5" s="20"/>
      <c r="ET5" s="21" t="s">
        <v>334</v>
      </c>
      <c r="EU5" s="20"/>
      <c r="EV5" s="20"/>
      <c r="EW5" s="20"/>
      <c r="EX5" s="20"/>
      <c r="EY5" s="20"/>
      <c r="EZ5" s="21" t="s">
        <v>334</v>
      </c>
      <c r="FA5" s="127"/>
      <c r="FB5" s="127"/>
      <c r="FC5" s="127"/>
      <c r="FD5" s="127"/>
      <c r="FE5" s="21" t="s">
        <v>334</v>
      </c>
      <c r="FF5" s="20"/>
      <c r="FG5" s="20"/>
      <c r="FH5" s="20"/>
      <c r="FI5" s="20"/>
      <c r="FJ5" s="21" t="s">
        <v>334</v>
      </c>
      <c r="FK5" s="20"/>
      <c r="FL5" s="20"/>
      <c r="FM5" s="20"/>
      <c r="FN5" s="20"/>
      <c r="FO5" s="21" t="s">
        <v>334</v>
      </c>
      <c r="FP5" s="20"/>
      <c r="FQ5" s="20"/>
      <c r="FR5" s="20"/>
      <c r="FS5" s="20"/>
      <c r="FT5" s="21" t="s">
        <v>334</v>
      </c>
      <c r="FU5" s="35"/>
      <c r="FV5" s="20"/>
      <c r="FW5" s="20"/>
      <c r="FX5" s="20"/>
      <c r="FY5" s="21" t="s">
        <v>334</v>
      </c>
      <c r="FZ5" s="20"/>
      <c r="GA5" s="20"/>
      <c r="GB5" s="20"/>
      <c r="GC5" s="20"/>
      <c r="GD5" s="21" t="s">
        <v>334</v>
      </c>
      <c r="GE5" s="39"/>
      <c r="GF5" s="39"/>
      <c r="GG5" s="20"/>
      <c r="GH5" s="20"/>
      <c r="GI5" s="39"/>
      <c r="GJ5" s="39"/>
      <c r="GK5" s="39"/>
      <c r="GL5" s="39"/>
      <c r="GM5" s="39"/>
      <c r="GN5" s="39"/>
      <c r="GO5" s="21" t="s">
        <v>334</v>
      </c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21" t="s">
        <v>334</v>
      </c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20"/>
      <c r="HL5" s="21" t="s">
        <v>334</v>
      </c>
      <c r="HM5" s="39"/>
      <c r="HN5" s="39"/>
      <c r="HO5" s="20"/>
      <c r="HP5" s="20"/>
      <c r="HQ5" s="39"/>
      <c r="HR5" s="39"/>
      <c r="HS5" s="39"/>
      <c r="HT5" s="39"/>
      <c r="HU5" s="39"/>
      <c r="HV5" s="39"/>
      <c r="HW5" s="39"/>
      <c r="HX5" s="39"/>
      <c r="HY5" s="41" t="s">
        <v>174</v>
      </c>
      <c r="HZ5" s="20"/>
      <c r="IA5" s="20"/>
      <c r="IG5" s="144"/>
    </row>
    <row r="6" spans="1:241" s="135" customFormat="1" ht="15" customHeight="1">
      <c r="A6" s="21" t="s">
        <v>376</v>
      </c>
      <c r="B6" s="21"/>
      <c r="C6" s="21"/>
      <c r="D6" s="21"/>
      <c r="E6" s="20"/>
      <c r="F6" s="45"/>
      <c r="G6" s="23"/>
      <c r="H6" s="21" t="s">
        <v>439</v>
      </c>
      <c r="I6" s="23"/>
      <c r="J6" s="23"/>
      <c r="K6" s="23"/>
      <c r="L6" s="23"/>
      <c r="M6" s="21" t="s">
        <v>177</v>
      </c>
      <c r="N6" s="20"/>
      <c r="O6" s="21"/>
      <c r="P6" s="20"/>
      <c r="Q6" s="20"/>
      <c r="R6" s="21" t="s">
        <v>356</v>
      </c>
      <c r="S6" s="20"/>
      <c r="T6" s="20"/>
      <c r="U6" s="101"/>
      <c r="V6" s="21" t="s">
        <v>357</v>
      </c>
      <c r="W6" s="20"/>
      <c r="X6" s="20"/>
      <c r="Y6" s="23"/>
      <c r="Z6" s="251" t="s">
        <v>589</v>
      </c>
      <c r="AA6" s="240"/>
      <c r="AB6" s="240"/>
      <c r="AC6" s="240"/>
      <c r="AD6" s="240"/>
      <c r="AE6" s="20" t="s">
        <v>446</v>
      </c>
      <c r="AF6" s="240"/>
      <c r="AG6" s="240"/>
      <c r="AH6" s="240"/>
      <c r="AI6" s="240"/>
      <c r="AJ6" s="21" t="s">
        <v>538</v>
      </c>
      <c r="AK6" s="337"/>
      <c r="AL6" s="336"/>
      <c r="AM6" s="336"/>
      <c r="AN6" s="336"/>
      <c r="AO6" s="21" t="s">
        <v>455</v>
      </c>
      <c r="AP6" s="337"/>
      <c r="AQ6" s="336"/>
      <c r="AR6" s="336"/>
      <c r="AS6" s="336"/>
      <c r="AT6" s="21" t="s">
        <v>459</v>
      </c>
      <c r="AU6" s="337"/>
      <c r="AV6" s="336"/>
      <c r="AW6" s="336"/>
      <c r="AX6" s="336"/>
      <c r="AY6" s="21" t="s">
        <v>462</v>
      </c>
      <c r="AZ6" s="337"/>
      <c r="BA6" s="336"/>
      <c r="BB6" s="336"/>
      <c r="BC6" s="336"/>
      <c r="BD6" s="21" t="s">
        <v>468</v>
      </c>
      <c r="BE6" s="337"/>
      <c r="BF6" s="336"/>
      <c r="BG6" s="336"/>
      <c r="BH6" s="336"/>
      <c r="BI6" s="336"/>
      <c r="BJ6" s="21" t="s">
        <v>178</v>
      </c>
      <c r="BK6" s="20"/>
      <c r="BL6" s="20"/>
      <c r="BM6" s="20"/>
      <c r="BN6" s="20"/>
      <c r="BO6" s="20"/>
      <c r="BP6" s="23"/>
      <c r="BQ6" s="23"/>
      <c r="BR6" s="21" t="s">
        <v>359</v>
      </c>
      <c r="BS6" s="39"/>
      <c r="BT6" s="74"/>
      <c r="BU6" s="20"/>
      <c r="BV6" s="23"/>
      <c r="BW6" s="21" t="s">
        <v>360</v>
      </c>
      <c r="BX6" s="20"/>
      <c r="BY6" s="20"/>
      <c r="BZ6" s="20"/>
      <c r="CA6" s="20"/>
      <c r="CB6" s="23"/>
      <c r="CC6" s="286" t="s">
        <v>583</v>
      </c>
      <c r="CD6" s="240"/>
      <c r="CE6" s="240"/>
      <c r="CF6" s="240"/>
      <c r="CG6" s="21" t="s">
        <v>358</v>
      </c>
      <c r="CH6" s="20"/>
      <c r="CI6" s="20"/>
      <c r="CJ6" s="20"/>
      <c r="CK6" s="23"/>
      <c r="CL6" s="20" t="s">
        <v>180</v>
      </c>
      <c r="CM6" s="20"/>
      <c r="CN6" s="20"/>
      <c r="CO6" s="20"/>
      <c r="CP6" s="23"/>
      <c r="CQ6" s="21" t="s">
        <v>361</v>
      </c>
      <c r="CR6" s="20"/>
      <c r="CS6" s="20"/>
      <c r="CT6" s="20"/>
      <c r="CU6" s="20" t="s">
        <v>362</v>
      </c>
      <c r="CV6" s="23"/>
      <c r="CW6" s="23"/>
      <c r="CX6" s="23"/>
      <c r="CY6" s="23"/>
      <c r="CZ6" s="21" t="s">
        <v>366</v>
      </c>
      <c r="DA6" s="20"/>
      <c r="DB6" s="20"/>
      <c r="DC6" s="23"/>
      <c r="DD6" s="21" t="s">
        <v>525</v>
      </c>
      <c r="DE6" s="20"/>
      <c r="DF6" s="20"/>
      <c r="DG6" s="21" t="s">
        <v>367</v>
      </c>
      <c r="DH6" s="36"/>
      <c r="DI6" s="23"/>
      <c r="DJ6" s="23"/>
      <c r="DK6" s="23"/>
      <c r="DL6" s="21" t="s">
        <v>371</v>
      </c>
      <c r="DM6" s="36"/>
      <c r="DN6" s="23"/>
      <c r="DO6" s="23"/>
      <c r="DP6" s="23"/>
      <c r="DQ6" s="20" t="s">
        <v>364</v>
      </c>
      <c r="DR6" s="20"/>
      <c r="DS6" s="20"/>
      <c r="DT6" s="20"/>
      <c r="DU6" s="23"/>
      <c r="DV6" s="20" t="s">
        <v>182</v>
      </c>
      <c r="DW6" s="20"/>
      <c r="DX6" s="20"/>
      <c r="DY6" s="20"/>
      <c r="DZ6" s="23"/>
      <c r="EA6" s="20" t="s">
        <v>365</v>
      </c>
      <c r="EB6" s="20"/>
      <c r="EC6" s="20"/>
      <c r="ED6" s="20"/>
      <c r="EE6" s="23"/>
      <c r="EF6" s="20" t="s">
        <v>445</v>
      </c>
      <c r="EG6" s="240"/>
      <c r="EH6" s="240"/>
      <c r="EI6" s="240"/>
      <c r="EJ6" s="240"/>
      <c r="EK6" s="20" t="s">
        <v>184</v>
      </c>
      <c r="EL6" s="20"/>
      <c r="EM6" s="20"/>
      <c r="EN6" s="23"/>
      <c r="EO6" s="20" t="s">
        <v>476</v>
      </c>
      <c r="EP6" s="20"/>
      <c r="EQ6" s="20"/>
      <c r="ER6" s="20"/>
      <c r="ES6" s="20"/>
      <c r="ET6" s="20" t="s">
        <v>185</v>
      </c>
      <c r="EU6" s="20"/>
      <c r="EV6" s="20"/>
      <c r="EW6" s="20"/>
      <c r="EX6" s="20"/>
      <c r="EY6" s="20"/>
      <c r="EZ6" s="20" t="s">
        <v>304</v>
      </c>
      <c r="FA6" s="127"/>
      <c r="FB6" s="127"/>
      <c r="FC6" s="127"/>
      <c r="FD6" s="127"/>
      <c r="FE6" s="21" t="s">
        <v>480</v>
      </c>
      <c r="FF6" s="20"/>
      <c r="FG6" s="20"/>
      <c r="FH6" s="20"/>
      <c r="FI6" s="20"/>
      <c r="FJ6" s="20" t="s">
        <v>481</v>
      </c>
      <c r="FK6" s="20"/>
      <c r="FL6" s="20"/>
      <c r="FM6" s="20"/>
      <c r="FN6" s="20"/>
      <c r="FO6" s="20" t="s">
        <v>183</v>
      </c>
      <c r="FP6" s="20"/>
      <c r="FQ6" s="20"/>
      <c r="FR6" s="20"/>
      <c r="FS6" s="23"/>
      <c r="FT6" s="21" t="s">
        <v>162</v>
      </c>
      <c r="FU6" s="36"/>
      <c r="FV6" s="23"/>
      <c r="FW6" s="23"/>
      <c r="FX6" s="23"/>
      <c r="FY6" s="20" t="s">
        <v>186</v>
      </c>
      <c r="FZ6" s="20"/>
      <c r="GA6" s="20"/>
      <c r="GB6" s="20"/>
      <c r="GC6" s="20"/>
      <c r="GD6" s="21" t="s">
        <v>288</v>
      </c>
      <c r="GE6" s="39"/>
      <c r="GF6" s="39"/>
      <c r="GG6" s="20"/>
      <c r="GH6" s="20"/>
      <c r="GI6" s="39"/>
      <c r="GJ6" s="39"/>
      <c r="GK6" s="39"/>
      <c r="GL6" s="39"/>
      <c r="GM6" s="39"/>
      <c r="GN6" s="39"/>
      <c r="GO6" s="21" t="s">
        <v>288</v>
      </c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21" t="s">
        <v>288</v>
      </c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20"/>
      <c r="HL6" s="21" t="s">
        <v>288</v>
      </c>
      <c r="HM6" s="39"/>
      <c r="HN6" s="39"/>
      <c r="HO6" s="20"/>
      <c r="HP6" s="20"/>
      <c r="HQ6" s="39"/>
      <c r="HR6" s="39"/>
      <c r="HS6" s="39"/>
      <c r="HT6" s="39"/>
      <c r="HU6" s="39"/>
      <c r="HV6" s="39"/>
      <c r="HW6" s="39"/>
      <c r="HX6" s="39"/>
      <c r="HY6" s="21" t="s">
        <v>334</v>
      </c>
      <c r="HZ6" s="20"/>
      <c r="IA6" s="23"/>
      <c r="IB6" s="20"/>
      <c r="IC6" s="20"/>
      <c r="ID6" s="20"/>
      <c r="IE6" s="20"/>
      <c r="IG6" s="144"/>
    </row>
    <row r="7" spans="1:241" s="135" customFormat="1" ht="15" customHeight="1">
      <c r="A7" s="20" t="s">
        <v>454</v>
      </c>
      <c r="B7" s="21"/>
      <c r="C7" s="21"/>
      <c r="D7" s="21"/>
      <c r="E7" s="20"/>
      <c r="F7" s="24"/>
      <c r="G7" s="24"/>
      <c r="H7" s="20" t="str">
        <f>TESTYEAR</f>
        <v>FOR THE TWELVE MONTHS ENDED SEPTEMBER 30, 2007</v>
      </c>
      <c r="I7" s="24"/>
      <c r="J7" s="24"/>
      <c r="K7" s="24"/>
      <c r="L7" s="24"/>
      <c r="M7" s="20" t="str">
        <f>TESTYEAR</f>
        <v>FOR THE TWELVE MONTHS ENDED SEPTEMBER 30, 2007</v>
      </c>
      <c r="N7" s="20"/>
      <c r="O7" s="21"/>
      <c r="P7" s="20"/>
      <c r="Q7" s="20"/>
      <c r="R7" s="20" t="str">
        <f>TESTYEAR</f>
        <v>FOR THE TWELVE MONTHS ENDED SEPTEMBER 30, 2007</v>
      </c>
      <c r="S7" s="20"/>
      <c r="T7" s="20"/>
      <c r="U7" s="101"/>
      <c r="V7" s="20" t="str">
        <f>TESTYEAR</f>
        <v>FOR THE TWELVE MONTHS ENDED SEPTEMBER 30, 2007</v>
      </c>
      <c r="W7" s="20"/>
      <c r="X7" s="20"/>
      <c r="Y7" s="24"/>
      <c r="Z7" s="20" t="str">
        <f>TESTYEAR</f>
        <v>FOR THE TWELVE MONTHS ENDED SEPTEMBER 30, 2007</v>
      </c>
      <c r="AA7" s="240"/>
      <c r="AB7" s="240"/>
      <c r="AC7" s="240"/>
      <c r="AD7" s="240"/>
      <c r="AE7" s="20" t="str">
        <f>TESTYEAR</f>
        <v>FOR THE TWELVE MONTHS ENDED SEPTEMBER 30, 2007</v>
      </c>
      <c r="AF7" s="240"/>
      <c r="AG7" s="240"/>
      <c r="AH7" s="240"/>
      <c r="AI7" s="240"/>
      <c r="AJ7" s="20" t="str">
        <f>TESTYEAR</f>
        <v>FOR THE TWELVE MONTHS ENDED SEPTEMBER 30, 2007</v>
      </c>
      <c r="AK7" s="363"/>
      <c r="AL7" s="363"/>
      <c r="AM7" s="363"/>
      <c r="AN7" s="363"/>
      <c r="AO7" s="20" t="str">
        <f>TESTYEAR</f>
        <v>FOR THE TWELVE MONTHS ENDED SEPTEMBER 30, 2007</v>
      </c>
      <c r="AP7" s="363"/>
      <c r="AQ7" s="363"/>
      <c r="AR7" s="363"/>
      <c r="AS7" s="363"/>
      <c r="AT7" s="20" t="str">
        <f>TESTYEAR</f>
        <v>FOR THE TWELVE MONTHS ENDED SEPTEMBER 30, 2007</v>
      </c>
      <c r="AU7" s="363"/>
      <c r="AV7" s="363"/>
      <c r="AW7" s="363"/>
      <c r="AX7" s="363"/>
      <c r="AY7" s="20" t="str">
        <f>TESTYEAR</f>
        <v>FOR THE TWELVE MONTHS ENDED SEPTEMBER 30, 2007</v>
      </c>
      <c r="AZ7" s="363"/>
      <c r="BA7" s="363"/>
      <c r="BB7" s="363"/>
      <c r="BC7" s="363"/>
      <c r="BD7" s="20" t="str">
        <f>TESTYEAR</f>
        <v>FOR THE TWELVE MONTHS ENDED SEPTEMBER 30, 2007</v>
      </c>
      <c r="BE7" s="363"/>
      <c r="BF7" s="363"/>
      <c r="BG7" s="363"/>
      <c r="BH7" s="363"/>
      <c r="BI7" s="363"/>
      <c r="BJ7" s="20" t="str">
        <f>TESTYEAR</f>
        <v>FOR THE TWELVE MONTHS ENDED SEPTEMBER 30, 2007</v>
      </c>
      <c r="BK7" s="20"/>
      <c r="BL7" s="20"/>
      <c r="BM7" s="20"/>
      <c r="BN7" s="20"/>
      <c r="BO7" s="20"/>
      <c r="BP7" s="24"/>
      <c r="BQ7" s="24"/>
      <c r="BR7" s="20" t="str">
        <f>TESTYEAR</f>
        <v>FOR THE TWELVE MONTHS ENDED SEPTEMBER 30, 2007</v>
      </c>
      <c r="BS7" s="39"/>
      <c r="BT7" s="74"/>
      <c r="BU7" s="20"/>
      <c r="BV7" s="24"/>
      <c r="BW7" s="20" t="str">
        <f>TESTYEAR</f>
        <v>FOR THE TWELVE MONTHS ENDED SEPTEMBER 30, 2007</v>
      </c>
      <c r="BX7" s="21"/>
      <c r="BY7" s="20"/>
      <c r="BZ7" s="20"/>
      <c r="CA7" s="20"/>
      <c r="CB7" s="102"/>
      <c r="CC7" s="240" t="str">
        <f>TESTYEAR</f>
        <v>FOR THE TWELVE MONTHS ENDED SEPTEMBER 30, 2007</v>
      </c>
      <c r="CD7" s="240"/>
      <c r="CE7" s="240"/>
      <c r="CF7" s="240"/>
      <c r="CG7" s="20" t="str">
        <f>TESTYEAR</f>
        <v>FOR THE TWELVE MONTHS ENDED SEPTEMBER 30, 2007</v>
      </c>
      <c r="CH7" s="20"/>
      <c r="CI7" s="20"/>
      <c r="CJ7" s="20"/>
      <c r="CK7" s="24"/>
      <c r="CL7" s="20" t="str">
        <f>TESTYEAR</f>
        <v>FOR THE TWELVE MONTHS ENDED SEPTEMBER 30, 2007</v>
      </c>
      <c r="CM7" s="20"/>
      <c r="CN7" s="20"/>
      <c r="CO7" s="20"/>
      <c r="CP7" s="24"/>
      <c r="CQ7" s="21" t="str">
        <f>TESTYEAR</f>
        <v>FOR THE TWELVE MONTHS ENDED SEPTEMBER 30, 2007</v>
      </c>
      <c r="CR7" s="20"/>
      <c r="CS7" s="20"/>
      <c r="CT7" s="20"/>
      <c r="CU7" s="20" t="str">
        <f>TESTYEAR</f>
        <v>FOR THE TWELVE MONTHS ENDED SEPTEMBER 30, 2007</v>
      </c>
      <c r="CV7" s="24"/>
      <c r="CW7" s="24"/>
      <c r="CX7" s="24"/>
      <c r="CY7" s="24"/>
      <c r="CZ7" s="20" t="str">
        <f>TESTYEAR</f>
        <v>FOR THE TWELVE MONTHS ENDED SEPTEMBER 30, 2007</v>
      </c>
      <c r="DA7" s="21"/>
      <c r="DB7" s="20"/>
      <c r="DC7" s="24"/>
      <c r="DD7" s="20" t="str">
        <f>TESTYEAR</f>
        <v>FOR THE TWELVE MONTHS ENDED SEPTEMBER 30, 2007</v>
      </c>
      <c r="DE7" s="20"/>
      <c r="DF7" s="20"/>
      <c r="DG7" s="20" t="str">
        <f>TESTYEAR</f>
        <v>FOR THE TWELVE MONTHS ENDED SEPTEMBER 30, 2007</v>
      </c>
      <c r="DH7" s="37"/>
      <c r="DI7" s="24"/>
      <c r="DJ7" s="24"/>
      <c r="DK7" s="24"/>
      <c r="DL7" s="20" t="str">
        <f>TESTYEAR</f>
        <v>FOR THE TWELVE MONTHS ENDED SEPTEMBER 30, 2007</v>
      </c>
      <c r="DM7" s="37"/>
      <c r="DN7" s="24"/>
      <c r="DO7" s="24"/>
      <c r="DP7" s="24"/>
      <c r="DQ7" s="20" t="str">
        <f>TESTYEAR</f>
        <v>FOR THE TWELVE MONTHS ENDED SEPTEMBER 30, 2007</v>
      </c>
      <c r="DR7" s="20"/>
      <c r="DS7" s="20"/>
      <c r="DT7" s="20"/>
      <c r="DU7" s="24"/>
      <c r="DV7" s="20" t="str">
        <f>TESTYEAR</f>
        <v>FOR THE TWELVE MONTHS ENDED SEPTEMBER 30, 2007</v>
      </c>
      <c r="DW7" s="20"/>
      <c r="DX7" s="20"/>
      <c r="DY7" s="20"/>
      <c r="DZ7" s="24"/>
      <c r="EA7" s="20" t="str">
        <f>TESTYEAR</f>
        <v>FOR THE TWELVE MONTHS ENDED SEPTEMBER 30, 2007</v>
      </c>
      <c r="EB7" s="20"/>
      <c r="EC7" s="20"/>
      <c r="ED7" s="20"/>
      <c r="EE7" s="24"/>
      <c r="EF7" s="20" t="str">
        <f>TESTYEAR</f>
        <v>FOR THE TWELVE MONTHS ENDED SEPTEMBER 30, 2007</v>
      </c>
      <c r="EG7" s="240"/>
      <c r="EH7" s="240"/>
      <c r="EI7" s="240"/>
      <c r="EJ7" s="240"/>
      <c r="EK7" s="20" t="str">
        <f>TESTYEAR</f>
        <v>FOR THE TWELVE MONTHS ENDED SEPTEMBER 30, 2007</v>
      </c>
      <c r="EL7" s="20"/>
      <c r="EM7" s="20"/>
      <c r="EN7" s="24"/>
      <c r="EO7" s="20" t="str">
        <f>TESTYEAR</f>
        <v>FOR THE TWELVE MONTHS ENDED SEPTEMBER 30, 2007</v>
      </c>
      <c r="EP7" s="20"/>
      <c r="EQ7" s="20"/>
      <c r="ER7" s="20"/>
      <c r="ES7" s="20"/>
      <c r="ET7" s="20" t="str">
        <f>TESTYEAR</f>
        <v>FOR THE TWELVE MONTHS ENDED SEPTEMBER 30, 2007</v>
      </c>
      <c r="EU7" s="20"/>
      <c r="EV7" s="20"/>
      <c r="EW7" s="20"/>
      <c r="EX7" s="20"/>
      <c r="EY7" s="20"/>
      <c r="EZ7" s="20" t="str">
        <f>TESTYEAR</f>
        <v>FOR THE TWELVE MONTHS ENDED SEPTEMBER 30, 2007</v>
      </c>
      <c r="FA7" s="127"/>
      <c r="FB7" s="127"/>
      <c r="FC7" s="127"/>
      <c r="FD7" s="127"/>
      <c r="FE7" s="20" t="str">
        <f>TESTYEAR</f>
        <v>FOR THE TWELVE MONTHS ENDED SEPTEMBER 30, 2007</v>
      </c>
      <c r="FF7" s="20"/>
      <c r="FG7" s="20"/>
      <c r="FH7" s="20"/>
      <c r="FI7" s="20"/>
      <c r="FJ7" s="20" t="str">
        <f>TESTYEAR</f>
        <v>FOR THE TWELVE MONTHS ENDED SEPTEMBER 30, 2007</v>
      </c>
      <c r="FK7" s="20"/>
      <c r="FL7" s="20"/>
      <c r="FM7" s="20"/>
      <c r="FN7" s="20"/>
      <c r="FO7" s="20" t="str">
        <f>TESTYEAR</f>
        <v>FOR THE TWELVE MONTHS ENDED SEPTEMBER 30, 2007</v>
      </c>
      <c r="FP7" s="20"/>
      <c r="FQ7" s="20"/>
      <c r="FR7" s="20"/>
      <c r="FS7" s="24"/>
      <c r="FT7" s="20" t="str">
        <f>TESTYEAR</f>
        <v>FOR THE TWELVE MONTHS ENDED SEPTEMBER 30, 2007</v>
      </c>
      <c r="FU7" s="37"/>
      <c r="FV7" s="24"/>
      <c r="FW7" s="24"/>
      <c r="FX7" s="24"/>
      <c r="FY7" s="20" t="str">
        <f>TESTYEAR</f>
        <v>FOR THE TWELVE MONTHS ENDED SEPTEMBER 30, 2007</v>
      </c>
      <c r="FZ7" s="20"/>
      <c r="GA7" s="20"/>
      <c r="GB7" s="20"/>
      <c r="GC7" s="20"/>
      <c r="GD7" s="20" t="str">
        <f>TESTYEAR</f>
        <v>FOR THE TWELVE MONTHS ENDED SEPTEMBER 30, 2007</v>
      </c>
      <c r="GE7" s="39"/>
      <c r="GF7" s="39"/>
      <c r="GG7" s="20"/>
      <c r="GH7" s="20"/>
      <c r="GI7" s="39"/>
      <c r="GJ7" s="39"/>
      <c r="GK7" s="39"/>
      <c r="GL7" s="39"/>
      <c r="GM7" s="39"/>
      <c r="GN7" s="39"/>
      <c r="GO7" s="20" t="str">
        <f>TESTYEAR</f>
        <v>FOR THE TWELVE MONTHS ENDED SEPTEMBER 30, 2007</v>
      </c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20" t="str">
        <f>TESTYEAR</f>
        <v>FOR THE TWELVE MONTHS ENDED SEPTEMBER 30, 2007</v>
      </c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20"/>
      <c r="HL7" s="20" t="str">
        <f>TESTYEAR</f>
        <v>FOR THE TWELVE MONTHS ENDED SEPTEMBER 30, 2007</v>
      </c>
      <c r="HM7" s="39"/>
      <c r="HN7" s="39"/>
      <c r="HO7" s="20"/>
      <c r="HP7" s="20"/>
      <c r="HQ7" s="39"/>
      <c r="HR7" s="39"/>
      <c r="HS7" s="39"/>
      <c r="HT7" s="39"/>
      <c r="HU7" s="39"/>
      <c r="HV7" s="39"/>
      <c r="HW7" s="39"/>
      <c r="HX7" s="39"/>
      <c r="HY7" s="21" t="s">
        <v>187</v>
      </c>
      <c r="HZ7" s="20"/>
      <c r="IA7" s="24"/>
      <c r="IB7" s="87"/>
      <c r="IC7" s="20"/>
      <c r="ID7" s="20"/>
      <c r="IE7" s="20"/>
      <c r="IG7" s="144"/>
    </row>
    <row r="8" spans="1:241" s="135" customFormat="1" ht="15" customHeight="1">
      <c r="A8" s="21" t="s">
        <v>119</v>
      </c>
      <c r="B8" s="21"/>
      <c r="C8" s="21"/>
      <c r="D8" s="21"/>
      <c r="E8" s="20"/>
      <c r="F8" s="20"/>
      <c r="G8" s="20"/>
      <c r="H8" s="21" t="s">
        <v>119</v>
      </c>
      <c r="I8" s="20"/>
      <c r="J8" s="20"/>
      <c r="K8" s="20"/>
      <c r="L8" s="20"/>
      <c r="M8" s="21" t="s">
        <v>119</v>
      </c>
      <c r="N8" s="20"/>
      <c r="O8" s="21"/>
      <c r="P8" s="21"/>
      <c r="Q8" s="21"/>
      <c r="R8" s="21" t="s">
        <v>119</v>
      </c>
      <c r="S8" s="21"/>
      <c r="T8" s="21"/>
      <c r="U8" s="101"/>
      <c r="V8" s="21" t="s">
        <v>119</v>
      </c>
      <c r="W8" s="20"/>
      <c r="X8" s="20"/>
      <c r="Y8" s="24"/>
      <c r="Z8" s="20" t="s">
        <v>119</v>
      </c>
      <c r="AA8" s="240"/>
      <c r="AB8" s="240"/>
      <c r="AC8" s="240"/>
      <c r="AD8" s="240"/>
      <c r="AE8" s="20" t="s">
        <v>119</v>
      </c>
      <c r="AF8" s="240"/>
      <c r="AG8" s="240"/>
      <c r="AH8" s="240"/>
      <c r="AI8" s="240"/>
      <c r="AJ8" s="21" t="s">
        <v>119</v>
      </c>
      <c r="AK8" s="250"/>
      <c r="AL8" s="250"/>
      <c r="AM8" s="251"/>
      <c r="AN8" s="251"/>
      <c r="AO8" s="21" t="s">
        <v>119</v>
      </c>
      <c r="AP8" s="250"/>
      <c r="AQ8" s="250"/>
      <c r="AR8" s="251"/>
      <c r="AS8" s="251"/>
      <c r="AT8" s="21" t="s">
        <v>119</v>
      </c>
      <c r="AU8" s="250"/>
      <c r="AV8" s="250"/>
      <c r="AW8" s="251"/>
      <c r="AX8" s="251"/>
      <c r="AY8" s="21" t="s">
        <v>119</v>
      </c>
      <c r="AZ8" s="250"/>
      <c r="BA8" s="250"/>
      <c r="BB8" s="251"/>
      <c r="BC8" s="251"/>
      <c r="BD8" s="21" t="s">
        <v>119</v>
      </c>
      <c r="BE8" s="250"/>
      <c r="BF8" s="250"/>
      <c r="BG8" s="251"/>
      <c r="BH8" s="251"/>
      <c r="BI8" s="251"/>
      <c r="BJ8" s="21" t="s">
        <v>119</v>
      </c>
      <c r="BK8" s="20"/>
      <c r="BL8" s="20"/>
      <c r="BM8" s="20"/>
      <c r="BN8" s="20"/>
      <c r="BO8" s="20"/>
      <c r="BP8" s="24"/>
      <c r="BQ8" s="20"/>
      <c r="BR8" s="21" t="s">
        <v>119</v>
      </c>
      <c r="BS8" s="39"/>
      <c r="BT8" s="74"/>
      <c r="BU8" s="20"/>
      <c r="BV8" s="20"/>
      <c r="BW8" s="21" t="s">
        <v>119</v>
      </c>
      <c r="BX8" s="21"/>
      <c r="BY8" s="21"/>
      <c r="BZ8" s="20"/>
      <c r="CA8" s="20"/>
      <c r="CB8" s="102"/>
      <c r="CC8" s="286" t="s">
        <v>119</v>
      </c>
      <c r="CD8" s="240"/>
      <c r="CE8" s="240"/>
      <c r="CF8" s="240"/>
      <c r="CG8" s="21" t="s">
        <v>119</v>
      </c>
      <c r="CH8" s="20"/>
      <c r="CI8" s="20"/>
      <c r="CJ8" s="21"/>
      <c r="CK8" s="24"/>
      <c r="CL8" s="240" t="s">
        <v>119</v>
      </c>
      <c r="CM8" s="240"/>
      <c r="CN8" s="240"/>
      <c r="CO8" s="240"/>
      <c r="CP8" s="240"/>
      <c r="CQ8" s="21" t="s">
        <v>119</v>
      </c>
      <c r="CR8" s="20"/>
      <c r="CS8" s="20"/>
      <c r="CT8" s="20"/>
      <c r="CU8" s="21" t="s">
        <v>119</v>
      </c>
      <c r="CV8" s="20"/>
      <c r="CW8" s="20"/>
      <c r="CX8" s="20"/>
      <c r="CY8" s="20"/>
      <c r="CZ8" s="21" t="s">
        <v>119</v>
      </c>
      <c r="DA8" s="21"/>
      <c r="DB8" s="20"/>
      <c r="DC8" s="20"/>
      <c r="DD8" s="21" t="s">
        <v>119</v>
      </c>
      <c r="DE8" s="20"/>
      <c r="DF8" s="20"/>
      <c r="DG8" s="21" t="s">
        <v>119</v>
      </c>
      <c r="DH8" s="35"/>
      <c r="DI8" s="20"/>
      <c r="DJ8" s="20"/>
      <c r="DK8" s="20"/>
      <c r="DL8" s="21" t="s">
        <v>119</v>
      </c>
      <c r="DM8" s="35"/>
      <c r="DN8" s="20"/>
      <c r="DO8" s="20"/>
      <c r="DP8" s="20"/>
      <c r="DQ8" s="21" t="s">
        <v>119</v>
      </c>
      <c r="DR8" s="20"/>
      <c r="DS8" s="20"/>
      <c r="DT8" s="20"/>
      <c r="DU8" s="24"/>
      <c r="DV8" s="20" t="s">
        <v>119</v>
      </c>
      <c r="DW8" s="20"/>
      <c r="DX8" s="20"/>
      <c r="DY8" s="20"/>
      <c r="DZ8" s="20"/>
      <c r="EA8" s="21" t="s">
        <v>119</v>
      </c>
      <c r="EB8" s="20"/>
      <c r="EC8" s="20"/>
      <c r="ED8" s="20"/>
      <c r="EE8" s="20"/>
      <c r="EF8" s="20" t="s">
        <v>119</v>
      </c>
      <c r="EG8" s="240"/>
      <c r="EH8" s="240"/>
      <c r="EI8" s="240"/>
      <c r="EJ8" s="240"/>
      <c r="EK8" s="21" t="s">
        <v>119</v>
      </c>
      <c r="EL8" s="20"/>
      <c r="EM8" s="21"/>
      <c r="EN8" s="24"/>
      <c r="EO8" s="21" t="s">
        <v>119</v>
      </c>
      <c r="EP8" s="20"/>
      <c r="EQ8" s="20"/>
      <c r="ER8" s="20"/>
      <c r="ES8" s="20"/>
      <c r="ET8" s="21" t="s">
        <v>119</v>
      </c>
      <c r="EU8" s="20"/>
      <c r="EV8" s="20"/>
      <c r="EW8" s="20"/>
      <c r="EX8" s="20"/>
      <c r="EY8" s="20"/>
      <c r="EZ8" s="20" t="s">
        <v>119</v>
      </c>
      <c r="FA8" s="127"/>
      <c r="FB8" s="127"/>
      <c r="FC8" s="127"/>
      <c r="FD8" s="127"/>
      <c r="FE8" s="21" t="s">
        <v>119</v>
      </c>
      <c r="FF8" s="20"/>
      <c r="FG8" s="20"/>
      <c r="FH8" s="20"/>
      <c r="FI8" s="20"/>
      <c r="FJ8" s="20" t="s">
        <v>119</v>
      </c>
      <c r="FK8" s="20"/>
      <c r="FL8" s="20"/>
      <c r="FM8" s="20"/>
      <c r="FN8" s="20"/>
      <c r="FO8" s="20" t="s">
        <v>119</v>
      </c>
      <c r="FP8" s="20"/>
      <c r="FQ8" s="20"/>
      <c r="FR8" s="20"/>
      <c r="FS8" s="24"/>
      <c r="FT8" s="21" t="s">
        <v>119</v>
      </c>
      <c r="FU8" s="35"/>
      <c r="FV8" s="20"/>
      <c r="FW8" s="20"/>
      <c r="FX8" s="20"/>
      <c r="FY8" s="21" t="s">
        <v>119</v>
      </c>
      <c r="FZ8" s="20"/>
      <c r="GA8" s="20"/>
      <c r="GB8" s="20"/>
      <c r="GC8" s="20"/>
      <c r="GD8" s="21" t="s">
        <v>369</v>
      </c>
      <c r="GE8" s="39"/>
      <c r="GF8" s="39"/>
      <c r="GG8" s="20"/>
      <c r="GH8" s="20"/>
      <c r="GI8" s="39"/>
      <c r="GJ8" s="39"/>
      <c r="GK8" s="39"/>
      <c r="GL8" s="39"/>
      <c r="GM8" s="39"/>
      <c r="GN8" s="39"/>
      <c r="GO8" s="21" t="s">
        <v>369</v>
      </c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21" t="s">
        <v>369</v>
      </c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20"/>
      <c r="HL8" s="21" t="s">
        <v>369</v>
      </c>
      <c r="HM8" s="39"/>
      <c r="HN8" s="39"/>
      <c r="HO8" s="20"/>
      <c r="HP8" s="20"/>
      <c r="HQ8" s="39"/>
      <c r="HR8" s="39"/>
      <c r="HS8" s="39"/>
      <c r="HT8" s="39"/>
      <c r="HU8" s="39"/>
      <c r="HV8" s="39"/>
      <c r="HW8" s="39"/>
      <c r="HX8" s="39"/>
      <c r="HY8" s="20" t="str">
        <f>TESTYEAR</f>
        <v>FOR THE TWELVE MONTHS ENDED SEPTEMBER 30, 2007</v>
      </c>
      <c r="HZ8" s="20"/>
      <c r="IA8" s="20"/>
      <c r="IB8" s="87"/>
      <c r="IC8" s="20"/>
      <c r="ID8" s="20"/>
      <c r="IE8" s="20"/>
      <c r="IG8" s="144"/>
    </row>
    <row r="9" spans="16:241" s="135" customFormat="1" ht="15" customHeight="1">
      <c r="P9" s="141"/>
      <c r="S9" s="137"/>
      <c r="T9" s="137"/>
      <c r="U9" s="142"/>
      <c r="W9" s="137"/>
      <c r="X9" s="62"/>
      <c r="Y9" s="62"/>
      <c r="AK9" s="251"/>
      <c r="AL9" s="251"/>
      <c r="AM9" s="251"/>
      <c r="AN9" s="251"/>
      <c r="AP9" s="251"/>
      <c r="AQ9" s="251"/>
      <c r="AR9" s="251"/>
      <c r="AS9" s="251"/>
      <c r="AU9" s="251"/>
      <c r="AV9" s="251"/>
      <c r="AW9" s="251"/>
      <c r="AX9" s="251"/>
      <c r="AZ9" s="251"/>
      <c r="BA9" s="251"/>
      <c r="BB9" s="251"/>
      <c r="BC9" s="251"/>
      <c r="BE9" s="251"/>
      <c r="BF9" s="251"/>
      <c r="BG9" s="251"/>
      <c r="BH9" s="251"/>
      <c r="BI9" s="251"/>
      <c r="BL9" s="4"/>
      <c r="BM9" s="4"/>
      <c r="BN9" s="4"/>
      <c r="BO9" s="4"/>
      <c r="BP9" s="4"/>
      <c r="BQ9" s="4" t="s">
        <v>188</v>
      </c>
      <c r="BT9" s="138" t="s">
        <v>175</v>
      </c>
      <c r="BV9" s="143"/>
      <c r="BX9" s="137"/>
      <c r="BY9" s="137"/>
      <c r="CD9" s="137"/>
      <c r="CH9" s="99"/>
      <c r="CI9" s="99"/>
      <c r="CJ9" s="100"/>
      <c r="CK9" s="100"/>
      <c r="CM9" s="137"/>
      <c r="CN9" s="137"/>
      <c r="CU9" s="62"/>
      <c r="CV9" s="62"/>
      <c r="CW9" s="62"/>
      <c r="CX9" s="62"/>
      <c r="CY9" s="62"/>
      <c r="DR9" s="137"/>
      <c r="DS9" s="137"/>
      <c r="EA9" s="95"/>
      <c r="EB9" s="137"/>
      <c r="EC9" s="137"/>
      <c r="EL9" s="137"/>
      <c r="EP9" s="137"/>
      <c r="EQ9" s="137"/>
      <c r="ER9" s="137"/>
      <c r="EU9" s="137"/>
      <c r="EV9" s="137"/>
      <c r="EW9" s="137"/>
      <c r="EX9" s="137"/>
      <c r="FP9" s="78"/>
      <c r="FQ9" s="7"/>
      <c r="GD9" s="103"/>
      <c r="GF9" s="4"/>
      <c r="GG9" s="4"/>
      <c r="GH9" s="4"/>
      <c r="GI9" s="62"/>
      <c r="GJ9" s="4"/>
      <c r="GK9" s="62"/>
      <c r="GL9" s="62"/>
      <c r="GM9" s="62"/>
      <c r="GN9" s="62"/>
      <c r="GO9" s="126"/>
      <c r="GP9" s="87"/>
      <c r="GQ9" s="62"/>
      <c r="GR9" s="62"/>
      <c r="GS9" s="62"/>
      <c r="GT9" s="62"/>
      <c r="GU9" s="4"/>
      <c r="GV9" s="62"/>
      <c r="GW9" s="4"/>
      <c r="GX9" s="4"/>
      <c r="GY9" s="62"/>
      <c r="GZ9" s="126"/>
      <c r="HA9" s="87"/>
      <c r="HB9" s="4"/>
      <c r="HC9" s="4"/>
      <c r="HD9" s="4"/>
      <c r="HE9" s="62"/>
      <c r="HF9" s="4"/>
      <c r="HG9" s="4"/>
      <c r="HH9" s="4"/>
      <c r="HI9" s="62"/>
      <c r="HJ9" s="62"/>
      <c r="HK9" s="4"/>
      <c r="HL9" s="126"/>
      <c r="HM9" s="87"/>
      <c r="HN9" s="62"/>
      <c r="HO9" s="4"/>
      <c r="HP9" s="4"/>
      <c r="HQ9" s="4"/>
      <c r="HR9" s="4"/>
      <c r="HS9" s="4"/>
      <c r="HT9" s="4"/>
      <c r="HU9" s="62"/>
      <c r="HV9" s="4"/>
      <c r="HW9" s="62"/>
      <c r="HX9" s="62"/>
      <c r="HY9" s="20" t="s">
        <v>119</v>
      </c>
      <c r="HZ9" s="20"/>
      <c r="IA9" s="20"/>
      <c r="IB9" s="20"/>
      <c r="IC9" s="20"/>
      <c r="ID9" s="20"/>
      <c r="IE9" s="20"/>
      <c r="IG9" s="20"/>
    </row>
    <row r="10" spans="1:241" s="135" customFormat="1" ht="15" customHeight="1">
      <c r="A10" s="31" t="s">
        <v>190</v>
      </c>
      <c r="B10" s="137"/>
      <c r="C10" s="137"/>
      <c r="D10" s="137"/>
      <c r="G10" s="4"/>
      <c r="H10" s="31" t="s">
        <v>190</v>
      </c>
      <c r="I10" s="4"/>
      <c r="J10" s="4"/>
      <c r="K10" s="4"/>
      <c r="L10" s="4"/>
      <c r="M10" s="4" t="s">
        <v>190</v>
      </c>
      <c r="N10" s="137"/>
      <c r="O10" s="261"/>
      <c r="P10" s="31"/>
      <c r="Q10" s="31" t="s">
        <v>191</v>
      </c>
      <c r="R10" s="4" t="s">
        <v>190</v>
      </c>
      <c r="T10" s="78"/>
      <c r="U10" s="105"/>
      <c r="V10" s="4" t="s">
        <v>190</v>
      </c>
      <c r="Y10" s="4" t="s">
        <v>175</v>
      </c>
      <c r="Z10" s="31" t="s">
        <v>190</v>
      </c>
      <c r="AA10" s="4"/>
      <c r="AB10" s="4" t="s">
        <v>421</v>
      </c>
      <c r="AC10" s="4"/>
      <c r="AD10" s="4"/>
      <c r="AE10" s="31" t="s">
        <v>190</v>
      </c>
      <c r="AF10" s="4"/>
      <c r="AG10" s="4" t="s">
        <v>421</v>
      </c>
      <c r="AH10" s="4"/>
      <c r="AI10" s="4"/>
      <c r="AJ10" s="4" t="s">
        <v>190</v>
      </c>
      <c r="AK10" s="338"/>
      <c r="AL10" s="253"/>
      <c r="AM10" s="253" t="s">
        <v>331</v>
      </c>
      <c r="AN10" s="253"/>
      <c r="AO10" s="4" t="s">
        <v>190</v>
      </c>
      <c r="AP10" s="338"/>
      <c r="AQ10" s="253"/>
      <c r="AR10" s="253" t="s">
        <v>331</v>
      </c>
      <c r="AS10" s="253"/>
      <c r="AT10" s="4" t="s">
        <v>190</v>
      </c>
      <c r="AU10" s="338"/>
      <c r="AV10" s="253"/>
      <c r="AW10" s="253" t="s">
        <v>331</v>
      </c>
      <c r="AX10" s="253"/>
      <c r="AY10" s="4" t="s">
        <v>190</v>
      </c>
      <c r="AZ10" s="338"/>
      <c r="BA10" s="253"/>
      <c r="BB10" s="253" t="s">
        <v>331</v>
      </c>
      <c r="BC10" s="253"/>
      <c r="BD10" s="368" t="s">
        <v>190</v>
      </c>
      <c r="BE10" s="369"/>
      <c r="BF10" s="369"/>
      <c r="BG10" s="252"/>
      <c r="BH10" s="252"/>
      <c r="BI10" s="370"/>
      <c r="BJ10" s="4" t="s">
        <v>190</v>
      </c>
      <c r="BL10" s="4" t="s">
        <v>192</v>
      </c>
      <c r="BM10" s="4" t="s">
        <v>193</v>
      </c>
      <c r="BN10" s="4" t="s">
        <v>194</v>
      </c>
      <c r="BO10" s="4" t="s">
        <v>194</v>
      </c>
      <c r="BP10" s="4" t="s">
        <v>192</v>
      </c>
      <c r="BQ10" s="4" t="s">
        <v>195</v>
      </c>
      <c r="BR10" s="4" t="s">
        <v>196</v>
      </c>
      <c r="BT10" s="138"/>
      <c r="BU10" s="31" t="s">
        <v>209</v>
      </c>
      <c r="BV10" s="31"/>
      <c r="BW10" s="4" t="s">
        <v>190</v>
      </c>
      <c r="CC10" s="4" t="s">
        <v>190</v>
      </c>
      <c r="CG10" s="4" t="s">
        <v>190</v>
      </c>
      <c r="CH10" s="100"/>
      <c r="CI10" s="4"/>
      <c r="CJ10" s="100"/>
      <c r="CK10" s="100"/>
      <c r="CL10" s="31" t="s">
        <v>190</v>
      </c>
      <c r="CP10" s="4" t="s">
        <v>175</v>
      </c>
      <c r="CQ10" s="31" t="s">
        <v>190</v>
      </c>
      <c r="CR10" s="137"/>
      <c r="CS10" s="137"/>
      <c r="CU10" s="31" t="s">
        <v>190</v>
      </c>
      <c r="CV10" s="63"/>
      <c r="CW10" s="63"/>
      <c r="CX10" s="63"/>
      <c r="CY10" s="63"/>
      <c r="CZ10" s="31" t="s">
        <v>190</v>
      </c>
      <c r="DD10" s="31" t="s">
        <v>190</v>
      </c>
      <c r="DE10" s="137"/>
      <c r="DG10" s="31" t="s">
        <v>190</v>
      </c>
      <c r="DL10" s="31" t="s">
        <v>190</v>
      </c>
      <c r="DQ10" s="31" t="s">
        <v>190</v>
      </c>
      <c r="DS10" s="4"/>
      <c r="DU10" s="4"/>
      <c r="DV10" s="31" t="s">
        <v>190</v>
      </c>
      <c r="DZ10" s="4"/>
      <c r="EA10" s="4" t="s">
        <v>190</v>
      </c>
      <c r="EF10" s="31" t="s">
        <v>190</v>
      </c>
      <c r="EH10" s="138"/>
      <c r="EI10" s="31" t="s">
        <v>209</v>
      </c>
      <c r="EJ10" s="31"/>
      <c r="EK10" s="31" t="s">
        <v>190</v>
      </c>
      <c r="EO10" s="31" t="s">
        <v>190</v>
      </c>
      <c r="EP10" s="137"/>
      <c r="EQ10" s="138"/>
      <c r="ER10" s="31"/>
      <c r="ES10" s="31"/>
      <c r="ET10" s="31" t="s">
        <v>190</v>
      </c>
      <c r="EU10" s="137"/>
      <c r="EV10" s="137"/>
      <c r="EW10" s="137"/>
      <c r="EX10" s="137"/>
      <c r="EY10" s="4"/>
      <c r="EZ10" s="31" t="s">
        <v>190</v>
      </c>
      <c r="FA10" s="4"/>
      <c r="FB10" s="4" t="s">
        <v>421</v>
      </c>
      <c r="FC10" s="4"/>
      <c r="FD10" s="4"/>
      <c r="FE10" s="4" t="s">
        <v>190</v>
      </c>
      <c r="FG10" s="95"/>
      <c r="FI10" s="31"/>
      <c r="FJ10" s="4" t="s">
        <v>190</v>
      </c>
      <c r="FL10" s="95"/>
      <c r="FN10" s="31"/>
      <c r="FO10" s="31" t="s">
        <v>190</v>
      </c>
      <c r="FQ10" s="4" t="s">
        <v>209</v>
      </c>
      <c r="FR10" s="4" t="s">
        <v>208</v>
      </c>
      <c r="FS10" s="4" t="s">
        <v>301</v>
      </c>
      <c r="FT10" s="31" t="s">
        <v>190</v>
      </c>
      <c r="FY10" s="4" t="s">
        <v>190</v>
      </c>
      <c r="GD10" s="145"/>
      <c r="GF10" s="4"/>
      <c r="GG10" s="40" t="s">
        <v>189</v>
      </c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104"/>
      <c r="HF10" s="40"/>
      <c r="HG10" s="40"/>
      <c r="HH10" s="40"/>
      <c r="HI10" s="40"/>
      <c r="HJ10" s="40"/>
      <c r="HK10" s="40"/>
      <c r="HL10" s="126"/>
      <c r="HM10" s="40"/>
      <c r="HN10" s="40"/>
      <c r="HO10" s="104"/>
      <c r="HP10" s="104"/>
      <c r="HQ10" s="40"/>
      <c r="HR10" s="40"/>
      <c r="HS10" s="40"/>
      <c r="HT10" s="40"/>
      <c r="HU10" s="40"/>
      <c r="HV10" s="40"/>
      <c r="HW10" s="40"/>
      <c r="HX10" s="40"/>
      <c r="IB10" s="62"/>
      <c r="IC10" s="62"/>
      <c r="ID10" s="62"/>
      <c r="IE10" s="62"/>
      <c r="IG10" s="144"/>
    </row>
    <row r="11" spans="1:241" s="135" customFormat="1" ht="15" customHeight="1">
      <c r="A11" s="25" t="s">
        <v>215</v>
      </c>
      <c r="B11" s="94" t="s">
        <v>216</v>
      </c>
      <c r="C11" s="94"/>
      <c r="D11" s="94"/>
      <c r="E11" s="94"/>
      <c r="F11" s="94"/>
      <c r="G11" s="10"/>
      <c r="H11" s="25" t="s">
        <v>215</v>
      </c>
      <c r="I11" s="94" t="s">
        <v>216</v>
      </c>
      <c r="J11" s="94"/>
      <c r="K11" s="59" t="s">
        <v>220</v>
      </c>
      <c r="L11" s="59"/>
      <c r="M11" s="10" t="s">
        <v>215</v>
      </c>
      <c r="N11" s="94" t="s">
        <v>216</v>
      </c>
      <c r="O11" s="25" t="s">
        <v>213</v>
      </c>
      <c r="P11" s="25" t="s">
        <v>209</v>
      </c>
      <c r="Q11" s="25" t="s">
        <v>218</v>
      </c>
      <c r="R11" s="10" t="s">
        <v>215</v>
      </c>
      <c r="S11" s="146" t="s">
        <v>216</v>
      </c>
      <c r="T11" s="148"/>
      <c r="U11" s="106" t="s">
        <v>219</v>
      </c>
      <c r="V11" s="10" t="s">
        <v>215</v>
      </c>
      <c r="W11" s="146" t="s">
        <v>216</v>
      </c>
      <c r="X11" s="10"/>
      <c r="Y11" s="10" t="s">
        <v>219</v>
      </c>
      <c r="Z11" s="10" t="s">
        <v>215</v>
      </c>
      <c r="AA11" s="94" t="s">
        <v>216</v>
      </c>
      <c r="AB11" s="10" t="s">
        <v>222</v>
      </c>
      <c r="AC11" s="10" t="s">
        <v>209</v>
      </c>
      <c r="AD11" s="10" t="s">
        <v>220</v>
      </c>
      <c r="AE11" s="10" t="s">
        <v>215</v>
      </c>
      <c r="AF11" s="94" t="s">
        <v>216</v>
      </c>
      <c r="AG11" s="10" t="s">
        <v>222</v>
      </c>
      <c r="AH11" s="10" t="s">
        <v>209</v>
      </c>
      <c r="AI11" s="10" t="s">
        <v>220</v>
      </c>
      <c r="AJ11" s="10" t="s">
        <v>215</v>
      </c>
      <c r="AK11" s="340" t="s">
        <v>216</v>
      </c>
      <c r="AL11" s="254" t="s">
        <v>221</v>
      </c>
      <c r="AM11" s="254" t="s">
        <v>229</v>
      </c>
      <c r="AN11" s="254" t="s">
        <v>220</v>
      </c>
      <c r="AO11" s="10" t="s">
        <v>215</v>
      </c>
      <c r="AP11" s="340" t="s">
        <v>216</v>
      </c>
      <c r="AQ11" s="254" t="s">
        <v>221</v>
      </c>
      <c r="AR11" s="254" t="s">
        <v>229</v>
      </c>
      <c r="AS11" s="254" t="s">
        <v>220</v>
      </c>
      <c r="AT11" s="10" t="s">
        <v>215</v>
      </c>
      <c r="AU11" s="340" t="s">
        <v>216</v>
      </c>
      <c r="AV11" s="254" t="s">
        <v>221</v>
      </c>
      <c r="AW11" s="254" t="s">
        <v>229</v>
      </c>
      <c r="AX11" s="254" t="s">
        <v>220</v>
      </c>
      <c r="AY11" s="10" t="s">
        <v>215</v>
      </c>
      <c r="AZ11" s="340" t="s">
        <v>216</v>
      </c>
      <c r="BA11" s="254" t="s">
        <v>221</v>
      </c>
      <c r="BB11" s="254" t="s">
        <v>229</v>
      </c>
      <c r="BC11" s="254" t="s">
        <v>220</v>
      </c>
      <c r="BD11" s="371" t="s">
        <v>215</v>
      </c>
      <c r="BE11" s="346" t="s">
        <v>216</v>
      </c>
      <c r="BF11" s="371"/>
      <c r="BG11" s="347"/>
      <c r="BH11" s="254" t="s">
        <v>220</v>
      </c>
      <c r="BI11" s="254"/>
      <c r="BJ11" s="10" t="s">
        <v>215</v>
      </c>
      <c r="BK11" s="10" t="s">
        <v>222</v>
      </c>
      <c r="BL11" s="10" t="s">
        <v>195</v>
      </c>
      <c r="BM11" s="10" t="s">
        <v>223</v>
      </c>
      <c r="BN11" s="10" t="s">
        <v>224</v>
      </c>
      <c r="BO11" s="10" t="s">
        <v>225</v>
      </c>
      <c r="BP11" s="10" t="s">
        <v>223</v>
      </c>
      <c r="BQ11" s="10" t="s">
        <v>226</v>
      </c>
      <c r="BR11" s="10" t="s">
        <v>215</v>
      </c>
      <c r="BS11" s="146" t="s">
        <v>216</v>
      </c>
      <c r="BT11" s="75" t="s">
        <v>213</v>
      </c>
      <c r="BU11" s="76" t="s">
        <v>217</v>
      </c>
      <c r="BV11" s="25" t="s">
        <v>220</v>
      </c>
      <c r="BW11" s="10" t="s">
        <v>215</v>
      </c>
      <c r="BX11" s="146" t="s">
        <v>216</v>
      </c>
      <c r="BY11" s="27" t="s">
        <v>227</v>
      </c>
      <c r="BZ11" s="27" t="s">
        <v>204</v>
      </c>
      <c r="CA11" s="10" t="s">
        <v>286</v>
      </c>
      <c r="CB11" s="27" t="s">
        <v>228</v>
      </c>
      <c r="CC11" s="10" t="s">
        <v>215</v>
      </c>
      <c r="CD11" s="146" t="s">
        <v>216</v>
      </c>
      <c r="CE11" s="94"/>
      <c r="CF11" s="10" t="s">
        <v>219</v>
      </c>
      <c r="CG11" s="10" t="s">
        <v>215</v>
      </c>
      <c r="CH11" s="26" t="s">
        <v>216</v>
      </c>
      <c r="CI11" s="10" t="s">
        <v>221</v>
      </c>
      <c r="CJ11" s="10" t="s">
        <v>217</v>
      </c>
      <c r="CK11" s="107" t="s">
        <v>220</v>
      </c>
      <c r="CL11" s="25" t="s">
        <v>215</v>
      </c>
      <c r="CM11" s="146" t="s">
        <v>216</v>
      </c>
      <c r="CN11" s="10"/>
      <c r="CO11" s="10"/>
      <c r="CP11" s="10" t="s">
        <v>219</v>
      </c>
      <c r="CQ11" s="25" t="s">
        <v>215</v>
      </c>
      <c r="CR11" s="26" t="s">
        <v>216</v>
      </c>
      <c r="CS11" s="10"/>
      <c r="CT11" s="27" t="s">
        <v>219</v>
      </c>
      <c r="CU11" s="25" t="s">
        <v>215</v>
      </c>
      <c r="CV11" s="64"/>
      <c r="CW11" s="10" t="s">
        <v>213</v>
      </c>
      <c r="CX11" s="10" t="s">
        <v>217</v>
      </c>
      <c r="CY11" s="25" t="s">
        <v>220</v>
      </c>
      <c r="CZ11" s="10" t="s">
        <v>215</v>
      </c>
      <c r="DA11" s="26" t="s">
        <v>216</v>
      </c>
      <c r="DB11" s="146"/>
      <c r="DC11" s="27" t="s">
        <v>219</v>
      </c>
      <c r="DD11" s="25" t="s">
        <v>215</v>
      </c>
      <c r="DE11" s="94" t="s">
        <v>216</v>
      </c>
      <c r="DF11" s="27" t="s">
        <v>219</v>
      </c>
      <c r="DG11" s="10" t="s">
        <v>215</v>
      </c>
      <c r="DH11" s="26" t="s">
        <v>216</v>
      </c>
      <c r="DI11" s="25" t="s">
        <v>213</v>
      </c>
      <c r="DJ11" s="80" t="s">
        <v>209</v>
      </c>
      <c r="DK11" s="80" t="s">
        <v>220</v>
      </c>
      <c r="DL11" s="10" t="s">
        <v>215</v>
      </c>
      <c r="DM11" s="26" t="s">
        <v>216</v>
      </c>
      <c r="DN11" s="80" t="s">
        <v>213</v>
      </c>
      <c r="DO11" s="80" t="s">
        <v>217</v>
      </c>
      <c r="DP11" s="80" t="s">
        <v>220</v>
      </c>
      <c r="DQ11" s="25" t="s">
        <v>215</v>
      </c>
      <c r="DR11" s="94" t="s">
        <v>216</v>
      </c>
      <c r="DS11" s="10" t="s">
        <v>221</v>
      </c>
      <c r="DT11" s="10" t="s">
        <v>229</v>
      </c>
      <c r="DU11" s="10" t="s">
        <v>220</v>
      </c>
      <c r="DV11" s="10" t="s">
        <v>215</v>
      </c>
      <c r="DW11" s="94" t="s">
        <v>216</v>
      </c>
      <c r="DX11" s="10"/>
      <c r="DY11" s="10"/>
      <c r="DZ11" s="80" t="s">
        <v>219</v>
      </c>
      <c r="EA11" s="10" t="s">
        <v>215</v>
      </c>
      <c r="EB11" s="94" t="s">
        <v>216</v>
      </c>
      <c r="EC11" s="94"/>
      <c r="ED11" s="10"/>
      <c r="EE11" s="80" t="s">
        <v>219</v>
      </c>
      <c r="EF11" s="10" t="s">
        <v>215</v>
      </c>
      <c r="EG11" s="146" t="s">
        <v>216</v>
      </c>
      <c r="EH11" s="75" t="s">
        <v>213</v>
      </c>
      <c r="EI11" s="76" t="s">
        <v>217</v>
      </c>
      <c r="EJ11" s="25" t="s">
        <v>220</v>
      </c>
      <c r="EK11" s="10" t="s">
        <v>215</v>
      </c>
      <c r="EL11" s="94" t="s">
        <v>216</v>
      </c>
      <c r="EM11" s="27"/>
      <c r="EN11" s="27" t="s">
        <v>219</v>
      </c>
      <c r="EO11" s="25" t="s">
        <v>215</v>
      </c>
      <c r="EP11" s="94" t="s">
        <v>216</v>
      </c>
      <c r="EQ11" s="75" t="s">
        <v>213</v>
      </c>
      <c r="ER11" s="25" t="s">
        <v>209</v>
      </c>
      <c r="ES11" s="25" t="s">
        <v>220</v>
      </c>
      <c r="ET11" s="25" t="s">
        <v>215</v>
      </c>
      <c r="EU11" s="94" t="s">
        <v>216</v>
      </c>
      <c r="EV11" s="94"/>
      <c r="EW11" s="94"/>
      <c r="EX11" s="94"/>
      <c r="EY11" s="27" t="s">
        <v>219</v>
      </c>
      <c r="EZ11" s="10" t="s">
        <v>215</v>
      </c>
      <c r="FA11" s="94" t="s">
        <v>216</v>
      </c>
      <c r="FB11" s="10" t="s">
        <v>222</v>
      </c>
      <c r="FC11" s="10" t="s">
        <v>229</v>
      </c>
      <c r="FD11" s="10" t="s">
        <v>220</v>
      </c>
      <c r="FE11" s="10" t="s">
        <v>215</v>
      </c>
      <c r="FF11" s="94" t="s">
        <v>216</v>
      </c>
      <c r="FG11" s="94" t="s">
        <v>221</v>
      </c>
      <c r="FH11" s="10" t="s">
        <v>217</v>
      </c>
      <c r="FI11" s="25" t="s">
        <v>220</v>
      </c>
      <c r="FJ11" s="10" t="s">
        <v>215</v>
      </c>
      <c r="FK11" s="94" t="s">
        <v>216</v>
      </c>
      <c r="FL11" s="10" t="s">
        <v>221</v>
      </c>
      <c r="FM11" s="10" t="s">
        <v>209</v>
      </c>
      <c r="FN11" s="25" t="s">
        <v>220</v>
      </c>
      <c r="FO11" s="10" t="s">
        <v>215</v>
      </c>
      <c r="FP11" s="94" t="s">
        <v>216</v>
      </c>
      <c r="FQ11" s="10" t="s">
        <v>411</v>
      </c>
      <c r="FR11" s="497">
        <v>0.03337000000000001</v>
      </c>
      <c r="FS11" s="86">
        <f>FIT</f>
        <v>0.35</v>
      </c>
      <c r="FT11" s="10" t="s">
        <v>215</v>
      </c>
      <c r="FU11" s="26" t="s">
        <v>216</v>
      </c>
      <c r="FV11" s="80" t="s">
        <v>213</v>
      </c>
      <c r="FW11" s="80" t="s">
        <v>217</v>
      </c>
      <c r="FX11" s="80" t="s">
        <v>220</v>
      </c>
      <c r="FY11" s="10" t="s">
        <v>215</v>
      </c>
      <c r="FZ11" s="146" t="s">
        <v>216</v>
      </c>
      <c r="GA11" s="94"/>
      <c r="GB11" s="94"/>
      <c r="GC11" s="27" t="s">
        <v>245</v>
      </c>
      <c r="GD11" s="145"/>
      <c r="GF11" s="4"/>
      <c r="GG11" s="4"/>
      <c r="GH11" s="4"/>
      <c r="GI11" s="253"/>
      <c r="GJ11" s="4"/>
      <c r="GK11" s="253"/>
      <c r="GL11" s="4"/>
      <c r="GM11" s="4"/>
      <c r="GN11" s="253"/>
      <c r="GO11" s="40"/>
      <c r="GP11" s="40"/>
      <c r="GQ11" s="40"/>
      <c r="GR11" s="40"/>
      <c r="GS11" s="40"/>
      <c r="GT11" s="4"/>
      <c r="GU11" s="4"/>
      <c r="GV11" s="253"/>
      <c r="GW11" s="253"/>
      <c r="GX11" s="40"/>
      <c r="GY11" s="253"/>
      <c r="GZ11" s="40"/>
      <c r="HA11" s="40"/>
      <c r="HB11" s="4"/>
      <c r="HC11" s="4"/>
      <c r="HD11" s="40"/>
      <c r="HE11" s="104"/>
      <c r="HF11" s="253"/>
      <c r="HG11" s="253"/>
      <c r="HH11" s="40"/>
      <c r="HI11" s="4"/>
      <c r="HJ11" s="4"/>
      <c r="HK11" s="40"/>
      <c r="HL11" s="126"/>
      <c r="HM11" s="40"/>
      <c r="HN11" s="4"/>
      <c r="HO11" s="253"/>
      <c r="HP11" s="104"/>
      <c r="HQ11" s="253"/>
      <c r="HR11" s="4"/>
      <c r="HS11" s="253"/>
      <c r="HT11" s="40"/>
      <c r="HU11" s="253"/>
      <c r="HV11" s="40"/>
      <c r="HW11" s="4"/>
      <c r="HX11" s="253"/>
      <c r="IA11" s="4"/>
      <c r="IB11" s="4"/>
      <c r="IC11" s="4" t="s">
        <v>331</v>
      </c>
      <c r="ID11" s="4" t="s">
        <v>296</v>
      </c>
      <c r="IE11" s="4" t="s">
        <v>333</v>
      </c>
      <c r="IG11" s="144"/>
    </row>
    <row r="12" spans="1:242" ht="15" customHeight="1">
      <c r="A12" s="7">
        <v>1</v>
      </c>
      <c r="B12" s="120" t="s">
        <v>297</v>
      </c>
      <c r="C12" s="8"/>
      <c r="D12" s="8"/>
      <c r="F12" s="46"/>
      <c r="H12" s="431"/>
      <c r="I12" s="144"/>
      <c r="J12" s="144"/>
      <c r="K12" s="430"/>
      <c r="L12" s="430"/>
      <c r="M12" s="12"/>
      <c r="N12" s="109"/>
      <c r="O12" s="109"/>
      <c r="P12" s="109"/>
      <c r="Q12" s="109"/>
      <c r="R12" s="12"/>
      <c r="S12" s="78"/>
      <c r="T12" s="111"/>
      <c r="U12" s="130"/>
      <c r="V12" s="12"/>
      <c r="W12" s="88"/>
      <c r="X12" s="89"/>
      <c r="Y12" s="65"/>
      <c r="AA12" s="65"/>
      <c r="AB12" s="65"/>
      <c r="AC12" s="65"/>
      <c r="AD12" s="65"/>
      <c r="AH12" s="78"/>
      <c r="AI12" s="130"/>
      <c r="AJ12" s="7"/>
      <c r="AK12" s="251"/>
      <c r="AL12" s="251"/>
      <c r="AM12" s="251"/>
      <c r="AN12" s="251"/>
      <c r="AO12" s="7"/>
      <c r="AP12" s="251"/>
      <c r="AQ12" s="251"/>
      <c r="AR12" s="251"/>
      <c r="AS12" s="251"/>
      <c r="AT12" s="7"/>
      <c r="AU12" s="251"/>
      <c r="AV12" s="251"/>
      <c r="AW12" s="251"/>
      <c r="AX12" s="251"/>
      <c r="AY12" s="7"/>
      <c r="AZ12" s="251"/>
      <c r="BA12" s="251"/>
      <c r="BB12" s="251"/>
      <c r="BC12" s="251"/>
      <c r="BD12" s="12"/>
      <c r="BE12" s="251"/>
      <c r="BF12" s="251"/>
      <c r="BG12" s="251"/>
      <c r="BH12" s="251"/>
      <c r="BI12" s="251"/>
      <c r="BJ12" s="12"/>
      <c r="BR12" s="12"/>
      <c r="BS12" s="77"/>
      <c r="BT12" s="131"/>
      <c r="BW12" s="12"/>
      <c r="CC12" s="78"/>
      <c r="CD12" s="78"/>
      <c r="CE12" s="78"/>
      <c r="CF12" s="78"/>
      <c r="CG12" s="12"/>
      <c r="CH12" s="8"/>
      <c r="CI12" s="8"/>
      <c r="CJ12" s="8"/>
      <c r="CK12" s="8"/>
      <c r="CL12" s="7"/>
      <c r="CM12" s="133"/>
      <c r="CN12" s="110"/>
      <c r="CO12" s="48"/>
      <c r="CP12" s="48"/>
      <c r="CU12" s="7"/>
      <c r="CV12" s="65"/>
      <c r="CW12" s="66"/>
      <c r="CX12" s="66"/>
      <c r="CY12" s="66"/>
      <c r="DQ12" s="7"/>
      <c r="DR12" s="8"/>
      <c r="DV12" s="12"/>
      <c r="DW12" s="12"/>
      <c r="DX12" s="12"/>
      <c r="DY12" s="12"/>
      <c r="DZ12" s="12"/>
      <c r="ED12" s="48"/>
      <c r="EE12" s="48"/>
      <c r="EG12" s="78"/>
      <c r="EH12" s="78"/>
      <c r="EI12" s="78"/>
      <c r="EJ12" s="130"/>
      <c r="EO12" s="7">
        <v>1</v>
      </c>
      <c r="FE12" s="12"/>
      <c r="FF12" s="78"/>
      <c r="FG12" s="78"/>
      <c r="FH12" s="299"/>
      <c r="FI12" s="78"/>
      <c r="FK12" s="78"/>
      <c r="FL12" s="78"/>
      <c r="FM12" s="78"/>
      <c r="FN12" s="78"/>
      <c r="FR12" s="147"/>
      <c r="GC12" s="7"/>
      <c r="GD12" s="145"/>
      <c r="GE12" s="135"/>
      <c r="GF12" s="135"/>
      <c r="GG12" s="4" t="s">
        <v>377</v>
      </c>
      <c r="GH12" s="4" t="s">
        <v>223</v>
      </c>
      <c r="GI12" s="4" t="s">
        <v>198</v>
      </c>
      <c r="GJ12" s="4" t="s">
        <v>199</v>
      </c>
      <c r="GK12" s="4" t="s">
        <v>429</v>
      </c>
      <c r="GL12" s="4" t="s">
        <v>586</v>
      </c>
      <c r="GM12" s="4" t="s">
        <v>444</v>
      </c>
      <c r="GN12" s="4"/>
      <c r="GO12" s="4"/>
      <c r="GP12" s="4"/>
      <c r="GQ12" s="4"/>
      <c r="GR12" s="4"/>
      <c r="GS12" s="4" t="s">
        <v>466</v>
      </c>
      <c r="GT12" s="4" t="s">
        <v>473</v>
      </c>
      <c r="GU12" s="31" t="s">
        <v>200</v>
      </c>
      <c r="GV12" s="4" t="s">
        <v>201</v>
      </c>
      <c r="GW12" s="31" t="s">
        <v>202</v>
      </c>
      <c r="GX12" s="4" t="s">
        <v>5</v>
      </c>
      <c r="GY12" s="4" t="s">
        <v>13</v>
      </c>
      <c r="GZ12" s="30"/>
      <c r="HA12" s="30"/>
      <c r="HB12" s="4" t="s">
        <v>450</v>
      </c>
      <c r="HC12" s="4" t="s">
        <v>203</v>
      </c>
      <c r="HD12" s="4" t="s">
        <v>362</v>
      </c>
      <c r="HE12" s="4" t="s">
        <v>212</v>
      </c>
      <c r="HF12" s="4" t="s">
        <v>526</v>
      </c>
      <c r="HG12" s="4" t="s">
        <v>343</v>
      </c>
      <c r="HH12" s="4" t="s">
        <v>370</v>
      </c>
      <c r="HI12" s="4" t="s">
        <v>368</v>
      </c>
      <c r="HJ12" s="4" t="s">
        <v>207</v>
      </c>
      <c r="HK12" s="4" t="s">
        <v>206</v>
      </c>
      <c r="HL12" s="4"/>
      <c r="HM12" s="4"/>
      <c r="HN12" s="4" t="s">
        <v>523</v>
      </c>
      <c r="HO12" s="4" t="s">
        <v>210</v>
      </c>
      <c r="HP12" s="4" t="s">
        <v>478</v>
      </c>
      <c r="HQ12" s="4" t="s">
        <v>211</v>
      </c>
      <c r="HR12" s="4" t="s">
        <v>490</v>
      </c>
      <c r="HS12" s="4" t="s">
        <v>437</v>
      </c>
      <c r="HT12" s="4" t="s">
        <v>488</v>
      </c>
      <c r="HU12" s="4" t="s">
        <v>208</v>
      </c>
      <c r="HV12" s="4" t="s">
        <v>353</v>
      </c>
      <c r="HW12" s="4" t="s">
        <v>228</v>
      </c>
      <c r="HX12" s="4" t="s">
        <v>331</v>
      </c>
      <c r="HY12" s="4" t="s">
        <v>190</v>
      </c>
      <c r="HZ12" s="135"/>
      <c r="IA12" s="4" t="s">
        <v>214</v>
      </c>
      <c r="IB12" s="4" t="s">
        <v>228</v>
      </c>
      <c r="IC12" s="4" t="s">
        <v>243</v>
      </c>
      <c r="ID12" s="4" t="s">
        <v>332</v>
      </c>
      <c r="IE12" s="4" t="s">
        <v>245</v>
      </c>
      <c r="IF12" s="4"/>
      <c r="IG12" s="62"/>
      <c r="IH12" s="135"/>
    </row>
    <row r="13" spans="1:241" ht="15" customHeight="1">
      <c r="A13" s="3">
        <f>+A12+1</f>
        <v>2</v>
      </c>
      <c r="C13" s="47" t="s">
        <v>213</v>
      </c>
      <c r="D13" s="48" t="s">
        <v>250</v>
      </c>
      <c r="E13" s="49" t="s">
        <v>251</v>
      </c>
      <c r="F13" s="7" t="s">
        <v>252</v>
      </c>
      <c r="H13" s="7">
        <v>1</v>
      </c>
      <c r="I13" s="135" t="s">
        <v>547</v>
      </c>
      <c r="M13" s="7">
        <v>1</v>
      </c>
      <c r="N13" s="78" t="s">
        <v>49</v>
      </c>
      <c r="O13" s="158">
        <f>GF19</f>
        <v>268574887.48</v>
      </c>
      <c r="P13" s="158">
        <v>14704466.470082223</v>
      </c>
      <c r="Q13" s="158">
        <f>P13-O13</f>
        <v>-253870421.0099178</v>
      </c>
      <c r="R13" s="7">
        <v>1</v>
      </c>
      <c r="S13" s="111" t="s">
        <v>434</v>
      </c>
      <c r="T13" s="439"/>
      <c r="U13" s="68">
        <v>-49591936.75305095</v>
      </c>
      <c r="V13" s="7">
        <v>1</v>
      </c>
      <c r="W13" s="88" t="s">
        <v>261</v>
      </c>
      <c r="X13" s="320">
        <f>IE51</f>
        <v>3303573533.5900683</v>
      </c>
      <c r="Y13" s="65" t="s">
        <v>175</v>
      </c>
      <c r="Z13" s="7">
        <v>1</v>
      </c>
      <c r="AA13" s="341" t="s">
        <v>531</v>
      </c>
      <c r="AB13" s="320"/>
      <c r="AC13" s="320"/>
      <c r="AD13" s="320"/>
      <c r="AE13" s="7">
        <v>1</v>
      </c>
      <c r="AF13" s="120" t="s">
        <v>581</v>
      </c>
      <c r="AH13" s="78"/>
      <c r="AI13" s="130"/>
      <c r="AJ13" s="7">
        <f>AJ12+1</f>
        <v>1</v>
      </c>
      <c r="AK13" s="341" t="s">
        <v>539</v>
      </c>
      <c r="AL13" s="334"/>
      <c r="AM13" s="334"/>
      <c r="AN13" s="334"/>
      <c r="AO13" s="7">
        <f>AO12+1</f>
        <v>1</v>
      </c>
      <c r="AP13" s="341" t="s">
        <v>456</v>
      </c>
      <c r="AQ13" s="334"/>
      <c r="AR13" s="334"/>
      <c r="AS13" s="334"/>
      <c r="AT13" s="7">
        <f>AT12+1</f>
        <v>1</v>
      </c>
      <c r="AU13" s="446" t="s">
        <v>120</v>
      </c>
      <c r="AV13" s="334"/>
      <c r="AW13" s="334"/>
      <c r="AX13" s="334"/>
      <c r="AY13" s="7">
        <f>AY12+1</f>
        <v>1</v>
      </c>
      <c r="AZ13" s="341" t="s">
        <v>461</v>
      </c>
      <c r="BA13" s="334"/>
      <c r="BB13" s="334"/>
      <c r="BC13" s="334"/>
      <c r="BD13" s="7">
        <v>1</v>
      </c>
      <c r="BE13" s="455" t="s">
        <v>160</v>
      </c>
      <c r="BF13" s="361"/>
      <c r="BG13" s="361"/>
      <c r="BH13" s="361"/>
      <c r="BI13" s="361"/>
      <c r="BJ13" s="7">
        <v>1</v>
      </c>
      <c r="BK13" s="56" t="s">
        <v>556</v>
      </c>
      <c r="BL13" s="153">
        <v>4958005.3</v>
      </c>
      <c r="BM13" s="58">
        <v>1418771663.0200002</v>
      </c>
      <c r="BN13" s="58">
        <v>68519490.62</v>
      </c>
      <c r="BO13" s="58">
        <v>361719.81</v>
      </c>
      <c r="BP13" s="58">
        <f>BM13-BN13-BO13</f>
        <v>1349890452.5900002</v>
      </c>
      <c r="BQ13" s="418">
        <f>ROUND(BL13/BP13,9)</f>
        <v>0.003672895</v>
      </c>
      <c r="BR13" s="7">
        <v>1</v>
      </c>
      <c r="BS13" s="77" t="s">
        <v>521</v>
      </c>
      <c r="BT13" s="131"/>
      <c r="BU13" s="131"/>
      <c r="BV13" s="154"/>
      <c r="BW13" s="7">
        <v>1</v>
      </c>
      <c r="BX13" s="111" t="s">
        <v>179</v>
      </c>
      <c r="BY13" s="68">
        <v>24168078</v>
      </c>
      <c r="BZ13" s="68">
        <v>11457814</v>
      </c>
      <c r="CA13" s="68">
        <v>679910</v>
      </c>
      <c r="CB13" s="68">
        <f>+BY13+BZ13+CA13</f>
        <v>36305802</v>
      </c>
      <c r="CC13" s="7">
        <v>1</v>
      </c>
      <c r="CD13" s="78" t="s">
        <v>3</v>
      </c>
      <c r="CE13" s="78"/>
      <c r="CF13" s="6">
        <v>69650077</v>
      </c>
      <c r="CG13" s="7">
        <v>1</v>
      </c>
      <c r="CH13" s="8" t="s">
        <v>248</v>
      </c>
      <c r="CI13" s="60">
        <v>1081709.97</v>
      </c>
      <c r="CJ13" s="60">
        <v>1051719.3686692081</v>
      </c>
      <c r="CK13" s="60">
        <f>+CJ13-CI13</f>
        <v>-29990.601330791833</v>
      </c>
      <c r="CL13" s="7">
        <f aca="true" t="shared" si="0" ref="CL13:CL21">CL12+1</f>
        <v>1</v>
      </c>
      <c r="CM13" s="96" t="s">
        <v>527</v>
      </c>
      <c r="CN13" s="65"/>
      <c r="CO13" s="544">
        <v>4768277230</v>
      </c>
      <c r="CP13" s="65"/>
      <c r="CQ13" s="3" t="s">
        <v>246</v>
      </c>
      <c r="CR13" s="133" t="s">
        <v>247</v>
      </c>
      <c r="CS13" s="133"/>
      <c r="CT13" s="157">
        <v>350242</v>
      </c>
      <c r="CU13" s="7">
        <v>1</v>
      </c>
      <c r="CV13" s="67" t="s">
        <v>345</v>
      </c>
      <c r="CW13" s="68">
        <v>887595</v>
      </c>
      <c r="CX13" s="68">
        <v>0</v>
      </c>
      <c r="CY13" s="68">
        <f>CX13-CW13</f>
        <v>-887595</v>
      </c>
      <c r="CZ13" s="7">
        <v>1</v>
      </c>
      <c r="DA13" s="400" t="s">
        <v>552</v>
      </c>
      <c r="DB13" s="395"/>
      <c r="DC13" s="395"/>
      <c r="DD13" s="3" t="s">
        <v>246</v>
      </c>
      <c r="DE13" s="249" t="s">
        <v>152</v>
      </c>
      <c r="DF13" s="159">
        <v>-8514995.776538001</v>
      </c>
      <c r="DG13" s="7">
        <v>1</v>
      </c>
      <c r="DH13" s="78" t="s">
        <v>340</v>
      </c>
      <c r="DI13" s="150">
        <v>2396344.222129999</v>
      </c>
      <c r="DJ13" s="150">
        <v>2805790.782498466</v>
      </c>
      <c r="DK13" s="66">
        <f>+DJ13-DI13</f>
        <v>409446.56036846666</v>
      </c>
      <c r="DL13" s="7">
        <v>1</v>
      </c>
      <c r="DM13" s="78" t="s">
        <v>121</v>
      </c>
      <c r="DN13" s="150">
        <v>837288.6840868032</v>
      </c>
      <c r="DO13" s="150">
        <v>0</v>
      </c>
      <c r="DP13" s="150">
        <f>+DO13-DN13</f>
        <v>-837288.6840868032</v>
      </c>
      <c r="DQ13" s="7">
        <v>1</v>
      </c>
      <c r="DR13" s="78" t="s">
        <v>290</v>
      </c>
      <c r="DS13" s="65"/>
      <c r="DT13" s="79"/>
      <c r="DU13" s="65"/>
      <c r="DV13" s="7">
        <v>1</v>
      </c>
      <c r="DW13" s="262" t="s">
        <v>372</v>
      </c>
      <c r="DZ13" s="131"/>
      <c r="EA13" s="7">
        <v>1</v>
      </c>
      <c r="EB13" s="151" t="s">
        <v>289</v>
      </c>
      <c r="ED13" s="51"/>
      <c r="EE13" s="51"/>
      <c r="EF13" s="7">
        <v>1</v>
      </c>
      <c r="EG13" s="478" t="s">
        <v>10</v>
      </c>
      <c r="EH13" s="153"/>
      <c r="EI13" s="153"/>
      <c r="EJ13" s="155"/>
      <c r="EK13" s="7">
        <v>1</v>
      </c>
      <c r="EL13" s="78" t="s">
        <v>103</v>
      </c>
      <c r="EO13" s="7">
        <f>EO12+1</f>
        <v>2</v>
      </c>
      <c r="ET13" s="7">
        <v>1</v>
      </c>
      <c r="EU13" s="44" t="s">
        <v>19</v>
      </c>
      <c r="EV13" s="44"/>
      <c r="EW13" s="148" t="s">
        <v>406</v>
      </c>
      <c r="EX13" s="44" t="s">
        <v>407</v>
      </c>
      <c r="EY13" s="44" t="s">
        <v>408</v>
      </c>
      <c r="EZ13" s="7">
        <v>1</v>
      </c>
      <c r="FA13" s="78" t="s">
        <v>99</v>
      </c>
      <c r="FE13" s="7">
        <v>1</v>
      </c>
      <c r="FF13" s="433" t="s">
        <v>310</v>
      </c>
      <c r="FG13" s="249"/>
      <c r="FH13" s="249"/>
      <c r="FI13" s="249"/>
      <c r="FJ13" s="7">
        <v>1</v>
      </c>
      <c r="FK13" s="78"/>
      <c r="FL13" s="78"/>
      <c r="FM13" s="78"/>
      <c r="FN13" s="78"/>
      <c r="FO13" s="7">
        <v>1</v>
      </c>
      <c r="FP13" s="151" t="s">
        <v>591</v>
      </c>
      <c r="FR13" s="147"/>
      <c r="FT13" s="7">
        <v>1</v>
      </c>
      <c r="FU13" s="78" t="s">
        <v>296</v>
      </c>
      <c r="FV13" s="150"/>
      <c r="FW13" s="150">
        <v>107016</v>
      </c>
      <c r="FX13" s="150">
        <f>+FW13-FV13</f>
        <v>107016</v>
      </c>
      <c r="FY13" s="7">
        <v>1</v>
      </c>
      <c r="FZ13" s="8" t="s">
        <v>178</v>
      </c>
      <c r="GC13" s="161">
        <f>BQ16</f>
        <v>0.003502428</v>
      </c>
      <c r="GD13" s="108" t="s">
        <v>190</v>
      </c>
      <c r="GE13" s="135"/>
      <c r="GF13" s="4" t="s">
        <v>197</v>
      </c>
      <c r="GG13" s="4" t="s">
        <v>392</v>
      </c>
      <c r="GH13" s="4" t="s">
        <v>449</v>
      </c>
      <c r="GI13" s="4" t="s">
        <v>230</v>
      </c>
      <c r="GJ13" s="29" t="s">
        <v>231</v>
      </c>
      <c r="GK13" s="29" t="s">
        <v>430</v>
      </c>
      <c r="GL13" s="29" t="s">
        <v>587</v>
      </c>
      <c r="GM13" s="4" t="s">
        <v>442</v>
      </c>
      <c r="GN13" s="4" t="s">
        <v>538</v>
      </c>
      <c r="GO13" s="108" t="s">
        <v>190</v>
      </c>
      <c r="GP13" s="135"/>
      <c r="GQ13" s="4" t="s">
        <v>455</v>
      </c>
      <c r="GR13" s="4" t="s">
        <v>459</v>
      </c>
      <c r="GS13" s="4" t="s">
        <v>467</v>
      </c>
      <c r="GT13" s="4" t="s">
        <v>474</v>
      </c>
      <c r="GU13" s="31" t="s">
        <v>233</v>
      </c>
      <c r="GV13" s="4" t="s">
        <v>14</v>
      </c>
      <c r="GW13" s="84" t="s">
        <v>235</v>
      </c>
      <c r="GX13" s="29" t="s">
        <v>6</v>
      </c>
      <c r="GY13" s="4" t="s">
        <v>232</v>
      </c>
      <c r="GZ13" s="108" t="s">
        <v>190</v>
      </c>
      <c r="HA13" s="135"/>
      <c r="HB13" s="29" t="s">
        <v>237</v>
      </c>
      <c r="HC13" s="29" t="s">
        <v>236</v>
      </c>
      <c r="HD13" s="135"/>
      <c r="HE13" s="4" t="s">
        <v>242</v>
      </c>
      <c r="HF13" s="4" t="s">
        <v>363</v>
      </c>
      <c r="HG13" s="85" t="s">
        <v>344</v>
      </c>
      <c r="HH13" s="4" t="s">
        <v>239</v>
      </c>
      <c r="HI13" s="4" t="s">
        <v>191</v>
      </c>
      <c r="HJ13" s="4" t="s">
        <v>239</v>
      </c>
      <c r="HK13" s="4" t="s">
        <v>232</v>
      </c>
      <c r="HL13" s="108" t="s">
        <v>190</v>
      </c>
      <c r="HM13" s="135"/>
      <c r="HN13" s="4" t="s">
        <v>522</v>
      </c>
      <c r="HO13" s="4" t="s">
        <v>240</v>
      </c>
      <c r="HP13" s="4" t="s">
        <v>477</v>
      </c>
      <c r="HQ13" s="4" t="s">
        <v>241</v>
      </c>
      <c r="HR13" s="4" t="s">
        <v>443</v>
      </c>
      <c r="HS13" s="4" t="s">
        <v>487</v>
      </c>
      <c r="HT13" s="4" t="s">
        <v>489</v>
      </c>
      <c r="HU13" s="4" t="s">
        <v>220</v>
      </c>
      <c r="HV13" s="4" t="s">
        <v>354</v>
      </c>
      <c r="HW13" s="62" t="s">
        <v>323</v>
      </c>
      <c r="HX13" s="4" t="s">
        <v>243</v>
      </c>
      <c r="HY13" s="10" t="s">
        <v>215</v>
      </c>
      <c r="HZ13" s="148"/>
      <c r="IA13" s="10" t="s">
        <v>276</v>
      </c>
      <c r="IB13" s="10" t="s">
        <v>323</v>
      </c>
      <c r="IC13" s="10" t="s">
        <v>244</v>
      </c>
      <c r="ID13" s="10" t="str">
        <f>IF(ID21&lt;0,"SURPLUS","DEFICIENCY")</f>
        <v>DEFICIENCY</v>
      </c>
      <c r="IE13" s="10" t="str">
        <f>IF(ID21&lt;0,"DECREASE","INCREASE")</f>
        <v>INCREASE</v>
      </c>
      <c r="IF13" s="4"/>
      <c r="IG13" s="62"/>
    </row>
    <row r="14" spans="1:241" ht="15" customHeight="1">
      <c r="A14" s="3">
        <f>+A13+1</f>
        <v>3</v>
      </c>
      <c r="C14" s="50" t="s">
        <v>258</v>
      </c>
      <c r="D14" s="51" t="s">
        <v>258</v>
      </c>
      <c r="E14" s="52" t="s">
        <v>259</v>
      </c>
      <c r="F14" s="468">
        <v>0.067</v>
      </c>
      <c r="H14" s="3">
        <f aca="true" t="shared" si="1" ref="H14:H53">+H13+1</f>
        <v>2</v>
      </c>
      <c r="I14" s="97" t="s">
        <v>393</v>
      </c>
      <c r="M14" s="7">
        <f aca="true" t="shared" si="2" ref="M14:M19">M13+1</f>
        <v>2</v>
      </c>
      <c r="O14" s="174"/>
      <c r="P14" s="174"/>
      <c r="Q14" s="174"/>
      <c r="R14" s="7">
        <f>R13+1</f>
        <v>2</v>
      </c>
      <c r="S14" s="8"/>
      <c r="T14" s="8"/>
      <c r="U14" s="163"/>
      <c r="V14" s="7">
        <f>V13+1</f>
        <v>2</v>
      </c>
      <c r="W14" s="90" t="s">
        <v>347</v>
      </c>
      <c r="X14" s="2">
        <v>110892663</v>
      </c>
      <c r="Y14" s="153"/>
      <c r="Z14" s="7">
        <f aca="true" t="shared" si="3" ref="Z14:Z40">Z13+1</f>
        <v>2</v>
      </c>
      <c r="AA14" s="341" t="s">
        <v>532</v>
      </c>
      <c r="AB14" s="320"/>
      <c r="AC14" s="320"/>
      <c r="AD14" s="320"/>
      <c r="AE14" s="7">
        <f aca="true" t="shared" si="4" ref="AE14:AE27">AE13+1</f>
        <v>2</v>
      </c>
      <c r="AF14" s="78" t="s">
        <v>305</v>
      </c>
      <c r="AG14" s="170">
        <v>294039590</v>
      </c>
      <c r="AH14" s="170">
        <v>370743821</v>
      </c>
      <c r="AI14" s="170">
        <f>AH14-AG14</f>
        <v>76704231</v>
      </c>
      <c r="AJ14" s="7">
        <f aca="true" t="shared" si="5" ref="AJ14:AJ30">AJ13+1</f>
        <v>2</v>
      </c>
      <c r="AK14" s="343" t="s">
        <v>305</v>
      </c>
      <c r="AL14" s="343">
        <v>190398570.6158333</v>
      </c>
      <c r="AM14" s="344">
        <v>322813561.88000005</v>
      </c>
      <c r="AN14" s="344">
        <f>AM14-AL14</f>
        <v>132414991.26416674</v>
      </c>
      <c r="AO14" s="7">
        <f aca="true" t="shared" si="6" ref="AO14:AO28">AO13+1</f>
        <v>2</v>
      </c>
      <c r="AP14" s="342" t="s">
        <v>305</v>
      </c>
      <c r="AQ14" s="343"/>
      <c r="AR14" s="343">
        <v>99273738</v>
      </c>
      <c r="AS14" s="344">
        <f>AR14-AQ14</f>
        <v>99273738</v>
      </c>
      <c r="AT14" s="7">
        <f aca="true" t="shared" si="7" ref="AT14:AT34">AT13+1</f>
        <v>2</v>
      </c>
      <c r="AU14" s="447" t="s">
        <v>571</v>
      </c>
      <c r="AV14" s="343"/>
      <c r="AW14" s="343">
        <v>19999791.666666668</v>
      </c>
      <c r="AX14" s="344">
        <f>AW14-AV14</f>
        <v>19999791.666666668</v>
      </c>
      <c r="AY14" s="7">
        <f aca="true" t="shared" si="8" ref="AY14:AY25">AY13+1</f>
        <v>2</v>
      </c>
      <c r="AZ14" s="342" t="s">
        <v>305</v>
      </c>
      <c r="BA14" s="343"/>
      <c r="BB14" s="343">
        <v>33210392.870519996</v>
      </c>
      <c r="BC14" s="344">
        <f>BB14-BA14</f>
        <v>33210392.870519996</v>
      </c>
      <c r="BD14" s="7">
        <f>BD13+1</f>
        <v>2</v>
      </c>
      <c r="BE14" s="372" t="s">
        <v>469</v>
      </c>
      <c r="BF14" s="361"/>
      <c r="BG14" s="345"/>
      <c r="BH14" s="345">
        <v>34020040</v>
      </c>
      <c r="BI14" s="345"/>
      <c r="BJ14" s="7">
        <f>BJ13+1</f>
        <v>2</v>
      </c>
      <c r="BK14" s="56" t="s">
        <v>557</v>
      </c>
      <c r="BL14" s="153">
        <v>5272920.85</v>
      </c>
      <c r="BM14" s="58">
        <v>1604948532.02</v>
      </c>
      <c r="BN14" s="58">
        <v>151158327.62</v>
      </c>
      <c r="BO14" s="58">
        <v>350901.1</v>
      </c>
      <c r="BP14" s="58">
        <f>BM14-BN14-BO14</f>
        <v>1453439303.3000002</v>
      </c>
      <c r="BQ14" s="418">
        <f>ROUND(BL14/BP14,9)</f>
        <v>0.003627892</v>
      </c>
      <c r="BR14" s="7">
        <f aca="true" t="shared" si="9" ref="BR14:BR26">BR13+1</f>
        <v>2</v>
      </c>
      <c r="BS14" s="305" t="s">
        <v>67</v>
      </c>
      <c r="BW14" s="7">
        <f aca="true" t="shared" si="10" ref="BW14:BW19">BW13+1</f>
        <v>2</v>
      </c>
      <c r="BX14" s="8" t="s">
        <v>254</v>
      </c>
      <c r="BY14" s="5">
        <v>22347867.990000002</v>
      </c>
      <c r="BZ14" s="5">
        <v>10228277</v>
      </c>
      <c r="CA14" s="5">
        <v>710569.84</v>
      </c>
      <c r="CB14" s="5">
        <f>+BY14+BZ14+CA14</f>
        <v>33286714.830000002</v>
      </c>
      <c r="CC14" s="7">
        <f>CC13+1</f>
        <v>2</v>
      </c>
      <c r="CD14" s="78" t="s">
        <v>255</v>
      </c>
      <c r="CE14" s="78"/>
      <c r="CF14" s="5">
        <v>70238535</v>
      </c>
      <c r="CG14" s="7">
        <f aca="true" t="shared" si="11" ref="CG14:CG20">CG13+1</f>
        <v>2</v>
      </c>
      <c r="CH14" s="8"/>
      <c r="CI14" s="248"/>
      <c r="CJ14" s="248"/>
      <c r="CK14" s="248"/>
      <c r="CL14" s="7">
        <f>CL13+1</f>
        <v>2</v>
      </c>
      <c r="CM14" s="8" t="s">
        <v>256</v>
      </c>
      <c r="CN14" s="19"/>
      <c r="CO14" s="113">
        <v>0.00035</v>
      </c>
      <c r="CP14" s="65"/>
      <c r="CQ14" s="3" t="s">
        <v>596</v>
      </c>
      <c r="CT14" s="158"/>
      <c r="CU14" s="7">
        <f aca="true" t="shared" si="12" ref="CU14:CU21">CU13+1</f>
        <v>2</v>
      </c>
      <c r="CV14" s="8"/>
      <c r="CW14" s="69"/>
      <c r="CX14" s="66"/>
      <c r="CY14" s="66"/>
      <c r="CZ14" s="7">
        <f>+CZ13+1</f>
        <v>2</v>
      </c>
      <c r="DA14" s="401"/>
      <c r="DB14" s="395"/>
      <c r="DC14" s="395"/>
      <c r="DD14" s="3">
        <f aca="true" t="shared" si="13" ref="DD14:DD25">1+DD13</f>
        <v>2</v>
      </c>
      <c r="DE14" s="249" t="s">
        <v>153</v>
      </c>
      <c r="DF14" s="165">
        <v>674033.5021780003</v>
      </c>
      <c r="DG14" s="7">
        <f aca="true" t="shared" si="14" ref="DG14:DG20">DG13+1</f>
        <v>2</v>
      </c>
      <c r="DH14" s="78" t="s">
        <v>341</v>
      </c>
      <c r="DI14" s="166">
        <v>1623649.522215994</v>
      </c>
      <c r="DJ14" s="166">
        <v>1811266.5504455622</v>
      </c>
      <c r="DK14" s="66">
        <f>+DJ14-DI14</f>
        <v>187617.02822956815</v>
      </c>
      <c r="DL14" s="7">
        <f aca="true" t="shared" si="15" ref="DL14:DL20">DL13+1</f>
        <v>2</v>
      </c>
      <c r="DM14" s="78" t="s">
        <v>436</v>
      </c>
      <c r="DN14" s="166">
        <v>2096718.343846863</v>
      </c>
      <c r="DO14" s="166">
        <v>2236061.0599486446</v>
      </c>
      <c r="DP14" s="150">
        <f>+DO14-DN14</f>
        <v>139342.7161017817</v>
      </c>
      <c r="DQ14" s="7">
        <v>2</v>
      </c>
      <c r="DR14" s="8" t="s">
        <v>424</v>
      </c>
      <c r="DS14" s="150">
        <v>2850065</v>
      </c>
      <c r="DT14" s="150">
        <v>2986583</v>
      </c>
      <c r="DU14" s="167">
        <f aca="true" t="shared" si="16" ref="DU14:DU21">DT14-DS14</f>
        <v>136518</v>
      </c>
      <c r="DV14" s="7">
        <f aca="true" t="shared" si="17" ref="DV14:DV34">DV13+1</f>
        <v>2</v>
      </c>
      <c r="DW14" s="263" t="s">
        <v>294</v>
      </c>
      <c r="DY14" s="167">
        <v>3841177</v>
      </c>
      <c r="EA14" s="7">
        <v>2</v>
      </c>
      <c r="EB14" s="8" t="s">
        <v>62</v>
      </c>
      <c r="EC14" s="8"/>
      <c r="ED14" s="156"/>
      <c r="EE14" s="168">
        <v>8503888.2</v>
      </c>
      <c r="EF14" s="7">
        <f aca="true" t="shared" si="18" ref="EF14:EF30">EF13+1</f>
        <v>2</v>
      </c>
      <c r="EG14" s="263" t="s">
        <v>424</v>
      </c>
      <c r="EH14" s="153">
        <v>188513</v>
      </c>
      <c r="EI14" s="153">
        <v>224553</v>
      </c>
      <c r="EJ14" s="155">
        <f aca="true" t="shared" si="19" ref="EJ14:EJ21">EI14-EH14</f>
        <v>36040</v>
      </c>
      <c r="EK14" s="7">
        <f aca="true" t="shared" si="20" ref="EK14:EK29">EK13+1</f>
        <v>2</v>
      </c>
      <c r="EL14" s="78" t="s">
        <v>475</v>
      </c>
      <c r="EN14" s="168">
        <v>122751606</v>
      </c>
      <c r="EO14" s="7">
        <f aca="true" t="shared" si="21" ref="EO14:EO19">EO13+1</f>
        <v>3</v>
      </c>
      <c r="ET14" s="7">
        <f aca="true" t="shared" si="22" ref="ET14:ET54">ET13+1</f>
        <v>2</v>
      </c>
      <c r="EU14" s="72" t="s">
        <v>18</v>
      </c>
      <c r="EV14" s="93"/>
      <c r="EW14" s="93"/>
      <c r="EX14" s="93"/>
      <c r="EY14" s="169"/>
      <c r="EZ14" s="7">
        <f aca="true" t="shared" si="23" ref="EZ14:EZ42">EZ13+1</f>
        <v>2</v>
      </c>
      <c r="FA14" s="8" t="s">
        <v>97</v>
      </c>
      <c r="FB14" s="155">
        <v>2961999.99</v>
      </c>
      <c r="FC14" s="155">
        <v>0</v>
      </c>
      <c r="FD14" s="155">
        <f aca="true" t="shared" si="24" ref="FD14:FD20">FC14-FB14</f>
        <v>-2961999.99</v>
      </c>
      <c r="FE14" s="7">
        <f aca="true" t="shared" si="25" ref="FE14:FE42">FE13+1</f>
        <v>2</v>
      </c>
      <c r="FF14" s="433" t="s">
        <v>306</v>
      </c>
      <c r="FG14" s="249"/>
      <c r="FH14" s="249"/>
      <c r="FI14" s="249"/>
      <c r="FJ14" s="7">
        <f>FJ13+1</f>
        <v>2</v>
      </c>
      <c r="FK14" s="341" t="s">
        <v>486</v>
      </c>
      <c r="FL14" s="334"/>
      <c r="FM14" s="334"/>
      <c r="FN14" s="334"/>
      <c r="FO14" s="7">
        <f aca="true" t="shared" si="26" ref="FO14:FO40">FO13+1</f>
        <v>2</v>
      </c>
      <c r="FP14" s="8" t="s">
        <v>597</v>
      </c>
      <c r="FQ14" s="131"/>
      <c r="FR14" s="131"/>
      <c r="FS14" s="131"/>
      <c r="FT14" s="7">
        <f>FT13+1</f>
        <v>2</v>
      </c>
      <c r="FV14" s="150"/>
      <c r="FW14" s="150"/>
      <c r="FX14" s="150"/>
      <c r="FY14" s="7">
        <v>2</v>
      </c>
      <c r="FZ14" s="8" t="s">
        <v>263</v>
      </c>
      <c r="GC14" s="161">
        <v>0.002</v>
      </c>
      <c r="GD14" s="108" t="s">
        <v>215</v>
      </c>
      <c r="GE14" s="135"/>
      <c r="GF14" s="4" t="s">
        <v>21</v>
      </c>
      <c r="GG14" s="13" t="s">
        <v>598</v>
      </c>
      <c r="GH14" s="13" t="s">
        <v>599</v>
      </c>
      <c r="GI14" s="13" t="s">
        <v>600</v>
      </c>
      <c r="GJ14" s="13" t="s">
        <v>601</v>
      </c>
      <c r="GK14" s="13" t="s">
        <v>602</v>
      </c>
      <c r="GL14" s="13" t="s">
        <v>603</v>
      </c>
      <c r="GM14" s="13" t="s">
        <v>604</v>
      </c>
      <c r="GN14" s="13" t="s">
        <v>605</v>
      </c>
      <c r="GO14" s="108" t="s">
        <v>215</v>
      </c>
      <c r="GP14" s="135"/>
      <c r="GQ14" s="13" t="s">
        <v>606</v>
      </c>
      <c r="GR14" s="13" t="s">
        <v>607</v>
      </c>
      <c r="GS14" s="13" t="s">
        <v>608</v>
      </c>
      <c r="GT14" s="13" t="s">
        <v>609</v>
      </c>
      <c r="GU14" s="13" t="s">
        <v>610</v>
      </c>
      <c r="GV14" s="13" t="s">
        <v>611</v>
      </c>
      <c r="GW14" s="13" t="s">
        <v>612</v>
      </c>
      <c r="GX14" s="13" t="s">
        <v>613</v>
      </c>
      <c r="GY14" s="13" t="s">
        <v>614</v>
      </c>
      <c r="GZ14" s="108" t="s">
        <v>215</v>
      </c>
      <c r="HA14" s="135"/>
      <c r="HB14" s="13" t="s">
        <v>615</v>
      </c>
      <c r="HC14" s="13" t="s">
        <v>616</v>
      </c>
      <c r="HD14" s="13" t="s">
        <v>617</v>
      </c>
      <c r="HE14" s="13" t="s">
        <v>618</v>
      </c>
      <c r="HF14" s="13" t="s">
        <v>619</v>
      </c>
      <c r="HG14" s="13" t="s">
        <v>620</v>
      </c>
      <c r="HH14" s="13" t="s">
        <v>621</v>
      </c>
      <c r="HI14" s="13" t="s">
        <v>622</v>
      </c>
      <c r="HJ14" s="13" t="s">
        <v>623</v>
      </c>
      <c r="HK14" s="13" t="s">
        <v>624</v>
      </c>
      <c r="HL14" s="108" t="s">
        <v>215</v>
      </c>
      <c r="HM14" s="135"/>
      <c r="HN14" s="13" t="s">
        <v>625</v>
      </c>
      <c r="HO14" s="13" t="s">
        <v>626</v>
      </c>
      <c r="HP14" s="13" t="s">
        <v>627</v>
      </c>
      <c r="HQ14" s="13" t="s">
        <v>628</v>
      </c>
      <c r="HR14" s="13" t="s">
        <v>629</v>
      </c>
      <c r="HS14" s="13" t="s">
        <v>630</v>
      </c>
      <c r="HT14" s="13" t="s">
        <v>631</v>
      </c>
      <c r="HU14" s="13" t="s">
        <v>632</v>
      </c>
      <c r="HV14" s="13" t="s">
        <v>633</v>
      </c>
      <c r="HW14" s="62"/>
      <c r="HX14" s="62" t="s">
        <v>244</v>
      </c>
      <c r="HY14" s="62"/>
      <c r="HZ14" s="133"/>
      <c r="IA14" s="62"/>
      <c r="IB14" s="62"/>
      <c r="IC14" s="62"/>
      <c r="ID14" s="62"/>
      <c r="IE14" s="62"/>
      <c r="IF14" s="62"/>
      <c r="IG14" s="62"/>
    </row>
    <row r="15" spans="1:232" ht="15" customHeight="1" thickBot="1">
      <c r="A15" s="3">
        <f aca="true" t="shared" si="27" ref="A15:A42">+A14+1</f>
        <v>4</v>
      </c>
      <c r="B15" s="171">
        <v>38991</v>
      </c>
      <c r="C15" s="172">
        <v>1845736.936</v>
      </c>
      <c r="D15" s="173">
        <v>1828265.4544526301</v>
      </c>
      <c r="E15" s="46">
        <f aca="true" t="shared" si="28" ref="E15:E26">+D15-C15</f>
        <v>-17471.481547369855</v>
      </c>
      <c r="F15" s="46">
        <f>ROUND(+E15*(1-$F$14),0)</f>
        <v>-16301</v>
      </c>
      <c r="H15" s="3">
        <f t="shared" si="1"/>
        <v>3</v>
      </c>
      <c r="I15" s="428" t="s">
        <v>268</v>
      </c>
      <c r="J15" s="212"/>
      <c r="K15" s="158">
        <v>53812829.77109453</v>
      </c>
      <c r="M15" s="7">
        <f t="shared" si="2"/>
        <v>3</v>
      </c>
      <c r="N15" s="78" t="s">
        <v>302</v>
      </c>
      <c r="O15" s="118">
        <v>4267784</v>
      </c>
      <c r="P15" s="118">
        <v>149656.06068647528</v>
      </c>
      <c r="Q15" s="118">
        <f>P15-O15</f>
        <v>-4118127.939313525</v>
      </c>
      <c r="R15" s="7">
        <f aca="true" t="shared" si="29" ref="R15:R20">R14+1</f>
        <v>3</v>
      </c>
      <c r="S15" s="53" t="s">
        <v>435</v>
      </c>
      <c r="T15" s="9">
        <f>FIT</f>
        <v>0.35</v>
      </c>
      <c r="U15" s="115">
        <f>+U13*T15</f>
        <v>-17357177.863567833</v>
      </c>
      <c r="V15" s="7">
        <f aca="true" t="shared" si="30" ref="V15:V34">V14+1</f>
        <v>3</v>
      </c>
      <c r="W15" s="249" t="s">
        <v>348</v>
      </c>
      <c r="X15" s="182">
        <f>SUM(X13:X14)</f>
        <v>3414466196.5900683</v>
      </c>
      <c r="Y15" s="153"/>
      <c r="Z15" s="7">
        <f t="shared" si="3"/>
        <v>3</v>
      </c>
      <c r="AA15" s="342" t="s">
        <v>305</v>
      </c>
      <c r="AB15" s="320">
        <v>0</v>
      </c>
      <c r="AC15" s="320">
        <v>13240284.93</v>
      </c>
      <c r="AD15" s="344">
        <f>AC15-AB15</f>
        <v>13240284.93</v>
      </c>
      <c r="AE15" s="7">
        <f t="shared" si="4"/>
        <v>3</v>
      </c>
      <c r="AF15" s="8" t="s">
        <v>420</v>
      </c>
      <c r="AG15" s="179">
        <v>-4334788</v>
      </c>
      <c r="AH15" s="179">
        <v>-7552479</v>
      </c>
      <c r="AI15" s="179">
        <f>AH15-AG15</f>
        <v>-3217691</v>
      </c>
      <c r="AJ15" s="7">
        <f t="shared" si="5"/>
        <v>3</v>
      </c>
      <c r="AK15" s="342" t="s">
        <v>11</v>
      </c>
      <c r="AL15" s="345">
        <v>-114167676</v>
      </c>
      <c r="AM15" s="345">
        <v>-193878589</v>
      </c>
      <c r="AN15" s="348">
        <f>AM15-AL15</f>
        <v>-79710913</v>
      </c>
      <c r="AO15" s="7">
        <f t="shared" si="6"/>
        <v>3</v>
      </c>
      <c r="AP15" s="342" t="s">
        <v>11</v>
      </c>
      <c r="AQ15" s="345"/>
      <c r="AR15" s="345">
        <v>-74483303.28716297</v>
      </c>
      <c r="AS15" s="348">
        <f>AR15-AQ15</f>
        <v>-74483303.28716297</v>
      </c>
      <c r="AT15" s="7">
        <f t="shared" si="7"/>
        <v>3</v>
      </c>
      <c r="AU15" s="447" t="s">
        <v>420</v>
      </c>
      <c r="AV15" s="345"/>
      <c r="AW15" s="345">
        <v>-16002667</v>
      </c>
      <c r="AX15" s="348">
        <f>AW15-AV15</f>
        <v>-16002667</v>
      </c>
      <c r="AY15" s="7">
        <f t="shared" si="8"/>
        <v>3</v>
      </c>
      <c r="AZ15" s="342" t="s">
        <v>15</v>
      </c>
      <c r="BA15" s="345"/>
      <c r="BB15" s="345">
        <v>-615007.2753799999</v>
      </c>
      <c r="BC15" s="348">
        <f>BB15-BA15</f>
        <v>-615007.2753799999</v>
      </c>
      <c r="BD15" s="7">
        <f aca="true" t="shared" si="31" ref="BD15:BD40">BD14+1</f>
        <v>3</v>
      </c>
      <c r="BE15" s="372" t="s">
        <v>470</v>
      </c>
      <c r="BF15" s="339"/>
      <c r="BG15" s="345"/>
      <c r="BH15" s="345">
        <v>62694985</v>
      </c>
      <c r="BI15" s="345"/>
      <c r="BJ15" s="7">
        <f aca="true" t="shared" si="32" ref="BJ15:BJ27">BJ14+1</f>
        <v>3</v>
      </c>
      <c r="BK15" s="56" t="s">
        <v>559</v>
      </c>
      <c r="BL15" s="153">
        <v>5231530.26</v>
      </c>
      <c r="BM15" s="58">
        <v>1808438634.03</v>
      </c>
      <c r="BN15" s="58">
        <v>176534947.89999998</v>
      </c>
      <c r="BO15" s="58">
        <v>362636.01</v>
      </c>
      <c r="BP15" s="58">
        <f>BM15-BN15-BO15</f>
        <v>1631541050.1200001</v>
      </c>
      <c r="BQ15" s="506">
        <f>ROUND(BL15/BP15,9)</f>
        <v>0.003206496</v>
      </c>
      <c r="BR15" s="7">
        <f t="shared" si="9"/>
        <v>3</v>
      </c>
      <c r="BS15" s="305" t="s">
        <v>68</v>
      </c>
      <c r="BT15" s="163">
        <v>1470386</v>
      </c>
      <c r="BU15" s="163"/>
      <c r="BV15" s="156">
        <f>BU15-BT15</f>
        <v>-1470386</v>
      </c>
      <c r="BW15" s="7">
        <f t="shared" si="10"/>
        <v>3</v>
      </c>
      <c r="BX15" s="8" t="s">
        <v>342</v>
      </c>
      <c r="BY15" s="68">
        <f>BY13-BY14</f>
        <v>1820210.009999998</v>
      </c>
      <c r="BZ15" s="68">
        <f>BZ13-BZ14</f>
        <v>1229537</v>
      </c>
      <c r="CA15" s="68">
        <f>CA13-CA14</f>
        <v>-30659.839999999967</v>
      </c>
      <c r="CB15" s="68">
        <f>CB13-CB14</f>
        <v>3019087.169999998</v>
      </c>
      <c r="CC15" s="7">
        <f aca="true" t="shared" si="33" ref="CC15:CC24">CC14+1</f>
        <v>3</v>
      </c>
      <c r="CD15" s="78" t="s">
        <v>4</v>
      </c>
      <c r="CE15" s="78"/>
      <c r="CF15" s="6">
        <f>(CF13-CF14)</f>
        <v>-588458</v>
      </c>
      <c r="CG15" s="7">
        <f t="shared" si="11"/>
        <v>3</v>
      </c>
      <c r="CH15" s="8" t="s">
        <v>7</v>
      </c>
      <c r="CI15" s="125">
        <f>SUM(CI13:CI14)</f>
        <v>1081709.97</v>
      </c>
      <c r="CJ15" s="125">
        <f>SUM(CJ13:CJ14)</f>
        <v>1051719.3686692081</v>
      </c>
      <c r="CK15" s="320">
        <f>SUM(CK13:CK14)</f>
        <v>-29990.601330791833</v>
      </c>
      <c r="CL15" s="7">
        <f t="shared" si="0"/>
        <v>3</v>
      </c>
      <c r="CM15" s="8"/>
      <c r="CN15" s="19"/>
      <c r="CO15" s="79"/>
      <c r="CP15" s="65"/>
      <c r="CQ15" s="3">
        <f>1+CQ14</f>
        <v>3</v>
      </c>
      <c r="CR15" s="78" t="s">
        <v>265</v>
      </c>
      <c r="CT15" s="217">
        <f>-CT13</f>
        <v>-350242</v>
      </c>
      <c r="CU15" s="7">
        <f t="shared" si="12"/>
        <v>3</v>
      </c>
      <c r="CV15" s="53" t="s">
        <v>35</v>
      </c>
      <c r="CW15" s="70">
        <f>SUM(CW13:CW14)</f>
        <v>887595</v>
      </c>
      <c r="CX15" s="70">
        <f>SUM(CX13:CX14)</f>
        <v>0</v>
      </c>
      <c r="CY15" s="70">
        <f>SUM(CY13:CY14)</f>
        <v>-887595</v>
      </c>
      <c r="CZ15" s="7">
        <f aca="true" t="shared" si="34" ref="CZ15:CZ46">+CZ14+1</f>
        <v>3</v>
      </c>
      <c r="DA15" s="257" t="s">
        <v>54</v>
      </c>
      <c r="DB15" s="399" t="s">
        <v>55</v>
      </c>
      <c r="DC15" s="395"/>
      <c r="DD15" s="3">
        <f t="shared" si="13"/>
        <v>3</v>
      </c>
      <c r="DE15" s="78" t="s">
        <v>100</v>
      </c>
      <c r="DF15" s="545">
        <f>SUM(DF13:DF14)</f>
        <v>-7840962.274360001</v>
      </c>
      <c r="DG15" s="7">
        <f t="shared" si="14"/>
        <v>3</v>
      </c>
      <c r="DH15" s="8" t="s">
        <v>342</v>
      </c>
      <c r="DI15" s="176">
        <f>SUM(DI13:DI14)</f>
        <v>4019993.7443459933</v>
      </c>
      <c r="DJ15" s="176">
        <f>SUM(DJ13:DJ14)</f>
        <v>4617057.332944028</v>
      </c>
      <c r="DK15" s="176">
        <f>SUM(DK13:DK14)</f>
        <v>597063.5885980348</v>
      </c>
      <c r="DL15" s="7">
        <f t="shared" si="15"/>
        <v>3</v>
      </c>
      <c r="DM15" s="8" t="s">
        <v>342</v>
      </c>
      <c r="DN15" s="176">
        <f>SUM(DN13:DN14)</f>
        <v>2934007.027933666</v>
      </c>
      <c r="DO15" s="176">
        <f>SUM(DO13:DO14)</f>
        <v>2236061.0599486446</v>
      </c>
      <c r="DP15" s="176">
        <f>SUM(DP13:DP14)</f>
        <v>-697945.9679850215</v>
      </c>
      <c r="DQ15" s="7">
        <v>3</v>
      </c>
      <c r="DR15" s="8" t="s">
        <v>425</v>
      </c>
      <c r="DS15" s="66">
        <v>9875831</v>
      </c>
      <c r="DT15" s="66">
        <v>10549442</v>
      </c>
      <c r="DU15" s="177">
        <f t="shared" si="16"/>
        <v>673611</v>
      </c>
      <c r="DV15" s="7">
        <f t="shared" si="17"/>
        <v>3</v>
      </c>
      <c r="DW15" s="305" t="s">
        <v>34</v>
      </c>
      <c r="DX15" s="81">
        <v>0.0479</v>
      </c>
      <c r="DY15" s="306">
        <f>+DY14*DX15</f>
        <v>183992.37829999998</v>
      </c>
      <c r="EA15" s="7">
        <v>3</v>
      </c>
      <c r="EB15" s="8" t="s">
        <v>66</v>
      </c>
      <c r="EC15" s="8"/>
      <c r="ED15" s="156"/>
      <c r="EE15" s="175">
        <v>7983039.711</v>
      </c>
      <c r="EF15" s="7">
        <f t="shared" si="18"/>
        <v>3</v>
      </c>
      <c r="EG15" s="263" t="s">
        <v>425</v>
      </c>
      <c r="EH15" s="152">
        <v>653158</v>
      </c>
      <c r="EI15" s="152">
        <v>793133</v>
      </c>
      <c r="EJ15" s="152">
        <f t="shared" si="19"/>
        <v>139975</v>
      </c>
      <c r="EK15" s="7">
        <f t="shared" si="20"/>
        <v>3</v>
      </c>
      <c r="EL15" s="8" t="s">
        <v>102</v>
      </c>
      <c r="EN15" s="180"/>
      <c r="EO15" s="7">
        <f t="shared" si="21"/>
        <v>4</v>
      </c>
      <c r="EP15" s="78" t="s">
        <v>479</v>
      </c>
      <c r="EQ15" s="153"/>
      <c r="ER15" s="155">
        <v>4162153.8237249996</v>
      </c>
      <c r="ES15" s="153">
        <f>ER15-EQ15</f>
        <v>4162153.8237249996</v>
      </c>
      <c r="ET15" s="7">
        <f t="shared" si="22"/>
        <v>3</v>
      </c>
      <c r="EU15" s="11" t="s">
        <v>427</v>
      </c>
      <c r="EV15" s="11"/>
      <c r="EW15" s="243">
        <v>-4894.41</v>
      </c>
      <c r="EX15" s="243">
        <v>6583314.63</v>
      </c>
      <c r="EY15" s="60">
        <f aca="true" t="shared" si="35" ref="EY15:EY20">SUM(EW15+EX15)</f>
        <v>6578420.22</v>
      </c>
      <c r="EZ15" s="7">
        <f t="shared" si="23"/>
        <v>3</v>
      </c>
      <c r="FA15" s="8" t="s">
        <v>517</v>
      </c>
      <c r="FB15" s="179">
        <v>3975750</v>
      </c>
      <c r="FC15" s="179">
        <v>5425333</v>
      </c>
      <c r="FD15" s="179">
        <f t="shared" si="24"/>
        <v>1449583</v>
      </c>
      <c r="FE15" s="7">
        <f t="shared" si="25"/>
        <v>3</v>
      </c>
      <c r="FF15" s="249" t="s">
        <v>311</v>
      </c>
      <c r="FG15" s="167">
        <v>150517255.13</v>
      </c>
      <c r="FH15" s="167">
        <v>140429255.9665284</v>
      </c>
      <c r="FI15" s="167">
        <f>FH15-FG15</f>
        <v>-10087999.16347161</v>
      </c>
      <c r="FJ15" s="7">
        <f aca="true" t="shared" si="36" ref="FJ15:FJ32">FJ14+1</f>
        <v>3</v>
      </c>
      <c r="FK15" s="342" t="s">
        <v>305</v>
      </c>
      <c r="FL15" s="377">
        <v>1092646.1575</v>
      </c>
      <c r="FM15" s="377">
        <v>22041052</v>
      </c>
      <c r="FN15" s="344">
        <f>FM15-FL15</f>
        <v>20948405.8425</v>
      </c>
      <c r="FO15" s="7">
        <f t="shared" si="26"/>
        <v>3</v>
      </c>
      <c r="FP15" s="8" t="s">
        <v>424</v>
      </c>
      <c r="FQ15" s="153">
        <f>DU14+EJ14</f>
        <v>172558</v>
      </c>
      <c r="FR15" s="153">
        <f>+FQ15*-$FR$11</f>
        <v>-5758.260460000002</v>
      </c>
      <c r="FS15" s="153">
        <f>ROUND(+FR15*-$FS$11,0)</f>
        <v>2015</v>
      </c>
      <c r="FT15" s="7">
        <f aca="true" t="shared" si="37" ref="FT15:FT27">FT14+1</f>
        <v>3</v>
      </c>
      <c r="FV15" s="150"/>
      <c r="FW15" s="150"/>
      <c r="FX15" s="150"/>
      <c r="FY15" s="7">
        <v>3</v>
      </c>
      <c r="FZ15" s="8" t="str">
        <f>"STATE UTILITY TAX ( "&amp;GB15*100&amp;"% - ( LINE 1 * "&amp;GB15*100&amp;"% )  )"</f>
        <v>STATE UTILITY TAX ( 3.873% - ( LINE 1 * 3.873% )  )</v>
      </c>
      <c r="GB15" s="147">
        <v>0.03873</v>
      </c>
      <c r="GC15" s="512">
        <f>ROUND(GB15-(GB15*GC13),7)</f>
        <v>0.0385944</v>
      </c>
      <c r="GD15" s="112" t="s">
        <v>249</v>
      </c>
      <c r="GE15" s="12"/>
      <c r="GF15" s="109"/>
      <c r="GG15" s="12"/>
      <c r="GH15" s="12"/>
      <c r="GI15" s="12"/>
      <c r="GJ15" s="12"/>
      <c r="GK15" s="12"/>
      <c r="GL15" s="12"/>
      <c r="GM15" s="12"/>
      <c r="GN15" s="12"/>
      <c r="GO15" s="1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386" t="s">
        <v>249</v>
      </c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</row>
    <row r="16" spans="1:244" ht="15" customHeight="1" thickTop="1">
      <c r="A16" s="3">
        <f t="shared" si="27"/>
        <v>5</v>
      </c>
      <c r="B16" s="171">
        <v>39022</v>
      </c>
      <c r="C16" s="172">
        <v>2117926.314</v>
      </c>
      <c r="D16" s="173">
        <v>2095938.004669787</v>
      </c>
      <c r="E16" s="46">
        <f t="shared" si="28"/>
        <v>-21988.309330212884</v>
      </c>
      <c r="F16" s="46">
        <f aca="true" t="shared" si="38" ref="F16:F26">ROUND(+E16*(1-$F$14),0)</f>
        <v>-20515</v>
      </c>
      <c r="H16" s="3">
        <f t="shared" si="1"/>
        <v>4</v>
      </c>
      <c r="I16" s="428" t="s">
        <v>269</v>
      </c>
      <c r="K16" s="180">
        <v>65246061</v>
      </c>
      <c r="M16" s="7">
        <f t="shared" si="2"/>
        <v>4</v>
      </c>
      <c r="N16" s="78" t="s">
        <v>303</v>
      </c>
      <c r="O16" s="5">
        <v>10583713.020000001</v>
      </c>
      <c r="P16" s="5">
        <v>9986183.0187126</v>
      </c>
      <c r="Q16" s="5">
        <f>P16-O16</f>
        <v>-597530.0012874007</v>
      </c>
      <c r="R16" s="7">
        <f t="shared" si="29"/>
        <v>4</v>
      </c>
      <c r="S16" s="8" t="s">
        <v>281</v>
      </c>
      <c r="T16" s="78"/>
      <c r="U16" s="181">
        <f>+U15</f>
        <v>-17357177.863567833</v>
      </c>
      <c r="V16" s="7">
        <f t="shared" si="30"/>
        <v>4</v>
      </c>
      <c r="W16" s="249"/>
      <c r="X16" s="249"/>
      <c r="Y16" s="249"/>
      <c r="Z16" s="7">
        <f t="shared" si="3"/>
        <v>4</v>
      </c>
      <c r="AA16" s="342" t="s">
        <v>11</v>
      </c>
      <c r="AB16" s="321">
        <v>0</v>
      </c>
      <c r="AC16" s="321">
        <v>-466940.72</v>
      </c>
      <c r="AD16" s="348">
        <f>AC16-AB16</f>
        <v>-466940.72</v>
      </c>
      <c r="AE16" s="7">
        <f t="shared" si="4"/>
        <v>4</v>
      </c>
      <c r="AF16" s="78" t="s">
        <v>520</v>
      </c>
      <c r="AG16" s="179">
        <v>-19850576</v>
      </c>
      <c r="AH16" s="179">
        <v>-30939082</v>
      </c>
      <c r="AI16" s="179">
        <f>AH16-AG16</f>
        <v>-11088506</v>
      </c>
      <c r="AJ16" s="7">
        <f>AJ15+1</f>
        <v>4</v>
      </c>
      <c r="AK16" s="342" t="s">
        <v>496</v>
      </c>
      <c r="AL16" s="393">
        <v>-85103.03030303029</v>
      </c>
      <c r="AM16" s="393">
        <v>-2339847.2768264837</v>
      </c>
      <c r="AN16" s="348">
        <f>AM16-AL16</f>
        <v>-2254744.2465234534</v>
      </c>
      <c r="AO16" s="7">
        <f>AO15+1</f>
        <v>4</v>
      </c>
      <c r="AP16" s="342" t="s">
        <v>12</v>
      </c>
      <c r="AQ16" s="349"/>
      <c r="AR16" s="349">
        <v>-45713.95280584094</v>
      </c>
      <c r="AS16" s="348">
        <f>AR16-AQ16</f>
        <v>-45713.95280584094</v>
      </c>
      <c r="AT16" s="7">
        <f>AT15+1</f>
        <v>4</v>
      </c>
      <c r="AU16" s="447" t="s">
        <v>572</v>
      </c>
      <c r="AV16" s="349"/>
      <c r="AW16" s="349">
        <v>82210</v>
      </c>
      <c r="AX16" s="348">
        <f>AW16-AV16</f>
        <v>82210</v>
      </c>
      <c r="AY16" s="7">
        <f t="shared" si="8"/>
        <v>4</v>
      </c>
      <c r="AZ16" s="268" t="s">
        <v>465</v>
      </c>
      <c r="BA16" s="365">
        <f>SUM(BA14:BA15)</f>
        <v>0</v>
      </c>
      <c r="BB16" s="365">
        <f>SUM(BB14:BB15)</f>
        <v>32595385.595139995</v>
      </c>
      <c r="BC16" s="365">
        <f>SUM(BC14:BC15)</f>
        <v>32595385.595139995</v>
      </c>
      <c r="BD16" s="7">
        <f t="shared" si="31"/>
        <v>4</v>
      </c>
      <c r="BE16" s="372" t="s">
        <v>471</v>
      </c>
      <c r="BF16" s="339"/>
      <c r="BG16" s="345"/>
      <c r="BH16" s="345">
        <v>7367010</v>
      </c>
      <c r="BI16" s="345"/>
      <c r="BJ16" s="7">
        <f t="shared" si="32"/>
        <v>4</v>
      </c>
      <c r="BK16" s="56" t="s">
        <v>373</v>
      </c>
      <c r="BL16" s="260"/>
      <c r="BM16" s="419"/>
      <c r="BN16" s="419"/>
      <c r="BO16" s="419"/>
      <c r="BP16" s="288"/>
      <c r="BQ16" s="418">
        <f>ROUND(IF(ISERROR(AVERAGE(BQ13,BQ14,BQ15)),0,AVERAGE(BQ13,BQ14,BQ15)),9)</f>
        <v>0.003502428</v>
      </c>
      <c r="BR16" s="7">
        <f t="shared" si="9"/>
        <v>4</v>
      </c>
      <c r="BS16" s="249" t="s">
        <v>69</v>
      </c>
      <c r="BT16" s="163"/>
      <c r="BU16" s="163"/>
      <c r="BV16" s="156"/>
      <c r="BW16" s="7">
        <f t="shared" si="10"/>
        <v>4</v>
      </c>
      <c r="BX16" s="8"/>
      <c r="BY16" s="68"/>
      <c r="BZ16" s="68"/>
      <c r="CA16" s="68"/>
      <c r="CB16" s="68"/>
      <c r="CC16" s="7">
        <f t="shared" si="33"/>
        <v>4</v>
      </c>
      <c r="CD16" s="78"/>
      <c r="CE16" s="78"/>
      <c r="CF16" s="78"/>
      <c r="CG16" s="7">
        <f t="shared" si="11"/>
        <v>4</v>
      </c>
      <c r="CH16" s="8"/>
      <c r="CI16" s="71"/>
      <c r="CJ16" s="71"/>
      <c r="CK16" s="71"/>
      <c r="CL16" s="7">
        <f t="shared" si="0"/>
        <v>4</v>
      </c>
      <c r="CM16" s="8" t="s">
        <v>282</v>
      </c>
      <c r="CN16" s="19"/>
      <c r="CO16" s="79"/>
      <c r="CP16" s="66">
        <f>CO13*CO14</f>
        <v>1668897.0304999999</v>
      </c>
      <c r="CQ16" s="3"/>
      <c r="CU16" s="7">
        <f t="shared" si="12"/>
        <v>4</v>
      </c>
      <c r="CV16" s="8"/>
      <c r="CW16" s="71"/>
      <c r="CX16" s="71"/>
      <c r="CY16" s="71"/>
      <c r="CZ16" s="7">
        <f t="shared" si="34"/>
        <v>4</v>
      </c>
      <c r="DA16" s="402" t="s">
        <v>553</v>
      </c>
      <c r="DB16" s="403">
        <v>176736</v>
      </c>
      <c r="DC16" s="404"/>
      <c r="DD16" s="3">
        <f t="shared" si="13"/>
        <v>4</v>
      </c>
      <c r="DG16" s="7">
        <f t="shared" si="14"/>
        <v>4</v>
      </c>
      <c r="DH16" s="8"/>
      <c r="DK16" s="152"/>
      <c r="DL16" s="7">
        <f t="shared" si="15"/>
        <v>4</v>
      </c>
      <c r="DM16" s="8"/>
      <c r="DP16" s="152"/>
      <c r="DQ16" s="7">
        <v>4</v>
      </c>
      <c r="DR16" s="8" t="s">
        <v>45</v>
      </c>
      <c r="DS16" s="66">
        <v>541430</v>
      </c>
      <c r="DT16" s="66">
        <v>591682</v>
      </c>
      <c r="DU16" s="177">
        <f t="shared" si="16"/>
        <v>50252</v>
      </c>
      <c r="DV16" s="7">
        <f t="shared" si="17"/>
        <v>4</v>
      </c>
      <c r="DW16" s="264" t="s">
        <v>293</v>
      </c>
      <c r="DX16" s="7"/>
      <c r="DY16" s="7"/>
      <c r="DZ16" s="196">
        <f>SUM(DY14:DY15)</f>
        <v>4025169.3783</v>
      </c>
      <c r="EA16" s="7">
        <v>4</v>
      </c>
      <c r="EB16" s="78" t="s">
        <v>80</v>
      </c>
      <c r="ED16" s="156"/>
      <c r="EE16" s="180">
        <f>SUM(EE14:EE15)</f>
        <v>16486927.910999998</v>
      </c>
      <c r="EF16" s="7">
        <f t="shared" si="18"/>
        <v>4</v>
      </c>
      <c r="EG16" s="263" t="s">
        <v>45</v>
      </c>
      <c r="EH16" s="152">
        <v>35789</v>
      </c>
      <c r="EI16" s="152">
        <v>44491</v>
      </c>
      <c r="EJ16" s="152">
        <f t="shared" si="19"/>
        <v>8702</v>
      </c>
      <c r="EK16" s="7">
        <f t="shared" si="20"/>
        <v>4</v>
      </c>
      <c r="EL16" s="8" t="s">
        <v>573</v>
      </c>
      <c r="EN16" s="284">
        <f>Y31</f>
        <v>13638255.31207557</v>
      </c>
      <c r="EO16" s="7">
        <f t="shared" si="21"/>
        <v>5</v>
      </c>
      <c r="EP16" s="78" t="s">
        <v>0</v>
      </c>
      <c r="EQ16" s="180">
        <v>-10843497</v>
      </c>
      <c r="ER16" s="178">
        <v>0</v>
      </c>
      <c r="ES16" s="152">
        <f>ER16-EQ16</f>
        <v>10843497</v>
      </c>
      <c r="ET16" s="7">
        <f t="shared" si="22"/>
        <v>4</v>
      </c>
      <c r="EU16" s="11" t="s">
        <v>428</v>
      </c>
      <c r="EV16" s="11"/>
      <c r="EW16" s="244">
        <v>6614.77</v>
      </c>
      <c r="EX16" s="244">
        <v>5325797.12</v>
      </c>
      <c r="EY16" s="245">
        <f t="shared" si="35"/>
        <v>5332411.89</v>
      </c>
      <c r="EZ16" s="7">
        <f t="shared" si="23"/>
        <v>4</v>
      </c>
      <c r="FA16" s="8" t="s">
        <v>448</v>
      </c>
      <c r="FB16" s="179">
        <v>3526620</v>
      </c>
      <c r="FC16" s="179">
        <v>3526620</v>
      </c>
      <c r="FD16" s="179">
        <f t="shared" si="24"/>
        <v>0</v>
      </c>
      <c r="FE16" s="7">
        <f t="shared" si="25"/>
        <v>4</v>
      </c>
      <c r="FF16" s="249" t="s">
        <v>451</v>
      </c>
      <c r="FG16" s="177">
        <v>4428776.2119</v>
      </c>
      <c r="FH16" s="177">
        <v>9080310.440808216</v>
      </c>
      <c r="FI16" s="434">
        <f>FH16-FG16</f>
        <v>4651534.228908216</v>
      </c>
      <c r="FJ16" s="7">
        <f t="shared" si="36"/>
        <v>4</v>
      </c>
      <c r="FK16" s="342" t="s">
        <v>11</v>
      </c>
      <c r="FL16" s="378">
        <v>-297793.7920833333</v>
      </c>
      <c r="FM16" s="378">
        <v>-2026436</v>
      </c>
      <c r="FN16" s="348">
        <f>FM16-FL16</f>
        <v>-1728642.2079166668</v>
      </c>
      <c r="FO16" s="7">
        <f t="shared" si="26"/>
        <v>4</v>
      </c>
      <c r="FP16" s="8" t="s">
        <v>425</v>
      </c>
      <c r="FQ16" s="152">
        <f>DU15+EJ15</f>
        <v>813586</v>
      </c>
      <c r="FR16" s="152">
        <f>+FQ16*-$FR$11</f>
        <v>-27149.36482000001</v>
      </c>
      <c r="FS16" s="152">
        <f>ROUND(+FR16*-$FS$11,0)</f>
        <v>9502</v>
      </c>
      <c r="FT16" s="7">
        <f t="shared" si="37"/>
        <v>4</v>
      </c>
      <c r="FU16" s="78" t="s">
        <v>351</v>
      </c>
      <c r="FV16" s="150"/>
      <c r="FW16" s="150"/>
      <c r="FX16" s="150"/>
      <c r="FY16" s="7">
        <v>4</v>
      </c>
      <c r="FZ16" s="8"/>
      <c r="GC16" s="184"/>
      <c r="GD16" s="7">
        <v>1</v>
      </c>
      <c r="GE16" s="8" t="s">
        <v>257</v>
      </c>
      <c r="GF16" s="65"/>
      <c r="GG16" s="131"/>
      <c r="GH16" s="131"/>
      <c r="GI16" s="131"/>
      <c r="GJ16" s="131"/>
      <c r="GK16" s="131"/>
      <c r="GL16" s="131"/>
      <c r="GM16" s="131"/>
      <c r="GN16" s="131"/>
      <c r="GO16" s="7">
        <v>1</v>
      </c>
      <c r="GP16" s="8" t="s">
        <v>257</v>
      </c>
      <c r="GQ16" s="131"/>
      <c r="GR16" s="131"/>
      <c r="GS16" s="131"/>
      <c r="GT16" s="131"/>
      <c r="GU16" s="149"/>
      <c r="GX16" s="131"/>
      <c r="GY16" s="131"/>
      <c r="GZ16" s="7">
        <v>1</v>
      </c>
      <c r="HA16" s="8" t="s">
        <v>257</v>
      </c>
      <c r="HC16" s="131"/>
      <c r="HD16" s="8"/>
      <c r="HF16" s="131"/>
      <c r="HI16" s="131"/>
      <c r="HL16" s="7">
        <v>1</v>
      </c>
      <c r="HM16" s="8" t="s">
        <v>257</v>
      </c>
      <c r="HN16" s="131"/>
      <c r="HQ16" s="131"/>
      <c r="HR16" s="131"/>
      <c r="HS16" s="131"/>
      <c r="HT16" s="131"/>
      <c r="HU16" s="7"/>
      <c r="HV16" s="131"/>
      <c r="HX16" s="131"/>
      <c r="HY16" s="7">
        <v>1</v>
      </c>
      <c r="HZ16" s="77" t="s">
        <v>124</v>
      </c>
      <c r="IG16" s="234" t="s">
        <v>394</v>
      </c>
      <c r="II16" s="130"/>
      <c r="IJ16" s="153"/>
    </row>
    <row r="17" spans="1:244" ht="15" customHeight="1" thickBot="1">
      <c r="A17" s="3">
        <f>+A16+1</f>
        <v>6</v>
      </c>
      <c r="B17" s="171">
        <v>39052</v>
      </c>
      <c r="C17" s="172">
        <v>2265270.0025</v>
      </c>
      <c r="D17" s="173">
        <v>2261757.06876317</v>
      </c>
      <c r="E17" s="46">
        <f t="shared" si="28"/>
        <v>-3512.9337368300185</v>
      </c>
      <c r="F17" s="46">
        <f t="shared" si="38"/>
        <v>-3278</v>
      </c>
      <c r="H17" s="3">
        <f t="shared" si="1"/>
        <v>5</v>
      </c>
      <c r="I17" s="427" t="s">
        <v>555</v>
      </c>
      <c r="K17" s="180">
        <v>-65899194.68514972</v>
      </c>
      <c r="M17" s="7">
        <f t="shared" si="2"/>
        <v>5</v>
      </c>
      <c r="O17" s="118">
        <f>SUM(O15:O16)</f>
        <v>14851497.020000001</v>
      </c>
      <c r="P17" s="118">
        <f>SUM(P15:P16)</f>
        <v>10135839.079399075</v>
      </c>
      <c r="Q17" s="118">
        <f>SUM(Q15:Q16)</f>
        <v>-4715657.940600926</v>
      </c>
      <c r="R17" s="7">
        <f>R16+1</f>
        <v>5</v>
      </c>
      <c r="S17" s="8"/>
      <c r="T17" s="8"/>
      <c r="U17" s="163"/>
      <c r="V17" s="7">
        <f>V16+1</f>
        <v>5</v>
      </c>
      <c r="W17" s="88" t="s">
        <v>30</v>
      </c>
      <c r="X17" s="537">
        <f>GC35</f>
        <v>0.0358</v>
      </c>
      <c r="Y17" s="19" t="s">
        <v>175</v>
      </c>
      <c r="Z17" s="7">
        <f t="shared" si="3"/>
        <v>5</v>
      </c>
      <c r="AA17" s="342" t="s">
        <v>337</v>
      </c>
      <c r="AB17" s="444">
        <v>0</v>
      </c>
      <c r="AC17" s="444">
        <v>-1007020.73</v>
      </c>
      <c r="AD17" s="358">
        <f>AC17-AB17</f>
        <v>-1007020.73</v>
      </c>
      <c r="AE17" s="7">
        <f t="shared" si="4"/>
        <v>5</v>
      </c>
      <c r="AF17" s="78" t="s">
        <v>519</v>
      </c>
      <c r="AG17" s="164">
        <v>188678</v>
      </c>
      <c r="AH17" s="164">
        <v>338313</v>
      </c>
      <c r="AI17" s="179">
        <f>AH17-AG17</f>
        <v>149635</v>
      </c>
      <c r="AJ17" s="7">
        <f t="shared" si="5"/>
        <v>5</v>
      </c>
      <c r="AK17" s="342" t="s">
        <v>497</v>
      </c>
      <c r="AL17" s="349">
        <v>0</v>
      </c>
      <c r="AM17" s="349">
        <v>-2078373.4509132414</v>
      </c>
      <c r="AN17" s="348">
        <f>AM17-AL17</f>
        <v>-2078373.4509132414</v>
      </c>
      <c r="AO17" s="7">
        <f t="shared" si="6"/>
        <v>5</v>
      </c>
      <c r="AP17" s="268" t="s">
        <v>457</v>
      </c>
      <c r="AQ17" s="365">
        <f>SUM(AQ14:AQ16)</f>
        <v>0</v>
      </c>
      <c r="AR17" s="365">
        <f>SUM(AR14:AR16)</f>
        <v>24744720.760031186</v>
      </c>
      <c r="AS17" s="365">
        <f>SUM(AS14:AS16)</f>
        <v>24744720.760031186</v>
      </c>
      <c r="AT17" s="7">
        <f t="shared" si="7"/>
        <v>5</v>
      </c>
      <c r="AU17" s="447" t="s">
        <v>574</v>
      </c>
      <c r="AV17" s="365">
        <f>SUM(AV14:AV16)</f>
        <v>0</v>
      </c>
      <c r="AW17" s="365">
        <f>SUM(AW14:AW16)</f>
        <v>4079334.666666668</v>
      </c>
      <c r="AX17" s="365">
        <f>SUM(AX14:AX16)</f>
        <v>4079334.666666668</v>
      </c>
      <c r="AY17" s="7">
        <f t="shared" si="8"/>
        <v>5</v>
      </c>
      <c r="AZ17" s="268"/>
      <c r="BA17" s="350"/>
      <c r="BB17" s="351"/>
      <c r="BC17" s="352"/>
      <c r="BD17" s="7">
        <f t="shared" si="31"/>
        <v>5</v>
      </c>
      <c r="BE17" s="425" t="s">
        <v>447</v>
      </c>
      <c r="BF17" s="339"/>
      <c r="BG17" s="345"/>
      <c r="BH17" s="345">
        <v>-88813196</v>
      </c>
      <c r="BI17" s="345"/>
      <c r="BJ17" s="7">
        <f>BJ16+1</f>
        <v>5</v>
      </c>
      <c r="BK17" s="299"/>
      <c r="BL17" s="299"/>
      <c r="BM17" s="299"/>
      <c r="BN17" s="299"/>
      <c r="BO17" s="299"/>
      <c r="BP17" s="299"/>
      <c r="BQ17" s="299"/>
      <c r="BR17" s="7">
        <f t="shared" si="9"/>
        <v>5</v>
      </c>
      <c r="BS17" s="78" t="s">
        <v>70</v>
      </c>
      <c r="BW17" s="7">
        <f t="shared" si="10"/>
        <v>5</v>
      </c>
      <c r="BX17" s="8" t="s">
        <v>27</v>
      </c>
      <c r="BY17" s="154"/>
      <c r="BZ17" s="9"/>
      <c r="CA17" s="116">
        <f>FIT</f>
        <v>0.35</v>
      </c>
      <c r="CB17" s="5">
        <f>-ROUND(+CB15*CA17,0)</f>
        <v>-1056681</v>
      </c>
      <c r="CC17" s="7">
        <f>CC16+1</f>
        <v>5</v>
      </c>
      <c r="CD17" s="111" t="s">
        <v>28</v>
      </c>
      <c r="CE17" s="78"/>
      <c r="CF17" s="6">
        <v>3628231</v>
      </c>
      <c r="CG17" s="7">
        <f>CG16+1</f>
        <v>5</v>
      </c>
      <c r="CH17" s="8" t="s">
        <v>57</v>
      </c>
      <c r="CI17" s="71"/>
      <c r="CJ17" s="71"/>
      <c r="CK17" s="224">
        <f>CK15</f>
        <v>-29990.601330791833</v>
      </c>
      <c r="CL17" s="7">
        <f>CL16+1</f>
        <v>5</v>
      </c>
      <c r="CM17" s="8" t="s">
        <v>29</v>
      </c>
      <c r="CN17" s="19"/>
      <c r="CO17" s="114"/>
      <c r="CP17" s="115">
        <v>1586606</v>
      </c>
      <c r="CQ17" s="263"/>
      <c r="CR17" s="133"/>
      <c r="CS17" s="133"/>
      <c r="CT17" s="133"/>
      <c r="CU17" s="7">
        <f t="shared" si="12"/>
        <v>5</v>
      </c>
      <c r="CV17" s="8" t="s">
        <v>26</v>
      </c>
      <c r="CW17" s="71"/>
      <c r="CX17" s="71"/>
      <c r="CY17" s="46">
        <f>-CY15</f>
        <v>887595</v>
      </c>
      <c r="CZ17" s="7">
        <f t="shared" si="34"/>
        <v>5</v>
      </c>
      <c r="DA17" s="257" t="s">
        <v>57</v>
      </c>
      <c r="DB17" s="405">
        <f>-DB16</f>
        <v>-176736</v>
      </c>
      <c r="DC17" s="404">
        <f>+DB17</f>
        <v>-176736</v>
      </c>
      <c r="DD17" s="3">
        <f t="shared" si="13"/>
        <v>5</v>
      </c>
      <c r="DE17" s="78" t="s">
        <v>101</v>
      </c>
      <c r="DF17" s="156">
        <f>+DF15/3</f>
        <v>-2613654.091453334</v>
      </c>
      <c r="DG17" s="7">
        <f t="shared" si="14"/>
        <v>5</v>
      </c>
      <c r="DH17" s="78" t="s">
        <v>9</v>
      </c>
      <c r="DK17" s="156">
        <f>DK15</f>
        <v>597063.5885980348</v>
      </c>
      <c r="DL17" s="7">
        <f t="shared" si="15"/>
        <v>5</v>
      </c>
      <c r="DM17" s="78" t="s">
        <v>8</v>
      </c>
      <c r="DP17" s="156">
        <f>DP15</f>
        <v>-697945.9679850215</v>
      </c>
      <c r="DQ17" s="7">
        <v>5</v>
      </c>
      <c r="DR17" s="8" t="s">
        <v>53</v>
      </c>
      <c r="DS17" s="66">
        <v>18820484</v>
      </c>
      <c r="DT17" s="66">
        <v>20366292</v>
      </c>
      <c r="DU17" s="177">
        <f t="shared" si="16"/>
        <v>1545808</v>
      </c>
      <c r="DV17" s="7">
        <f t="shared" si="17"/>
        <v>5</v>
      </c>
      <c r="DW17" s="305"/>
      <c r="DZ17" s="163"/>
      <c r="EA17" s="7">
        <v>5</v>
      </c>
      <c r="ED17" s="156"/>
      <c r="EE17" s="152"/>
      <c r="EF17" s="7">
        <f t="shared" si="18"/>
        <v>5</v>
      </c>
      <c r="EG17" s="263" t="s">
        <v>53</v>
      </c>
      <c r="EH17" s="152">
        <v>1244798</v>
      </c>
      <c r="EI17" s="152">
        <v>1531127</v>
      </c>
      <c r="EJ17" s="152">
        <f t="shared" si="19"/>
        <v>286329</v>
      </c>
      <c r="EK17" s="7">
        <f t="shared" si="20"/>
        <v>5</v>
      </c>
      <c r="EL17" s="8" t="s">
        <v>284</v>
      </c>
      <c r="EN17" s="180">
        <f>SUM(EN14:EN16)</f>
        <v>136389861.31207556</v>
      </c>
      <c r="EO17" s="7">
        <f t="shared" si="21"/>
        <v>6</v>
      </c>
      <c r="EP17" s="78" t="s">
        <v>479</v>
      </c>
      <c r="EQ17" s="438">
        <f>SUM(EQ15:EQ16)</f>
        <v>-10843497</v>
      </c>
      <c r="ER17" s="438">
        <f>SUM(ER15:ER16)</f>
        <v>4162153.8237249996</v>
      </c>
      <c r="ES17" s="438">
        <f>SUM(ES15:ES16)</f>
        <v>15005650.823725</v>
      </c>
      <c r="ET17" s="7">
        <f t="shared" si="22"/>
        <v>5</v>
      </c>
      <c r="EU17" s="11" t="s">
        <v>440</v>
      </c>
      <c r="EV17" s="11"/>
      <c r="EW17" s="244">
        <v>202197.1</v>
      </c>
      <c r="EX17" s="244">
        <v>12062137.54</v>
      </c>
      <c r="EY17" s="245">
        <f t="shared" si="35"/>
        <v>12264334.639999999</v>
      </c>
      <c r="EZ17" s="7">
        <f t="shared" si="23"/>
        <v>5</v>
      </c>
      <c r="FA17" s="8" t="s">
        <v>514</v>
      </c>
      <c r="FB17" s="179">
        <v>1494702</v>
      </c>
      <c r="FC17" s="179">
        <v>1494701.7220710143</v>
      </c>
      <c r="FD17" s="179">
        <f t="shared" si="24"/>
        <v>-0.27792898565530777</v>
      </c>
      <c r="FE17" s="7">
        <f t="shared" si="25"/>
        <v>5</v>
      </c>
      <c r="FF17" s="249" t="s">
        <v>312</v>
      </c>
      <c r="FG17" s="177">
        <v>4846023.195874999</v>
      </c>
      <c r="FH17" s="177">
        <v>4417335.765875</v>
      </c>
      <c r="FI17" s="434">
        <f>FH17-FG17</f>
        <v>-428687.4299999997</v>
      </c>
      <c r="FJ17" s="7">
        <f t="shared" si="36"/>
        <v>5</v>
      </c>
      <c r="FK17" s="342" t="s">
        <v>12</v>
      </c>
      <c r="FL17" s="358">
        <v>-63500</v>
      </c>
      <c r="FM17" s="358">
        <v>356915</v>
      </c>
      <c r="FN17" s="348">
        <f>FM17-FL17</f>
        <v>420415</v>
      </c>
      <c r="FO17" s="7">
        <f t="shared" si="26"/>
        <v>5</v>
      </c>
      <c r="FP17" s="78" t="s">
        <v>346</v>
      </c>
      <c r="FQ17" s="183">
        <f>SUM(FQ14:FQ16)</f>
        <v>986144</v>
      </c>
      <c r="FR17" s="183">
        <f>SUM(FR14:FR16)</f>
        <v>-32907.625280000015</v>
      </c>
      <c r="FS17" s="183">
        <f>SUM(FS14:FS16)</f>
        <v>11517</v>
      </c>
      <c r="FT17" s="7">
        <f t="shared" si="37"/>
        <v>5</v>
      </c>
      <c r="FU17" s="78" t="s">
        <v>349</v>
      </c>
      <c r="FV17" s="166"/>
      <c r="FW17" s="166">
        <f>GC13*FW13</f>
        <v>374.815834848</v>
      </c>
      <c r="FX17" s="150">
        <f>+FW17-FV17</f>
        <v>374.815834848</v>
      </c>
      <c r="FY17" s="7">
        <v>5</v>
      </c>
      <c r="FZ17" s="8" t="s">
        <v>48</v>
      </c>
      <c r="GC17" s="161">
        <f>ROUND(SUM(GC13:GC15),7)</f>
        <v>0.0440968</v>
      </c>
      <c r="GD17" s="7">
        <f aca="true" t="shared" si="39" ref="GD17:GD63">GD16+1</f>
        <v>2</v>
      </c>
      <c r="GE17" s="8" t="s">
        <v>127</v>
      </c>
      <c r="GF17" s="68">
        <v>1785744015.79</v>
      </c>
      <c r="GG17" s="68">
        <f>+G39-GG18</f>
        <v>-12020016</v>
      </c>
      <c r="GH17" s="68">
        <f>L27</f>
        <v>80020081.87473917</v>
      </c>
      <c r="GI17" s="68">
        <v>0</v>
      </c>
      <c r="GJ17" s="68">
        <v>0</v>
      </c>
      <c r="GK17" s="68">
        <v>0</v>
      </c>
      <c r="GL17" s="68"/>
      <c r="GM17" s="68"/>
      <c r="GN17" s="68"/>
      <c r="GO17" s="7">
        <f aca="true" t="shared" si="40" ref="GO17:GO64">GO16+1</f>
        <v>2</v>
      </c>
      <c r="GP17" s="8" t="s">
        <v>127</v>
      </c>
      <c r="GQ17" s="68"/>
      <c r="GR17" s="68"/>
      <c r="GS17" s="68"/>
      <c r="GT17" s="68">
        <f>-BH20+BH19</f>
        <v>-17596113</v>
      </c>
      <c r="GU17" s="68">
        <v>0</v>
      </c>
      <c r="GV17" s="68">
        <v>0</v>
      </c>
      <c r="GW17" s="68">
        <v>0</v>
      </c>
      <c r="GX17" s="68">
        <v>0</v>
      </c>
      <c r="GY17" s="68">
        <v>0</v>
      </c>
      <c r="GZ17" s="7">
        <f aca="true" t="shared" si="41" ref="GZ17:GZ64">GZ16+1</f>
        <v>2</v>
      </c>
      <c r="HA17" s="8" t="s">
        <v>127</v>
      </c>
      <c r="HB17" s="68">
        <v>0</v>
      </c>
      <c r="HC17" s="68">
        <v>0</v>
      </c>
      <c r="HD17" s="68">
        <v>0</v>
      </c>
      <c r="HE17" s="68">
        <v>0</v>
      </c>
      <c r="HF17" s="68">
        <v>0</v>
      </c>
      <c r="HG17" s="68">
        <v>0</v>
      </c>
      <c r="HH17" s="68">
        <v>0</v>
      </c>
      <c r="HI17" s="68">
        <v>0</v>
      </c>
      <c r="HJ17" s="68">
        <v>0</v>
      </c>
      <c r="HK17" s="68">
        <v>0</v>
      </c>
      <c r="HL17" s="7">
        <f aca="true" t="shared" si="42" ref="HL17:HL64">HL16+1</f>
        <v>2</v>
      </c>
      <c r="HM17" s="8" t="s">
        <v>127</v>
      </c>
      <c r="HN17" s="68"/>
      <c r="HO17" s="68">
        <v>0</v>
      </c>
      <c r="HP17" s="68"/>
      <c r="HQ17" s="68">
        <v>0</v>
      </c>
      <c r="HR17" s="68">
        <v>0</v>
      </c>
      <c r="HS17" s="68"/>
      <c r="HT17" s="68"/>
      <c r="HU17" s="68">
        <v>0</v>
      </c>
      <c r="HV17" s="68">
        <f>FX13</f>
        <v>107016</v>
      </c>
      <c r="HW17" s="68">
        <f>SUM(GG17:HV17)-HL17-GZ17-GO17</f>
        <v>50510968.87473917</v>
      </c>
      <c r="HX17" s="68">
        <f>HW17+GF17</f>
        <v>1836254984.6647391</v>
      </c>
      <c r="HY17" s="7">
        <f aca="true" t="shared" si="43" ref="HY17:HY64">HY16+1</f>
        <v>2</v>
      </c>
      <c r="HZ17" s="8" t="s">
        <v>127</v>
      </c>
      <c r="IA17" s="153">
        <v>1785744015.79</v>
      </c>
      <c r="IB17" s="68">
        <f>+HW17</f>
        <v>50510968.87473917</v>
      </c>
      <c r="IC17" s="68">
        <f>SUM(IA17:IB17)</f>
        <v>1836254984.6647391</v>
      </c>
      <c r="ID17" s="68">
        <f>GC67</f>
        <v>130179688</v>
      </c>
      <c r="IE17" s="68">
        <f>SUM(IC17:ID17)</f>
        <v>1966434672.6647391</v>
      </c>
      <c r="IF17" s="68"/>
      <c r="IG17" s="488">
        <f>ID17/IC17</f>
        <v>0.07089412368498922</v>
      </c>
      <c r="IH17" s="130"/>
      <c r="II17" s="130"/>
      <c r="IJ17" s="153"/>
    </row>
    <row r="18" spans="1:244" ht="15" customHeight="1" thickBot="1" thickTop="1">
      <c r="A18" s="3">
        <f t="shared" si="27"/>
        <v>7</v>
      </c>
      <c r="B18" s="171">
        <v>39083</v>
      </c>
      <c r="C18" s="172">
        <v>2453628.528</v>
      </c>
      <c r="D18" s="173">
        <v>2355941.0803099982</v>
      </c>
      <c r="E18" s="46">
        <f t="shared" si="28"/>
        <v>-97687.44769000169</v>
      </c>
      <c r="F18" s="46">
        <f t="shared" si="38"/>
        <v>-91142</v>
      </c>
      <c r="H18" s="3">
        <f t="shared" si="1"/>
        <v>6</v>
      </c>
      <c r="I18" s="427" t="s">
        <v>635</v>
      </c>
      <c r="K18" s="437">
        <v>25989318</v>
      </c>
      <c r="M18" s="7">
        <f t="shared" si="2"/>
        <v>6</v>
      </c>
      <c r="O18" s="174"/>
      <c r="P18" s="174"/>
      <c r="Q18" s="174"/>
      <c r="R18" s="7">
        <f t="shared" si="29"/>
        <v>6</v>
      </c>
      <c r="S18" s="78" t="s">
        <v>40</v>
      </c>
      <c r="T18" s="78"/>
      <c r="U18" s="181">
        <v>107781393</v>
      </c>
      <c r="V18" s="7">
        <f t="shared" si="30"/>
        <v>6</v>
      </c>
      <c r="W18" s="88" t="s">
        <v>298</v>
      </c>
      <c r="X18" s="485"/>
      <c r="Y18" s="538">
        <f>+X15*X17</f>
        <v>122237889.83792444</v>
      </c>
      <c r="Z18" s="7">
        <f t="shared" si="3"/>
        <v>6</v>
      </c>
      <c r="AA18" s="268" t="s">
        <v>590</v>
      </c>
      <c r="AB18" s="320">
        <f>SUM(AB15:AB17)</f>
        <v>0</v>
      </c>
      <c r="AC18" s="320">
        <f>SUM(AC15:AC17)</f>
        <v>11766323.479999999</v>
      </c>
      <c r="AD18" s="320">
        <f>SUM(AD15:AD17)</f>
        <v>11766323.479999999</v>
      </c>
      <c r="AE18" s="7">
        <f t="shared" si="4"/>
        <v>6</v>
      </c>
      <c r="AF18" s="8" t="str">
        <f>AF13</f>
        <v>WILD HORSE RATE BASE</v>
      </c>
      <c r="AG18" s="185">
        <f>SUM(AG14:AG17)</f>
        <v>270042904</v>
      </c>
      <c r="AH18" s="185">
        <f>SUM(AH14:AH17)</f>
        <v>332590573</v>
      </c>
      <c r="AI18" s="185">
        <f>SUM(AI14:AI17)</f>
        <v>62547669</v>
      </c>
      <c r="AJ18" s="7">
        <f t="shared" si="5"/>
        <v>6</v>
      </c>
      <c r="AK18" s="268" t="s">
        <v>536</v>
      </c>
      <c r="AL18" s="365">
        <f>SUM(AL14:AL17)</f>
        <v>76145791.58553028</v>
      </c>
      <c r="AM18" s="365">
        <f>SUM(AM14:AM17)</f>
        <v>124516752.15226033</v>
      </c>
      <c r="AN18" s="365">
        <f>SUM(AN14:AN17)</f>
        <v>48370960.566730045</v>
      </c>
      <c r="AO18" s="7">
        <f t="shared" si="6"/>
        <v>6</v>
      </c>
      <c r="AP18" s="268"/>
      <c r="AQ18" s="350"/>
      <c r="AR18" s="351"/>
      <c r="AS18" s="352"/>
      <c r="AT18" s="7">
        <f t="shared" si="7"/>
        <v>6</v>
      </c>
      <c r="AU18" s="447"/>
      <c r="AV18" s="350"/>
      <c r="AW18" s="351"/>
      <c r="AX18" s="352"/>
      <c r="AY18" s="7">
        <f t="shared" si="8"/>
        <v>6</v>
      </c>
      <c r="AZ18" s="341" t="s">
        <v>463</v>
      </c>
      <c r="BA18" s="354"/>
      <c r="BB18" s="355"/>
      <c r="BC18" s="356"/>
      <c r="BD18" s="7">
        <f t="shared" si="31"/>
        <v>6</v>
      </c>
      <c r="BE18" s="373" t="s">
        <v>637</v>
      </c>
      <c r="BF18" s="339"/>
      <c r="BG18" s="345"/>
      <c r="BH18" s="345">
        <v>2327274</v>
      </c>
      <c r="BI18" s="345"/>
      <c r="BJ18" s="7">
        <f t="shared" si="32"/>
        <v>6</v>
      </c>
      <c r="BK18" s="228" t="s">
        <v>374</v>
      </c>
      <c r="BL18" s="153"/>
      <c r="BM18" s="58">
        <v>2097973590.17</v>
      </c>
      <c r="BN18" s="58">
        <v>268574887.48</v>
      </c>
      <c r="BO18" s="58">
        <v>374331.15</v>
      </c>
      <c r="BP18" s="58">
        <f>BM18-BN18-BO18</f>
        <v>1829024371.54</v>
      </c>
      <c r="BQ18" s="418"/>
      <c r="BR18" s="7">
        <f t="shared" si="9"/>
        <v>6</v>
      </c>
      <c r="BS18" s="78" t="s">
        <v>71</v>
      </c>
      <c r="BT18" s="163"/>
      <c r="BU18" s="163">
        <v>1487422.962567525</v>
      </c>
      <c r="BV18" s="156">
        <f>BU18-BT18</f>
        <v>1487422.962567525</v>
      </c>
      <c r="BW18" s="7">
        <f t="shared" si="10"/>
        <v>6</v>
      </c>
      <c r="BX18" s="8"/>
      <c r="BY18" s="154"/>
      <c r="BZ18" s="9"/>
      <c r="CA18" s="9"/>
      <c r="CB18" s="118"/>
      <c r="CC18" s="7">
        <f t="shared" si="33"/>
        <v>6</v>
      </c>
      <c r="CD18" s="8" t="s">
        <v>255</v>
      </c>
      <c r="CE18" s="78"/>
      <c r="CF18" s="5">
        <v>3739072</v>
      </c>
      <c r="CG18" s="7">
        <f t="shared" si="11"/>
        <v>6</v>
      </c>
      <c r="CH18" s="8"/>
      <c r="CI18" s="71"/>
      <c r="CJ18" s="71"/>
      <c r="CK18" s="224"/>
      <c r="CL18" s="7">
        <f t="shared" si="0"/>
        <v>6</v>
      </c>
      <c r="CM18" s="8" t="s">
        <v>57</v>
      </c>
      <c r="CN18" s="89"/>
      <c r="CO18" s="79"/>
      <c r="CP18" s="68">
        <f>CP16-CP17</f>
        <v>82291.03049999988</v>
      </c>
      <c r="CU18" s="7">
        <f t="shared" si="12"/>
        <v>6</v>
      </c>
      <c r="CV18" s="8"/>
      <c r="CW18" s="71"/>
      <c r="CX18" s="55"/>
      <c r="CZ18" s="7">
        <f t="shared" si="34"/>
        <v>6</v>
      </c>
      <c r="DA18" s="257"/>
      <c r="DB18" s="406"/>
      <c r="DC18" s="408"/>
      <c r="DD18" s="3">
        <f t="shared" si="13"/>
        <v>6</v>
      </c>
      <c r="DG18" s="7">
        <f t="shared" si="14"/>
        <v>6</v>
      </c>
      <c r="DK18" s="156"/>
      <c r="DL18" s="7">
        <f t="shared" si="15"/>
        <v>6</v>
      </c>
      <c r="DP18" s="156"/>
      <c r="DQ18" s="7">
        <v>6</v>
      </c>
      <c r="DR18" s="8" t="s">
        <v>61</v>
      </c>
      <c r="DS18" s="66">
        <v>10109408</v>
      </c>
      <c r="DT18" s="66">
        <v>10847062</v>
      </c>
      <c r="DU18" s="177">
        <f t="shared" si="16"/>
        <v>737654</v>
      </c>
      <c r="DV18" s="7">
        <f t="shared" si="17"/>
        <v>6</v>
      </c>
      <c r="DW18" s="262" t="s">
        <v>379</v>
      </c>
      <c r="DX18" s="82"/>
      <c r="DY18" s="82"/>
      <c r="DZ18" s="163"/>
      <c r="EA18" s="7">
        <v>6</v>
      </c>
      <c r="EB18" s="129" t="s">
        <v>85</v>
      </c>
      <c r="EC18" s="188">
        <v>0.5572</v>
      </c>
      <c r="EE18" s="152">
        <f>ROUND(+EC18*EE16,0)</f>
        <v>9186516</v>
      </c>
      <c r="EF18" s="7">
        <f t="shared" si="18"/>
        <v>6</v>
      </c>
      <c r="EG18" s="263" t="s">
        <v>61</v>
      </c>
      <c r="EH18" s="152">
        <v>668620</v>
      </c>
      <c r="EI18" s="152">
        <v>815528</v>
      </c>
      <c r="EJ18" s="152">
        <f t="shared" si="19"/>
        <v>146908</v>
      </c>
      <c r="EK18" s="7">
        <f t="shared" si="20"/>
        <v>6</v>
      </c>
      <c r="EN18" s="131"/>
      <c r="EO18" s="7">
        <f t="shared" si="21"/>
        <v>7</v>
      </c>
      <c r="EQ18" s="180"/>
      <c r="ER18" s="180"/>
      <c r="ES18" s="180"/>
      <c r="ET18" s="7">
        <f t="shared" si="22"/>
        <v>6</v>
      </c>
      <c r="EU18" s="11" t="s">
        <v>441</v>
      </c>
      <c r="EV18" s="11"/>
      <c r="EW18" s="244">
        <v>50866.08</v>
      </c>
      <c r="EX18" s="244">
        <v>1947137.44</v>
      </c>
      <c r="EY18" s="245">
        <f t="shared" si="35"/>
        <v>1998003.52</v>
      </c>
      <c r="EZ18" s="7">
        <f t="shared" si="23"/>
        <v>6</v>
      </c>
      <c r="FA18" s="8" t="s">
        <v>307</v>
      </c>
      <c r="FB18" s="179">
        <v>0</v>
      </c>
      <c r="FC18" s="179">
        <v>0</v>
      </c>
      <c r="FD18" s="179">
        <f t="shared" si="24"/>
        <v>0</v>
      </c>
      <c r="FE18" s="7">
        <f t="shared" si="25"/>
        <v>6</v>
      </c>
      <c r="FF18" s="249" t="s">
        <v>313</v>
      </c>
      <c r="FG18" s="435">
        <f>SUM(FG15:FG17)</f>
        <v>159792054.53777498</v>
      </c>
      <c r="FH18" s="435">
        <f>SUM(FH15:FH17)</f>
        <v>153926902.1732116</v>
      </c>
      <c r="FI18" s="435">
        <f>SUM(FI15:FI17)</f>
        <v>-5865152.364563393</v>
      </c>
      <c r="FJ18" s="7">
        <f t="shared" si="36"/>
        <v>6</v>
      </c>
      <c r="FK18" s="268" t="s">
        <v>483</v>
      </c>
      <c r="FL18" s="379">
        <f>SUM(FL15:FL17)</f>
        <v>731352.3654166667</v>
      </c>
      <c r="FM18" s="379">
        <f>SUM(FM15:FM17)</f>
        <v>20371531</v>
      </c>
      <c r="FN18" s="379">
        <f>SUM(FN15:FN17)</f>
        <v>19640178.634583335</v>
      </c>
      <c r="FO18" s="7">
        <f t="shared" si="26"/>
        <v>6</v>
      </c>
      <c r="FQ18" s="183"/>
      <c r="FR18" s="183"/>
      <c r="FS18" s="183"/>
      <c r="FT18" s="7">
        <f t="shared" si="37"/>
        <v>6</v>
      </c>
      <c r="FU18" s="78" t="s">
        <v>350</v>
      </c>
      <c r="FV18" s="150"/>
      <c r="FW18" s="150">
        <f>GC14*FW13</f>
        <v>214.032</v>
      </c>
      <c r="FX18" s="150">
        <f>+FW18-FV18</f>
        <v>214.032</v>
      </c>
      <c r="FY18" s="7">
        <v>6</v>
      </c>
      <c r="GC18" s="161"/>
      <c r="GD18" s="7">
        <f t="shared" si="39"/>
        <v>3</v>
      </c>
      <c r="GE18" s="8" t="s">
        <v>128</v>
      </c>
      <c r="GF18" s="66">
        <v>374331.15</v>
      </c>
      <c r="GG18" s="66">
        <f>F38</f>
        <v>-2951</v>
      </c>
      <c r="GH18" s="66">
        <f>L32</f>
        <v>-15633</v>
      </c>
      <c r="GI18" s="66"/>
      <c r="GJ18" s="66"/>
      <c r="GK18" s="66"/>
      <c r="GL18" s="66"/>
      <c r="GM18" s="66"/>
      <c r="GN18" s="66"/>
      <c r="GO18" s="7">
        <f t="shared" si="40"/>
        <v>3</v>
      </c>
      <c r="GP18" s="8" t="s">
        <v>128</v>
      </c>
      <c r="GQ18" s="66"/>
      <c r="GR18" s="66"/>
      <c r="GS18" s="66"/>
      <c r="GT18" s="66"/>
      <c r="GU18" s="66"/>
      <c r="GV18" s="66"/>
      <c r="GW18" s="66"/>
      <c r="GX18" s="66"/>
      <c r="GY18" s="66"/>
      <c r="GZ18" s="7">
        <f t="shared" si="41"/>
        <v>3</v>
      </c>
      <c r="HA18" s="8" t="s">
        <v>128</v>
      </c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7">
        <f t="shared" si="42"/>
        <v>3</v>
      </c>
      <c r="HM18" s="8" t="s">
        <v>128</v>
      </c>
      <c r="HN18" s="66"/>
      <c r="HO18" s="66"/>
      <c r="HP18" s="66"/>
      <c r="HQ18" s="66"/>
      <c r="HR18" s="66"/>
      <c r="HS18" s="66"/>
      <c r="HT18" s="66"/>
      <c r="HU18" s="66"/>
      <c r="HV18" s="66"/>
      <c r="HW18" s="66">
        <f>SUM(GG18:HV18)-HL18-GZ18-GO18</f>
        <v>-18584</v>
      </c>
      <c r="HX18" s="66">
        <f>HW18+GF18</f>
        <v>355747.15</v>
      </c>
      <c r="HY18" s="7">
        <f t="shared" si="43"/>
        <v>3</v>
      </c>
      <c r="HZ18" s="8" t="s">
        <v>128</v>
      </c>
      <c r="IA18" s="152">
        <v>374331.15</v>
      </c>
      <c r="IB18" s="192">
        <f>+HW18</f>
        <v>-18584</v>
      </c>
      <c r="IC18" s="292">
        <f>SUM(IA18:IB18)</f>
        <v>355747.15</v>
      </c>
      <c r="ID18" s="292">
        <f>GC66</f>
        <v>102391</v>
      </c>
      <c r="IE18" s="292">
        <f>SUM(IC18:ID18)</f>
        <v>458138.15</v>
      </c>
      <c r="IF18" s="66"/>
      <c r="IG18" s="118"/>
      <c r="IH18" s="130"/>
      <c r="II18" s="130"/>
      <c r="IJ18" s="153"/>
    </row>
    <row r="19" spans="1:244" ht="15" customHeight="1" thickBot="1" thickTop="1">
      <c r="A19" s="3">
        <f t="shared" si="27"/>
        <v>8</v>
      </c>
      <c r="B19" s="171">
        <v>39114</v>
      </c>
      <c r="C19" s="172">
        <v>1987908.35</v>
      </c>
      <c r="D19" s="173">
        <v>1994880.0580205212</v>
      </c>
      <c r="E19" s="46">
        <f t="shared" si="28"/>
        <v>6971.708020521095</v>
      </c>
      <c r="F19" s="46">
        <f t="shared" si="38"/>
        <v>6505</v>
      </c>
      <c r="H19" s="3">
        <f t="shared" si="1"/>
        <v>7</v>
      </c>
      <c r="I19" s="427" t="s">
        <v>148</v>
      </c>
      <c r="K19" s="500">
        <v>-765691.59</v>
      </c>
      <c r="M19" s="7">
        <f t="shared" si="2"/>
        <v>7</v>
      </c>
      <c r="N19" s="8" t="s">
        <v>131</v>
      </c>
      <c r="O19" s="152">
        <f>SUM(O13:O16)</f>
        <v>283426384.5</v>
      </c>
      <c r="P19" s="152">
        <f>SUM(P13:P16)</f>
        <v>24840305.5494813</v>
      </c>
      <c r="Q19" s="152">
        <f>SUM(Q13:Q16)</f>
        <v>-258586078.95051873</v>
      </c>
      <c r="R19" s="7">
        <f t="shared" si="29"/>
        <v>7</v>
      </c>
      <c r="S19" s="78" t="s">
        <v>43</v>
      </c>
      <c r="T19" s="78"/>
      <c r="U19" s="186">
        <v>-15735819</v>
      </c>
      <c r="V19" s="7">
        <f t="shared" si="30"/>
        <v>7</v>
      </c>
      <c r="W19" s="88"/>
      <c r="X19" s="91"/>
      <c r="Y19" s="69"/>
      <c r="Z19" s="7">
        <f t="shared" si="3"/>
        <v>7</v>
      </c>
      <c r="AA19" s="342"/>
      <c r="AB19" s="320"/>
      <c r="AC19" s="320"/>
      <c r="AD19" s="320"/>
      <c r="AE19" s="7">
        <f t="shared" si="4"/>
        <v>7</v>
      </c>
      <c r="AG19" s="180"/>
      <c r="AH19" s="180"/>
      <c r="AI19" s="302"/>
      <c r="AJ19" s="7">
        <f t="shared" si="5"/>
        <v>7</v>
      </c>
      <c r="AK19" s="268"/>
      <c r="AL19" s="515"/>
      <c r="AM19" s="515"/>
      <c r="AN19" s="381"/>
      <c r="AO19" s="7">
        <f t="shared" si="6"/>
        <v>7</v>
      </c>
      <c r="AP19" s="341" t="s">
        <v>458</v>
      </c>
      <c r="AQ19" s="354"/>
      <c r="AR19" s="355"/>
      <c r="AS19" s="356"/>
      <c r="AT19" s="7">
        <f t="shared" si="7"/>
        <v>7</v>
      </c>
      <c r="AU19" s="447" t="s">
        <v>575</v>
      </c>
      <c r="AV19" s="443"/>
      <c r="AW19" s="443">
        <v>11821375</v>
      </c>
      <c r="AX19" s="344">
        <f>AW19-AV19</f>
        <v>11821375</v>
      </c>
      <c r="AY19" s="7">
        <f t="shared" si="8"/>
        <v>7</v>
      </c>
      <c r="AZ19" s="364" t="s">
        <v>464</v>
      </c>
      <c r="BA19" s="353"/>
      <c r="BB19" s="353">
        <v>738008.7304559998</v>
      </c>
      <c r="BC19" s="348">
        <f>BB19-BA19</f>
        <v>738008.7304559998</v>
      </c>
      <c r="BD19" s="7">
        <f t="shared" si="31"/>
        <v>7</v>
      </c>
      <c r="BE19" s="373" t="s">
        <v>640</v>
      </c>
      <c r="BF19" s="339"/>
      <c r="BG19" s="345"/>
      <c r="BH19" s="345">
        <v>-36729.43</v>
      </c>
      <c r="BI19" s="345"/>
      <c r="BJ19" s="7">
        <f t="shared" si="32"/>
        <v>7</v>
      </c>
      <c r="BL19" s="152"/>
      <c r="BM19" s="420"/>
      <c r="BN19" s="152"/>
      <c r="BO19" s="152"/>
      <c r="BP19" s="152"/>
      <c r="BQ19" s="420"/>
      <c r="BR19" s="7">
        <f t="shared" si="9"/>
        <v>7</v>
      </c>
      <c r="BS19" s="305" t="s">
        <v>146</v>
      </c>
      <c r="BT19" s="163"/>
      <c r="BU19" s="163"/>
      <c r="BV19" s="156"/>
      <c r="BW19" s="7">
        <f t="shared" si="10"/>
        <v>7</v>
      </c>
      <c r="BX19" s="8" t="s">
        <v>39</v>
      </c>
      <c r="BZ19" s="131"/>
      <c r="CA19" s="131"/>
      <c r="CB19" s="216">
        <f>-CB15-CB17</f>
        <v>-1962406.169999998</v>
      </c>
      <c r="CC19" s="7">
        <f t="shared" si="33"/>
        <v>7</v>
      </c>
      <c r="CD19" s="8" t="s">
        <v>44</v>
      </c>
      <c r="CE19" s="78"/>
      <c r="CF19" s="6">
        <f>(CF17-CF18)</f>
        <v>-110841</v>
      </c>
      <c r="CG19" s="7">
        <f>CG18+1</f>
        <v>7</v>
      </c>
      <c r="CH19" s="8" t="s">
        <v>37</v>
      </c>
      <c r="CI19" s="71"/>
      <c r="CJ19" s="55">
        <f>FIT</f>
        <v>0.35</v>
      </c>
      <c r="CK19" s="321">
        <f>-CK17*CJ19</f>
        <v>10496.710465777142</v>
      </c>
      <c r="CL19" s="7">
        <f t="shared" si="0"/>
        <v>7</v>
      </c>
      <c r="CN19" s="65"/>
      <c r="CO19" s="65" t="s">
        <v>175</v>
      </c>
      <c r="CP19" s="65" t="s">
        <v>175</v>
      </c>
      <c r="CU19" s="7">
        <f t="shared" si="12"/>
        <v>7</v>
      </c>
      <c r="CV19" s="8" t="s">
        <v>378</v>
      </c>
      <c r="CW19" s="190">
        <v>0.35</v>
      </c>
      <c r="CX19" s="299"/>
      <c r="CY19" s="152">
        <f>CY17*CW19</f>
        <v>310658.25</v>
      </c>
      <c r="CZ19" s="7">
        <f t="shared" si="34"/>
        <v>7</v>
      </c>
      <c r="DA19" s="395"/>
      <c r="DB19" s="395"/>
      <c r="DC19" s="395"/>
      <c r="DD19" s="3">
        <f t="shared" si="13"/>
        <v>7</v>
      </c>
      <c r="DE19" s="78" t="s">
        <v>104</v>
      </c>
      <c r="DF19" s="156">
        <v>-1475527.84</v>
      </c>
      <c r="DG19" s="7">
        <f t="shared" si="14"/>
        <v>7</v>
      </c>
      <c r="DH19" s="8" t="s">
        <v>37</v>
      </c>
      <c r="DI19" s="187">
        <v>0.35</v>
      </c>
      <c r="DJ19" s="9"/>
      <c r="DK19" s="66">
        <f>-DI19*DK17</f>
        <v>-208972.25600931217</v>
      </c>
      <c r="DL19" s="7">
        <f t="shared" si="15"/>
        <v>7</v>
      </c>
      <c r="DM19" s="8" t="s">
        <v>37</v>
      </c>
      <c r="DN19" s="187">
        <v>0.35</v>
      </c>
      <c r="DO19" s="9"/>
      <c r="DP19" s="66">
        <f>-DN19*DP17</f>
        <v>244281.08879475752</v>
      </c>
      <c r="DQ19" s="7">
        <v>7</v>
      </c>
      <c r="DR19" s="8" t="s">
        <v>65</v>
      </c>
      <c r="DS19" s="66">
        <v>1382177</v>
      </c>
      <c r="DT19" s="66">
        <v>1460415</v>
      </c>
      <c r="DU19" s="177">
        <f t="shared" si="16"/>
        <v>78238</v>
      </c>
      <c r="DV19" s="7">
        <f t="shared" si="17"/>
        <v>7</v>
      </c>
      <c r="DW19" s="263" t="s">
        <v>380</v>
      </c>
      <c r="DX19" s="48"/>
      <c r="DY19" s="163">
        <v>1012427</v>
      </c>
      <c r="EA19" s="7">
        <v>7</v>
      </c>
      <c r="EB19" s="53" t="s">
        <v>543</v>
      </c>
      <c r="EC19" s="8"/>
      <c r="ED19" s="187"/>
      <c r="EE19" s="152">
        <v>7670034.92</v>
      </c>
      <c r="EF19" s="7">
        <f t="shared" si="18"/>
        <v>7</v>
      </c>
      <c r="EG19" s="263" t="s">
        <v>65</v>
      </c>
      <c r="EH19" s="152">
        <v>91412</v>
      </c>
      <c r="EI19" s="152">
        <v>109777</v>
      </c>
      <c r="EJ19" s="152">
        <f t="shared" si="19"/>
        <v>18365</v>
      </c>
      <c r="EK19" s="7">
        <f t="shared" si="20"/>
        <v>7</v>
      </c>
      <c r="EL19" s="8" t="s">
        <v>42</v>
      </c>
      <c r="EN19" s="188">
        <v>0.0597</v>
      </c>
      <c r="EO19" s="7">
        <f t="shared" si="21"/>
        <v>8</v>
      </c>
      <c r="EP19" s="78" t="s">
        <v>452</v>
      </c>
      <c r="EQ19" s="165"/>
      <c r="ER19" s="165"/>
      <c r="ES19" s="180">
        <f>ES17</f>
        <v>15005650.823725</v>
      </c>
      <c r="ET19" s="7">
        <f t="shared" si="22"/>
        <v>7</v>
      </c>
      <c r="EU19" s="11" t="s">
        <v>509</v>
      </c>
      <c r="EV19" s="11"/>
      <c r="EW19" s="244">
        <v>417714.02</v>
      </c>
      <c r="EX19" s="244">
        <v>10336884.65</v>
      </c>
      <c r="EY19" s="245">
        <f t="shared" si="35"/>
        <v>10754598.67</v>
      </c>
      <c r="EZ19" s="7">
        <f t="shared" si="23"/>
        <v>7</v>
      </c>
      <c r="FA19" s="8" t="s">
        <v>308</v>
      </c>
      <c r="FB19" s="179">
        <v>-3797508</v>
      </c>
      <c r="FC19" s="179">
        <v>0</v>
      </c>
      <c r="FD19" s="179">
        <f t="shared" si="24"/>
        <v>3797508</v>
      </c>
      <c r="FE19" s="7">
        <f t="shared" si="25"/>
        <v>7</v>
      </c>
      <c r="FF19" s="249"/>
      <c r="FG19" s="176"/>
      <c r="FH19" s="176"/>
      <c r="FI19" s="176"/>
      <c r="FJ19" s="7">
        <f t="shared" si="36"/>
        <v>7</v>
      </c>
      <c r="FK19" s="268"/>
      <c r="FL19" s="380"/>
      <c r="FM19" s="380"/>
      <c r="FN19" s="381"/>
      <c r="FO19" s="7">
        <f t="shared" si="26"/>
        <v>7</v>
      </c>
      <c r="FP19" s="78" t="s">
        <v>584</v>
      </c>
      <c r="FQ19" s="180"/>
      <c r="FR19" s="180"/>
      <c r="FS19" s="180"/>
      <c r="FT19" s="7">
        <f t="shared" si="37"/>
        <v>7</v>
      </c>
      <c r="FU19" s="78" t="s">
        <v>472</v>
      </c>
      <c r="FV19" s="533"/>
      <c r="FW19" s="533">
        <f>ROUNDDOWN(GC15,4)*FW13</f>
        <v>4120.116</v>
      </c>
      <c r="FX19" s="533">
        <f>+FW19-FV19</f>
        <v>4120.116</v>
      </c>
      <c r="FY19" s="7">
        <v>7</v>
      </c>
      <c r="FZ19" s="78" t="str">
        <f>"CONVERSION FACTOR EXCLUDING FEDERAL INCOME TAX ( 1 - LINE "&amp;$FY$17&amp;" )"</f>
        <v>CONVERSION FACTOR EXCLUDING FEDERAL INCOME TAX ( 1 - LINE 5 )</v>
      </c>
      <c r="GC19" s="161">
        <f>ROUND(1-GC17,7)</f>
        <v>0.9559032</v>
      </c>
      <c r="GD19" s="7">
        <f t="shared" si="39"/>
        <v>4</v>
      </c>
      <c r="GE19" s="8" t="s">
        <v>129</v>
      </c>
      <c r="GF19" s="66">
        <v>268574887.48</v>
      </c>
      <c r="GG19" s="66"/>
      <c r="GH19" s="66"/>
      <c r="GI19" s="66">
        <f>Q13</f>
        <v>-253870421.0099178</v>
      </c>
      <c r="GJ19" s="66"/>
      <c r="GK19" s="66"/>
      <c r="GL19" s="66"/>
      <c r="GM19" s="66"/>
      <c r="GN19" s="66"/>
      <c r="GO19" s="7">
        <f t="shared" si="40"/>
        <v>4</v>
      </c>
      <c r="GP19" s="8" t="s">
        <v>129</v>
      </c>
      <c r="GQ19" s="66"/>
      <c r="GR19" s="66"/>
      <c r="GS19" s="66"/>
      <c r="GT19" s="66"/>
      <c r="GU19" s="66"/>
      <c r="GV19" s="66"/>
      <c r="GW19" s="66"/>
      <c r="GX19" s="66"/>
      <c r="GY19" s="66"/>
      <c r="GZ19" s="7">
        <f t="shared" si="41"/>
        <v>4</v>
      </c>
      <c r="HA19" s="8" t="s">
        <v>129</v>
      </c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7">
        <f t="shared" si="42"/>
        <v>4</v>
      </c>
      <c r="HM19" s="8" t="s">
        <v>129</v>
      </c>
      <c r="HN19" s="66"/>
      <c r="HO19" s="66"/>
      <c r="HP19" s="66"/>
      <c r="HQ19" s="66"/>
      <c r="HR19" s="66"/>
      <c r="HS19" s="66"/>
      <c r="HT19" s="66"/>
      <c r="HU19" s="66"/>
      <c r="HV19" s="66"/>
      <c r="HW19" s="66">
        <f>SUM(GG19:HV19)-HL19-GZ19-GO19</f>
        <v>-253870421.0099178</v>
      </c>
      <c r="HX19" s="66">
        <f>HW19+GF19</f>
        <v>14704466.470082223</v>
      </c>
      <c r="HY19" s="7">
        <f t="shared" si="43"/>
        <v>4</v>
      </c>
      <c r="HZ19" s="8" t="s">
        <v>129</v>
      </c>
      <c r="IA19" s="152">
        <v>268574887.48</v>
      </c>
      <c r="IB19" s="192">
        <f>+HW19</f>
        <v>-253870421.0099178</v>
      </c>
      <c r="IC19" s="292">
        <f>SUM(IA19:IB19)</f>
        <v>14704466.470082223</v>
      </c>
      <c r="ID19" s="292"/>
      <c r="IE19" s="292">
        <f>SUM(IC19:ID19)</f>
        <v>14704466.470082223</v>
      </c>
      <c r="IF19" s="66"/>
      <c r="IG19" s="118"/>
      <c r="IH19" s="130"/>
      <c r="II19" s="130"/>
      <c r="IJ19" s="153"/>
    </row>
    <row r="20" spans="1:244" ht="15" customHeight="1" thickBot="1" thickTop="1">
      <c r="A20" s="3">
        <f>+A19+1</f>
        <v>9</v>
      </c>
      <c r="B20" s="171">
        <v>39142</v>
      </c>
      <c r="C20" s="172">
        <v>2039569.19</v>
      </c>
      <c r="D20" s="173">
        <v>2047346.8505211694</v>
      </c>
      <c r="E20" s="46">
        <f t="shared" si="28"/>
        <v>7777.660521169426</v>
      </c>
      <c r="F20" s="46">
        <f t="shared" si="38"/>
        <v>7257</v>
      </c>
      <c r="H20" s="3">
        <f t="shared" si="1"/>
        <v>8</v>
      </c>
      <c r="I20" s="427" t="s">
        <v>273</v>
      </c>
      <c r="J20" s="197"/>
      <c r="K20" s="152">
        <v>2059713.3787943737</v>
      </c>
      <c r="M20" s="7">
        <f aca="true" t="shared" si="44" ref="M20:M40">M19+1</f>
        <v>8</v>
      </c>
      <c r="O20" s="189"/>
      <c r="P20" s="189"/>
      <c r="Q20" s="189"/>
      <c r="R20" s="7">
        <f t="shared" si="29"/>
        <v>8</v>
      </c>
      <c r="S20" s="78" t="s">
        <v>118</v>
      </c>
      <c r="T20" s="78"/>
      <c r="U20" s="115">
        <v>-2338797</v>
      </c>
      <c r="V20" s="7">
        <f>V19+1</f>
        <v>8</v>
      </c>
      <c r="W20" s="249"/>
      <c r="X20" s="249"/>
      <c r="Y20" s="19"/>
      <c r="Z20" s="7">
        <f t="shared" si="3"/>
        <v>8</v>
      </c>
      <c r="AA20" s="341" t="s">
        <v>533</v>
      </c>
      <c r="AB20" s="320"/>
      <c r="AC20" s="320"/>
      <c r="AD20" s="320"/>
      <c r="AE20" s="7">
        <f t="shared" si="4"/>
        <v>8</v>
      </c>
      <c r="AF20" s="151" t="s">
        <v>582</v>
      </c>
      <c r="AG20" s="133"/>
      <c r="AH20" s="133"/>
      <c r="AI20" s="133"/>
      <c r="AJ20" s="7">
        <f t="shared" si="5"/>
        <v>8</v>
      </c>
      <c r="AK20" s="341" t="s">
        <v>537</v>
      </c>
      <c r="AL20" s="516"/>
      <c r="AM20" s="516"/>
      <c r="AN20" s="348"/>
      <c r="AO20" s="7">
        <f t="shared" si="6"/>
        <v>8</v>
      </c>
      <c r="AP20" s="364" t="s">
        <v>306</v>
      </c>
      <c r="AQ20" s="353"/>
      <c r="AR20" s="353">
        <v>1720732.414326</v>
      </c>
      <c r="AS20" s="348">
        <f>AR20-AQ20</f>
        <v>1720732.414326</v>
      </c>
      <c r="AT20" s="7">
        <f t="shared" si="7"/>
        <v>8</v>
      </c>
      <c r="AU20" s="447" t="s">
        <v>576</v>
      </c>
      <c r="AV20" s="348"/>
      <c r="AW20" s="348">
        <v>-629728</v>
      </c>
      <c r="AX20" s="348">
        <f>AW20-AV20</f>
        <v>-629728</v>
      </c>
      <c r="AY20" s="7">
        <f t="shared" si="8"/>
        <v>8</v>
      </c>
      <c r="AZ20" s="268" t="s">
        <v>181</v>
      </c>
      <c r="BA20" s="367">
        <f>SUM(BA19:BA19)</f>
        <v>0</v>
      </c>
      <c r="BB20" s="367">
        <f>SUM(BB19:BB19)</f>
        <v>738008.7304559998</v>
      </c>
      <c r="BC20" s="440">
        <f>SUM(BC19:BC19)</f>
        <v>738008.7304559998</v>
      </c>
      <c r="BD20" s="7">
        <f t="shared" si="31"/>
        <v>8</v>
      </c>
      <c r="BE20" s="373" t="s">
        <v>161</v>
      </c>
      <c r="BF20" s="339"/>
      <c r="BG20" s="345"/>
      <c r="BH20" s="456">
        <f>SUM(BH14:BH19)</f>
        <v>17559383.57</v>
      </c>
      <c r="BI20" s="345"/>
      <c r="BJ20" s="7">
        <f>BJ19+1</f>
        <v>8</v>
      </c>
      <c r="BK20" s="78" t="s">
        <v>260</v>
      </c>
      <c r="BL20" s="152"/>
      <c r="BM20" s="152"/>
      <c r="BN20" s="152"/>
      <c r="BO20" s="152"/>
      <c r="BP20" s="507">
        <f>BQ16</f>
        <v>0.003502428</v>
      </c>
      <c r="BQ20" s="152"/>
      <c r="BR20" s="7">
        <f t="shared" si="9"/>
        <v>8</v>
      </c>
      <c r="BS20" s="305" t="s">
        <v>541</v>
      </c>
      <c r="BT20" s="163"/>
      <c r="BU20" s="163">
        <v>382511</v>
      </c>
      <c r="BV20" s="156">
        <f aca="true" t="shared" si="45" ref="BV20:BV26">BU20-BT20</f>
        <v>382511</v>
      </c>
      <c r="BW20" s="7"/>
      <c r="CC20" s="7">
        <f t="shared" si="33"/>
        <v>8</v>
      </c>
      <c r="CD20" s="78"/>
      <c r="CE20" s="131"/>
      <c r="CF20" s="222"/>
      <c r="CG20" s="7">
        <f t="shared" si="11"/>
        <v>8</v>
      </c>
      <c r="CH20" s="8" t="s">
        <v>265</v>
      </c>
      <c r="CI20" s="71"/>
      <c r="CJ20" s="71"/>
      <c r="CK20" s="543">
        <f>-CK17-CK19</f>
        <v>19493.89086501469</v>
      </c>
      <c r="CL20" s="7">
        <f>CL19+1</f>
        <v>8</v>
      </c>
      <c r="CM20" s="8" t="s">
        <v>51</v>
      </c>
      <c r="CN20" s="190">
        <v>0.35</v>
      </c>
      <c r="CO20" s="299"/>
      <c r="CP20" s="152">
        <f>-CP18*CN20</f>
        <v>-28801.860674999956</v>
      </c>
      <c r="CU20" s="7">
        <f t="shared" si="12"/>
        <v>8</v>
      </c>
      <c r="CZ20" s="7">
        <f t="shared" si="34"/>
        <v>8</v>
      </c>
      <c r="DA20" s="257" t="s">
        <v>56</v>
      </c>
      <c r="DB20" s="399" t="s">
        <v>55</v>
      </c>
      <c r="DC20" s="395"/>
      <c r="DD20" s="3">
        <f t="shared" si="13"/>
        <v>8</v>
      </c>
      <c r="DF20" s="223"/>
      <c r="DG20" s="7">
        <f t="shared" si="14"/>
        <v>8</v>
      </c>
      <c r="DH20" s="8" t="s">
        <v>265</v>
      </c>
      <c r="DK20" s="217">
        <f>-DK17-DK19</f>
        <v>-388091.33258872264</v>
      </c>
      <c r="DL20" s="7">
        <f t="shared" si="15"/>
        <v>8</v>
      </c>
      <c r="DM20" s="8" t="s">
        <v>265</v>
      </c>
      <c r="DP20" s="217">
        <f>-DP17-DP19</f>
        <v>453664.87919026404</v>
      </c>
      <c r="DQ20" s="7">
        <v>8</v>
      </c>
      <c r="DR20" s="8" t="s">
        <v>238</v>
      </c>
      <c r="DS20" s="66">
        <v>270628</v>
      </c>
      <c r="DT20" s="66">
        <v>283591</v>
      </c>
      <c r="DU20" s="177">
        <f t="shared" si="16"/>
        <v>12963</v>
      </c>
      <c r="DV20" s="7">
        <f t="shared" si="17"/>
        <v>8</v>
      </c>
      <c r="DW20" s="305" t="s">
        <v>381</v>
      </c>
      <c r="DX20" s="322">
        <v>0.0797</v>
      </c>
      <c r="DY20" s="306">
        <f>+DY19*DX20</f>
        <v>80690.4319</v>
      </c>
      <c r="EA20" s="7">
        <v>8</v>
      </c>
      <c r="EB20" s="78" t="s">
        <v>342</v>
      </c>
      <c r="EE20" s="183">
        <f>EE18-EE19</f>
        <v>1516481.08</v>
      </c>
      <c r="EF20" s="7">
        <f t="shared" si="18"/>
        <v>8</v>
      </c>
      <c r="EG20" s="263" t="s">
        <v>238</v>
      </c>
      <c r="EH20" s="152">
        <v>17895</v>
      </c>
      <c r="EI20" s="152">
        <v>21345</v>
      </c>
      <c r="EJ20" s="152">
        <f t="shared" si="19"/>
        <v>3450</v>
      </c>
      <c r="EK20" s="7">
        <f t="shared" si="20"/>
        <v>8</v>
      </c>
      <c r="EL20" s="8" t="s">
        <v>46</v>
      </c>
      <c r="EM20" s="187"/>
      <c r="EN20" s="180">
        <f>EN17*EN19</f>
        <v>8142474.720330911</v>
      </c>
      <c r="EO20" s="7">
        <f aca="true" t="shared" si="46" ref="EO20:EO29">EO19+1</f>
        <v>9</v>
      </c>
      <c r="EQ20" s="180"/>
      <c r="ER20" s="180"/>
      <c r="ES20" s="180"/>
      <c r="ET20" s="7">
        <f t="shared" si="22"/>
        <v>8</v>
      </c>
      <c r="EU20" s="11" t="s">
        <v>510</v>
      </c>
      <c r="EV20" s="11"/>
      <c r="EW20" s="164">
        <v>495729.56</v>
      </c>
      <c r="EX20" s="164">
        <v>10500628</v>
      </c>
      <c r="EY20" s="245">
        <f t="shared" si="35"/>
        <v>10996357.56</v>
      </c>
      <c r="EZ20" s="7">
        <f t="shared" si="23"/>
        <v>8</v>
      </c>
      <c r="FA20" s="309" t="s">
        <v>594</v>
      </c>
      <c r="FB20" s="259">
        <v>1800804.95</v>
      </c>
      <c r="FC20" s="258">
        <v>2034455.46</v>
      </c>
      <c r="FD20" s="164">
        <f t="shared" si="24"/>
        <v>233650.51</v>
      </c>
      <c r="FE20" s="7">
        <f t="shared" si="25"/>
        <v>8</v>
      </c>
      <c r="FF20" s="249" t="s">
        <v>314</v>
      </c>
      <c r="FG20" s="434">
        <v>426600.75</v>
      </c>
      <c r="FH20" s="434">
        <v>426600.75</v>
      </c>
      <c r="FI20" s="177">
        <f>FH20-FG20</f>
        <v>0</v>
      </c>
      <c r="FJ20" s="7">
        <f t="shared" si="36"/>
        <v>8</v>
      </c>
      <c r="FK20" s="341" t="s">
        <v>482</v>
      </c>
      <c r="FL20" s="388"/>
      <c r="FM20" s="388"/>
      <c r="FN20" s="389"/>
      <c r="FO20" s="7">
        <f t="shared" si="26"/>
        <v>8</v>
      </c>
      <c r="FP20" s="8" t="s">
        <v>262</v>
      </c>
      <c r="FQ20" s="180">
        <v>2726251.92120739</v>
      </c>
      <c r="FR20" s="180">
        <f>+FQ20*-$FR$11</f>
        <v>-90975.02661069062</v>
      </c>
      <c r="FS20" s="180">
        <f>ROUND(+FR20*-$FS$11,0)</f>
        <v>31841</v>
      </c>
      <c r="FT20" s="7">
        <f t="shared" si="37"/>
        <v>8</v>
      </c>
      <c r="FU20" s="78" t="s">
        <v>352</v>
      </c>
      <c r="FV20" s="150"/>
      <c r="FW20" s="150">
        <f>SUM(FW17:FW19)</f>
        <v>4708.963834848</v>
      </c>
      <c r="FX20" s="150">
        <f>SUM(FX17:FX19)</f>
        <v>4708.963834848</v>
      </c>
      <c r="FY20" s="7">
        <v>8</v>
      </c>
      <c r="FZ20" s="8" t="str">
        <f>"FEDERAL INCOME TAX ( LINE "&amp;FY19&amp;"  * "&amp;FIT*100&amp;"% )"</f>
        <v>FEDERAL INCOME TAX ( LINE 7  * 35% )</v>
      </c>
      <c r="GB20" s="187">
        <v>0.35</v>
      </c>
      <c r="GC20" s="161">
        <f>ROUND((GC19)*FIT,7)</f>
        <v>0.3345661</v>
      </c>
      <c r="GD20" s="7">
        <f t="shared" si="39"/>
        <v>5</v>
      </c>
      <c r="GE20" s="8" t="s">
        <v>130</v>
      </c>
      <c r="GF20" s="5">
        <v>43280355.75</v>
      </c>
      <c r="GG20" s="5"/>
      <c r="GH20" s="5">
        <f>L38</f>
        <v>-453675.53</v>
      </c>
      <c r="GI20" s="5">
        <f>Q15+Q16</f>
        <v>-4715657.940600926</v>
      </c>
      <c r="GJ20" s="5"/>
      <c r="GK20" s="5" t="s">
        <v>175</v>
      </c>
      <c r="GL20" s="5"/>
      <c r="GM20" s="5"/>
      <c r="GN20" s="5"/>
      <c r="GO20" s="7">
        <f t="shared" si="40"/>
        <v>5</v>
      </c>
      <c r="GP20" s="8" t="s">
        <v>130</v>
      </c>
      <c r="GQ20" s="5"/>
      <c r="GR20" s="5"/>
      <c r="GS20" s="5"/>
      <c r="GT20" s="5">
        <f>-BH19</f>
        <v>36729.43</v>
      </c>
      <c r="GU20" s="5"/>
      <c r="GV20" s="5"/>
      <c r="GW20" s="5"/>
      <c r="GX20" s="5"/>
      <c r="GY20" s="5"/>
      <c r="GZ20" s="7">
        <f t="shared" si="41"/>
        <v>5</v>
      </c>
      <c r="HA20" s="8" t="s">
        <v>130</v>
      </c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7">
        <f t="shared" si="42"/>
        <v>5</v>
      </c>
      <c r="HM20" s="8" t="s">
        <v>130</v>
      </c>
      <c r="HN20" s="5"/>
      <c r="HO20" s="5"/>
      <c r="HP20" s="5"/>
      <c r="HQ20" s="5"/>
      <c r="HR20" s="5"/>
      <c r="HS20" s="5"/>
      <c r="HT20" s="5"/>
      <c r="HU20" s="5"/>
      <c r="HV20" s="5"/>
      <c r="HW20" s="5">
        <f>SUM(GG20:HV20)-HL20-GZ20-GO20</f>
        <v>-5132604.040600927</v>
      </c>
      <c r="HX20" s="5">
        <f>HW20+GF20</f>
        <v>38147751.709399074</v>
      </c>
      <c r="HY20" s="7">
        <f t="shared" si="43"/>
        <v>5</v>
      </c>
      <c r="HZ20" s="8" t="s">
        <v>130</v>
      </c>
      <c r="IA20" s="175">
        <v>43280355.75</v>
      </c>
      <c r="IB20" s="295">
        <f>+HW20</f>
        <v>-5132604.040600927</v>
      </c>
      <c r="IC20" s="293">
        <f>SUM(IA20:IB20)</f>
        <v>38147751.709399074</v>
      </c>
      <c r="ID20" s="293">
        <f>GC65</f>
        <v>0</v>
      </c>
      <c r="IE20" s="293">
        <f>SUM(IC20:ID20)</f>
        <v>38147751.709399074</v>
      </c>
      <c r="IF20" s="118"/>
      <c r="IG20" s="118"/>
      <c r="IH20" s="130"/>
      <c r="II20" s="130"/>
      <c r="IJ20" s="153"/>
    </row>
    <row r="21" spans="1:244" ht="15" customHeight="1" thickBot="1" thickTop="1">
      <c r="A21" s="3">
        <f t="shared" si="27"/>
        <v>10</v>
      </c>
      <c r="B21" s="171">
        <v>39173</v>
      </c>
      <c r="C21" s="172">
        <v>1823886.57</v>
      </c>
      <c r="D21" s="173">
        <v>1818522.6147353277</v>
      </c>
      <c r="E21" s="46">
        <f t="shared" si="28"/>
        <v>-5363.955264672404</v>
      </c>
      <c r="F21" s="46">
        <f t="shared" si="38"/>
        <v>-5005</v>
      </c>
      <c r="H21" s="3">
        <f t="shared" si="1"/>
        <v>9</v>
      </c>
      <c r="I21" s="429" t="s">
        <v>270</v>
      </c>
      <c r="K21" s="183">
        <f>SUM(K15:K20)</f>
        <v>80443035.87473917</v>
      </c>
      <c r="M21" s="7">
        <f t="shared" si="44"/>
        <v>9</v>
      </c>
      <c r="N21" s="11" t="s">
        <v>253</v>
      </c>
      <c r="O21" s="162">
        <f>GF26-FB14-FB19</f>
        <v>119309168.75000001</v>
      </c>
      <c r="P21" s="162">
        <v>176520586.121603</v>
      </c>
      <c r="Q21" s="162">
        <f>P21-O21</f>
        <v>57211417.371603</v>
      </c>
      <c r="R21" s="7">
        <f>R20+1</f>
        <v>9</v>
      </c>
      <c r="S21" s="78" t="s">
        <v>59</v>
      </c>
      <c r="T21" s="78"/>
      <c r="U21" s="181">
        <f>SUM(U16:U20)</f>
        <v>72349599.13643217</v>
      </c>
      <c r="V21" s="7">
        <f t="shared" si="30"/>
        <v>9</v>
      </c>
      <c r="W21" s="92" t="s">
        <v>52</v>
      </c>
      <c r="X21" s="91"/>
      <c r="Y21" s="19"/>
      <c r="Z21" s="7">
        <f t="shared" si="3"/>
        <v>9</v>
      </c>
      <c r="AA21" s="342" t="s">
        <v>17</v>
      </c>
      <c r="AB21" s="320">
        <v>0</v>
      </c>
      <c r="AC21" s="320">
        <v>-2903000</v>
      </c>
      <c r="AD21" s="344">
        <f>AC21-AB21</f>
        <v>-2903000</v>
      </c>
      <c r="AE21" s="7">
        <f t="shared" si="4"/>
        <v>9</v>
      </c>
      <c r="AF21" s="96"/>
      <c r="AH21" s="299"/>
      <c r="AI21" s="170"/>
      <c r="AJ21" s="7">
        <f t="shared" si="5"/>
        <v>9</v>
      </c>
      <c r="AK21" s="364" t="s">
        <v>306</v>
      </c>
      <c r="AL21" s="353">
        <v>2880941.5</v>
      </c>
      <c r="AM21" s="353">
        <v>4983644.03914</v>
      </c>
      <c r="AN21" s="348">
        <f>AM21-AL21</f>
        <v>2102702.53914</v>
      </c>
      <c r="AO21" s="7">
        <f t="shared" si="6"/>
        <v>9</v>
      </c>
      <c r="AP21" s="364" t="s">
        <v>283</v>
      </c>
      <c r="AQ21" s="353"/>
      <c r="AR21" s="353">
        <v>106302.71016037039</v>
      </c>
      <c r="AS21" s="348">
        <f>AR21-AQ21</f>
        <v>106302.71016037039</v>
      </c>
      <c r="AT21" s="7">
        <f t="shared" si="7"/>
        <v>9</v>
      </c>
      <c r="AU21" s="447" t="s">
        <v>572</v>
      </c>
      <c r="AV21" s="443"/>
      <c r="AW21" s="125" t="s">
        <v>579</v>
      </c>
      <c r="AX21" s="348">
        <v>0</v>
      </c>
      <c r="AY21" s="7">
        <f t="shared" si="8"/>
        <v>9</v>
      </c>
      <c r="BA21" s="189"/>
      <c r="BB21" s="189"/>
      <c r="BC21" s="302"/>
      <c r="BD21" s="7">
        <f t="shared" si="31"/>
        <v>9</v>
      </c>
      <c r="BH21" s="345"/>
      <c r="BI21" s="345"/>
      <c r="BJ21" s="7">
        <f t="shared" si="32"/>
        <v>9</v>
      </c>
      <c r="BK21" s="78" t="s">
        <v>266</v>
      </c>
      <c r="BL21" s="152"/>
      <c r="BM21" s="152"/>
      <c r="BN21" s="152"/>
      <c r="BO21" s="152"/>
      <c r="BP21" s="153">
        <f>ROUND(BP18*BP20,0)</f>
        <v>6406026</v>
      </c>
      <c r="BQ21" s="152"/>
      <c r="BR21" s="7">
        <f t="shared" si="9"/>
        <v>9</v>
      </c>
      <c r="BS21" s="78" t="s">
        <v>147</v>
      </c>
      <c r="BT21" s="196"/>
      <c r="BU21" s="196">
        <v>2300000</v>
      </c>
      <c r="BV21" s="156">
        <f t="shared" si="45"/>
        <v>2300000</v>
      </c>
      <c r="BW21" s="263"/>
      <c r="BY21" s="117"/>
      <c r="CB21" s="158"/>
      <c r="CC21" s="7">
        <f t="shared" si="33"/>
        <v>9</v>
      </c>
      <c r="CD21" s="8" t="s">
        <v>342</v>
      </c>
      <c r="CE21" s="131"/>
      <c r="CF21" s="180">
        <f>CF19+CF15</f>
        <v>-699299</v>
      </c>
      <c r="CG21" s="7"/>
      <c r="CH21" s="8"/>
      <c r="CI21" s="71"/>
      <c r="CJ21" s="71"/>
      <c r="CL21" s="7">
        <f t="shared" si="0"/>
        <v>9</v>
      </c>
      <c r="CM21" s="8" t="s">
        <v>265</v>
      </c>
      <c r="CN21" s="187"/>
      <c r="CO21" s="156"/>
      <c r="CP21" s="185">
        <f>-CP18-CP20</f>
        <v>-53489.16982499992</v>
      </c>
      <c r="CU21" s="7">
        <f t="shared" si="12"/>
        <v>9</v>
      </c>
      <c r="CV21" s="8" t="s">
        <v>265</v>
      </c>
      <c r="CW21" s="187"/>
      <c r="CX21" s="156"/>
      <c r="CY21" s="185">
        <f>+CY17-CY19</f>
        <v>576936.75</v>
      </c>
      <c r="CZ21" s="7">
        <f t="shared" si="34"/>
        <v>9</v>
      </c>
      <c r="DA21" s="402" t="s">
        <v>554</v>
      </c>
      <c r="DB21" s="409">
        <v>251888</v>
      </c>
      <c r="DC21" s="410"/>
      <c r="DD21" s="3">
        <f t="shared" si="13"/>
        <v>9</v>
      </c>
      <c r="DE21" s="57" t="s">
        <v>154</v>
      </c>
      <c r="DF21" s="159">
        <f>DF17-DF19</f>
        <v>-1138126.2514533338</v>
      </c>
      <c r="DG21" s="7"/>
      <c r="DH21" s="8"/>
      <c r="DL21" s="7"/>
      <c r="DM21" s="8"/>
      <c r="DQ21" s="7">
        <v>9</v>
      </c>
      <c r="DR21" s="8" t="s">
        <v>79</v>
      </c>
      <c r="DS21" s="5">
        <v>18491934</v>
      </c>
      <c r="DT21" s="5">
        <v>19406216</v>
      </c>
      <c r="DU21" s="193">
        <f t="shared" si="16"/>
        <v>914282</v>
      </c>
      <c r="DV21" s="7">
        <f t="shared" si="17"/>
        <v>9</v>
      </c>
      <c r="DW21" s="264" t="s">
        <v>382</v>
      </c>
      <c r="DZ21" s="196">
        <f>SUM(DY19:DY20)</f>
        <v>1093117.4319</v>
      </c>
      <c r="EA21" s="7">
        <v>9</v>
      </c>
      <c r="EE21" s="152"/>
      <c r="EF21" s="7">
        <f t="shared" si="18"/>
        <v>9</v>
      </c>
      <c r="EG21" s="263" t="s">
        <v>79</v>
      </c>
      <c r="EH21" s="152">
        <v>1223027</v>
      </c>
      <c r="EI21" s="152">
        <v>1458992</v>
      </c>
      <c r="EJ21" s="152">
        <f t="shared" si="19"/>
        <v>235965</v>
      </c>
      <c r="EK21" s="7">
        <f t="shared" si="20"/>
        <v>9</v>
      </c>
      <c r="EL21" s="8"/>
      <c r="EM21" s="187"/>
      <c r="EN21" s="154"/>
      <c r="EO21" s="7">
        <f t="shared" si="46"/>
        <v>10</v>
      </c>
      <c r="EP21" s="78" t="s">
        <v>27</v>
      </c>
      <c r="EQ21" s="131"/>
      <c r="ER21" s="190">
        <f>FIT</f>
        <v>0.35</v>
      </c>
      <c r="ES21" s="66">
        <f>-ES19*ER21</f>
        <v>-5251977.78830375</v>
      </c>
      <c r="ET21" s="7">
        <f t="shared" si="22"/>
        <v>9</v>
      </c>
      <c r="EU21" s="73" t="s">
        <v>22</v>
      </c>
      <c r="EV21" s="73"/>
      <c r="EW21" s="2">
        <f>SUM(EW15:EW20)</f>
        <v>1168227.12</v>
      </c>
      <c r="EX21" s="2">
        <f>SUM(EX15:EX20)</f>
        <v>46755899.38</v>
      </c>
      <c r="EY21" s="246">
        <f>SUM(EY15:EY20)</f>
        <v>47924126.5</v>
      </c>
      <c r="EZ21" s="7">
        <f t="shared" si="23"/>
        <v>9</v>
      </c>
      <c r="FA21" s="78" t="s">
        <v>433</v>
      </c>
      <c r="FB21" s="242">
        <f>SUM(FB14:FB20)</f>
        <v>9962368.94</v>
      </c>
      <c r="FC21" s="242">
        <f>SUM(FC14:FC20)</f>
        <v>12481110.182071015</v>
      </c>
      <c r="FD21" s="242">
        <f>SUM(FD14:FD20)</f>
        <v>2518741.242071014</v>
      </c>
      <c r="FE21" s="7">
        <f t="shared" si="25"/>
        <v>9</v>
      </c>
      <c r="FF21" s="249" t="s">
        <v>315</v>
      </c>
      <c r="FG21" s="434">
        <v>58728.186375000005</v>
      </c>
      <c r="FH21" s="434"/>
      <c r="FI21" s="193">
        <f>FH21-FG21</f>
        <v>-58728.186375000005</v>
      </c>
      <c r="FJ21" s="7">
        <f t="shared" si="36"/>
        <v>9</v>
      </c>
      <c r="FK21" s="342" t="s">
        <v>484</v>
      </c>
      <c r="FL21" s="360">
        <v>82580</v>
      </c>
      <c r="FM21" s="390">
        <v>0</v>
      </c>
      <c r="FN21" s="348">
        <f>FM21-FL21</f>
        <v>-82580</v>
      </c>
      <c r="FO21" s="7">
        <f t="shared" si="26"/>
        <v>9</v>
      </c>
      <c r="FP21" s="8" t="s">
        <v>283</v>
      </c>
      <c r="FQ21" s="175">
        <v>2332573.0818697424</v>
      </c>
      <c r="FR21" s="175">
        <f>+FQ21*-$FR$11</f>
        <v>-77837.96374199333</v>
      </c>
      <c r="FS21" s="175">
        <f>ROUND(+FR21*-$FS$11,0)</f>
        <v>27243</v>
      </c>
      <c r="FT21" s="7">
        <f t="shared" si="37"/>
        <v>9</v>
      </c>
      <c r="FY21" s="7">
        <v>9</v>
      </c>
      <c r="FZ21" s="8" t="str">
        <f>"CONVERSION FACTOR INCL FEDERAL INCOME TAX ( LINE "&amp;FY19&amp;" - LINE "&amp;FY20&amp;" ) "</f>
        <v>CONVERSION FACTOR INCL FEDERAL INCOME TAX ( LINE 7 - LINE 8 ) </v>
      </c>
      <c r="GC21" s="513">
        <f>GC19-GC20</f>
        <v>0.6213371</v>
      </c>
      <c r="GD21" s="7">
        <f t="shared" si="39"/>
        <v>6</v>
      </c>
      <c r="GE21" s="8" t="s">
        <v>131</v>
      </c>
      <c r="GF21" s="153">
        <f>SUM(GF17:GF20)</f>
        <v>2097973590.17</v>
      </c>
      <c r="GG21" s="153">
        <f>SUM(GG17:GG20)</f>
        <v>-12022967</v>
      </c>
      <c r="GH21" s="153">
        <f>SUM(GH17:GH20)</f>
        <v>79550773.34473917</v>
      </c>
      <c r="GI21" s="153">
        <f>SUM(GI17:GI20)</f>
        <v>-258586078.95051873</v>
      </c>
      <c r="GJ21" s="153">
        <f>SUM(GJ17:GJ20)</f>
        <v>0</v>
      </c>
      <c r="GK21" s="153">
        <f>SUM(GK17:GK20)</f>
        <v>0</v>
      </c>
      <c r="GL21" s="153">
        <f>SUM(GL17:GL20)</f>
        <v>0</v>
      </c>
      <c r="GM21" s="153">
        <f>SUM(GM17:GM20)</f>
        <v>0</v>
      </c>
      <c r="GN21" s="153">
        <f>SUM(GN17:GN20)</f>
        <v>0</v>
      </c>
      <c r="GO21" s="7">
        <f t="shared" si="40"/>
        <v>6</v>
      </c>
      <c r="GP21" s="8" t="s">
        <v>131</v>
      </c>
      <c r="GQ21" s="153">
        <f>SUM(GQ17:GQ20)</f>
        <v>0</v>
      </c>
      <c r="GR21" s="153">
        <f>SUM(GR17:GR20)</f>
        <v>0</v>
      </c>
      <c r="GS21" s="153">
        <f>SUM(GS17:GS20)</f>
        <v>0</v>
      </c>
      <c r="GT21" s="153">
        <f>SUM(GT17:GT20)</f>
        <v>-17559383.57</v>
      </c>
      <c r="GU21" s="153">
        <f>SUM(GU17:GU20)</f>
        <v>0</v>
      </c>
      <c r="GV21" s="153">
        <f>SUM(GV17:GV20)</f>
        <v>0</v>
      </c>
      <c r="GW21" s="153">
        <f>SUM(GW17:GW20)</f>
        <v>0</v>
      </c>
      <c r="GX21" s="153">
        <f>SUM(GX17:GX20)</f>
        <v>0</v>
      </c>
      <c r="GY21" s="153">
        <f>SUM(GY17:GY20)</f>
        <v>0</v>
      </c>
      <c r="GZ21" s="7">
        <f t="shared" si="41"/>
        <v>6</v>
      </c>
      <c r="HA21" s="8" t="s">
        <v>131</v>
      </c>
      <c r="HB21" s="153">
        <f>SUM(HB17:HB20)</f>
        <v>0</v>
      </c>
      <c r="HC21" s="153">
        <f>SUM(HC17:HC20)</f>
        <v>0</v>
      </c>
      <c r="HD21" s="153">
        <f>SUM(HD17:HD20)</f>
        <v>0</v>
      </c>
      <c r="HE21" s="153">
        <f>SUM(HE17:HE20)</f>
        <v>0</v>
      </c>
      <c r="HF21" s="153">
        <f>SUM(HF17:HF20)</f>
        <v>0</v>
      </c>
      <c r="HG21" s="153">
        <f>SUM(HG17:HG20)</f>
        <v>0</v>
      </c>
      <c r="HH21" s="153">
        <f>SUM(HH17:HH20)</f>
        <v>0</v>
      </c>
      <c r="HI21" s="153">
        <f>SUM(HI17:HI20)</f>
        <v>0</v>
      </c>
      <c r="HJ21" s="153">
        <f>SUM(HJ17:HJ20)</f>
        <v>0</v>
      </c>
      <c r="HK21" s="153">
        <f>SUM(HK17:HK20)</f>
        <v>0</v>
      </c>
      <c r="HL21" s="7">
        <f t="shared" si="42"/>
        <v>6</v>
      </c>
      <c r="HM21" s="8" t="s">
        <v>131</v>
      </c>
      <c r="HN21" s="153">
        <f>SUM(HN17:HN20)</f>
        <v>0</v>
      </c>
      <c r="HO21" s="153">
        <f>SUM(HO17:HO20)</f>
        <v>0</v>
      </c>
      <c r="HP21" s="153">
        <f>SUM(HP17:HP20)</f>
        <v>0</v>
      </c>
      <c r="HQ21" s="153">
        <f>SUM(HQ17:HQ20)</f>
        <v>0</v>
      </c>
      <c r="HR21" s="153">
        <f>SUM(HR17:HR20)</f>
        <v>0</v>
      </c>
      <c r="HS21" s="153">
        <f>SUM(HS17:HS20)</f>
        <v>0</v>
      </c>
      <c r="HT21" s="153"/>
      <c r="HU21" s="153">
        <f>SUM(HU17:HU20)</f>
        <v>0</v>
      </c>
      <c r="HV21" s="153">
        <f>SUM(HV17:HV20)</f>
        <v>107016</v>
      </c>
      <c r="HW21" s="153">
        <f>SUM(GG21:HV21)-HL21-GZ21-GO21</f>
        <v>-208510640.17577955</v>
      </c>
      <c r="HX21" s="153">
        <f>HW21+GF21</f>
        <v>1889462949.9942205</v>
      </c>
      <c r="HY21" s="7">
        <f t="shared" si="43"/>
        <v>6</v>
      </c>
      <c r="HZ21" s="8" t="s">
        <v>131</v>
      </c>
      <c r="IA21" s="174">
        <f>SUM(IA17:IA20)</f>
        <v>2097973590.17</v>
      </c>
      <c r="IB21" s="300">
        <f>SUM(IB17:IB20)</f>
        <v>-208510640.17577955</v>
      </c>
      <c r="IC21" s="300">
        <f>SUM(IC17:IC20)</f>
        <v>1889462949.9942205</v>
      </c>
      <c r="ID21" s="300">
        <f>SUM(ID17:ID20)</f>
        <v>130282079</v>
      </c>
      <c r="IE21" s="300">
        <f>SUM(IE17:IE20)</f>
        <v>2019745028.9942205</v>
      </c>
      <c r="IF21" s="118"/>
      <c r="IG21" s="118"/>
      <c r="IH21" s="130"/>
      <c r="II21" s="130"/>
      <c r="IJ21" s="153"/>
    </row>
    <row r="22" spans="1:244" ht="15" customHeight="1" thickBot="1" thickTop="1">
      <c r="A22" s="3">
        <f t="shared" si="27"/>
        <v>11</v>
      </c>
      <c r="B22" s="171">
        <v>39203</v>
      </c>
      <c r="C22" s="172">
        <v>1728115.486</v>
      </c>
      <c r="D22" s="173">
        <v>1730060.3880864084</v>
      </c>
      <c r="E22" s="46">
        <f t="shared" si="28"/>
        <v>1944.9020864083432</v>
      </c>
      <c r="F22" s="46">
        <f t="shared" si="38"/>
        <v>1815</v>
      </c>
      <c r="H22" s="3">
        <f t="shared" si="1"/>
        <v>10</v>
      </c>
      <c r="K22" s="189"/>
      <c r="M22" s="7">
        <f t="shared" si="44"/>
        <v>10</v>
      </c>
      <c r="N22" s="11"/>
      <c r="O22" s="256"/>
      <c r="P22" s="256"/>
      <c r="Q22" s="256"/>
      <c r="R22" s="7">
        <f>R21+1</f>
        <v>10</v>
      </c>
      <c r="S22" s="78"/>
      <c r="T22" s="78"/>
      <c r="U22" s="163"/>
      <c r="V22" s="7">
        <f t="shared" si="30"/>
        <v>10</v>
      </c>
      <c r="W22" s="249" t="s">
        <v>60</v>
      </c>
      <c r="X22" s="28">
        <v>118172915.54</v>
      </c>
      <c r="Y22" s="19"/>
      <c r="Z22" s="7">
        <f t="shared" si="3"/>
        <v>10</v>
      </c>
      <c r="AA22" s="342" t="s">
        <v>15</v>
      </c>
      <c r="AB22" s="321">
        <v>0</v>
      </c>
      <c r="AC22" s="321">
        <v>725750</v>
      </c>
      <c r="AD22" s="348">
        <f>AC22-AB22</f>
        <v>725750</v>
      </c>
      <c r="AE22" s="7">
        <f t="shared" si="4"/>
        <v>10</v>
      </c>
      <c r="AF22" s="78" t="s">
        <v>306</v>
      </c>
      <c r="AG22" s="170">
        <v>10970072</v>
      </c>
      <c r="AH22" s="170">
        <v>14342059</v>
      </c>
      <c r="AI22" s="170">
        <f>AH22-AG22</f>
        <v>3371987</v>
      </c>
      <c r="AJ22" s="7">
        <f t="shared" si="5"/>
        <v>10</v>
      </c>
      <c r="AK22" s="364" t="s">
        <v>570</v>
      </c>
      <c r="AL22" s="353">
        <v>-2880941.5</v>
      </c>
      <c r="AM22" s="353">
        <v>-3212560.6654676255</v>
      </c>
      <c r="AN22" s="348">
        <f>AM22-AL22</f>
        <v>-331619.1654676255</v>
      </c>
      <c r="AO22" s="7">
        <f t="shared" si="6"/>
        <v>10</v>
      </c>
      <c r="AP22" s="364" t="s">
        <v>360</v>
      </c>
      <c r="AQ22" s="357"/>
      <c r="AR22" s="357">
        <v>543257.141640544</v>
      </c>
      <c r="AS22" s="358">
        <f>AR22-AQ22</f>
        <v>543257.141640544</v>
      </c>
      <c r="AT22" s="7">
        <f t="shared" si="7"/>
        <v>10</v>
      </c>
      <c r="AU22" s="447" t="s">
        <v>577</v>
      </c>
      <c r="AV22" s="448">
        <f>SUM(AV19:AV21)</f>
        <v>0</v>
      </c>
      <c r="AW22" s="448">
        <f>SUM(AW19:AW21)</f>
        <v>11191647</v>
      </c>
      <c r="AX22" s="448">
        <f>SUM(AX19:AX21)</f>
        <v>11191647</v>
      </c>
      <c r="AY22" s="7">
        <f t="shared" si="8"/>
        <v>10</v>
      </c>
      <c r="AZ22" s="53" t="s">
        <v>57</v>
      </c>
      <c r="BA22" s="179"/>
      <c r="BB22" s="179"/>
      <c r="BC22" s="179">
        <f>BC20</f>
        <v>738008.7304559998</v>
      </c>
      <c r="BD22" s="7">
        <f t="shared" si="31"/>
        <v>10</v>
      </c>
      <c r="BE22" s="376" t="s">
        <v>163</v>
      </c>
      <c r="BF22" s="339"/>
      <c r="BG22" s="374"/>
      <c r="BH22" s="345"/>
      <c r="BI22" s="345"/>
      <c r="BJ22" s="7">
        <f t="shared" si="32"/>
        <v>10</v>
      </c>
      <c r="BL22" s="152"/>
      <c r="BM22" s="152"/>
      <c r="BN22" s="152"/>
      <c r="BO22" s="152"/>
      <c r="BP22" s="152"/>
      <c r="BQ22" s="152"/>
      <c r="BR22" s="7">
        <f t="shared" si="9"/>
        <v>10</v>
      </c>
      <c r="BS22" s="78" t="s">
        <v>149</v>
      </c>
      <c r="BT22" s="163">
        <v>476350</v>
      </c>
      <c r="BU22" s="163">
        <v>492926.98</v>
      </c>
      <c r="BV22" s="156">
        <f t="shared" si="45"/>
        <v>16576.97999999998</v>
      </c>
      <c r="BW22" s="7"/>
      <c r="BX22" s="154"/>
      <c r="BY22" s="154" t="s">
        <v>175</v>
      </c>
      <c r="BZ22" s="154"/>
      <c r="CA22" s="154"/>
      <c r="CB22" s="154"/>
      <c r="CC22" s="7">
        <f t="shared" si="33"/>
        <v>10</v>
      </c>
      <c r="CD22" s="78"/>
      <c r="CE22" s="131"/>
      <c r="CF22" s="180"/>
      <c r="CG22" s="263"/>
      <c r="CH22" s="8"/>
      <c r="CI22" s="71"/>
      <c r="CJ22" s="71"/>
      <c r="CK22" s="71"/>
      <c r="CL22" s="7"/>
      <c r="CM22" s="299"/>
      <c r="CN22" s="156"/>
      <c r="CO22" s="156"/>
      <c r="CU22" s="7"/>
      <c r="CV22" s="19"/>
      <c r="CW22" s="118"/>
      <c r="CX22" s="118"/>
      <c r="CZ22" s="7">
        <f t="shared" si="34"/>
        <v>10</v>
      </c>
      <c r="DA22" s="257" t="s">
        <v>57</v>
      </c>
      <c r="DB22" s="405">
        <f>-DB21</f>
        <v>-251888</v>
      </c>
      <c r="DC22" s="408">
        <f>+DB22</f>
        <v>-251888</v>
      </c>
      <c r="DD22" s="3">
        <f t="shared" si="13"/>
        <v>10</v>
      </c>
      <c r="DF22" s="156"/>
      <c r="DG22" s="263"/>
      <c r="DI22" s="156"/>
      <c r="DJ22" s="156"/>
      <c r="DK22" s="156"/>
      <c r="DL22" s="263"/>
      <c r="DM22" s="156"/>
      <c r="DN22" s="156"/>
      <c r="DO22" s="156"/>
      <c r="DP22" s="156"/>
      <c r="DQ22" s="7">
        <v>10</v>
      </c>
      <c r="DR22" s="8" t="s">
        <v>83</v>
      </c>
      <c r="DS22" s="66">
        <f>SUM(DS14:DS21)</f>
        <v>62341957</v>
      </c>
      <c r="DT22" s="66">
        <f>SUM(DT14:DT21)</f>
        <v>66491283</v>
      </c>
      <c r="DU22" s="177">
        <f>SUM(DU13:DU21)</f>
        <v>4149326</v>
      </c>
      <c r="DV22" s="7">
        <f t="shared" si="17"/>
        <v>10</v>
      </c>
      <c r="DW22" s="305"/>
      <c r="DZ22" s="163"/>
      <c r="EA22" s="7">
        <v>10</v>
      </c>
      <c r="EB22" s="8" t="s">
        <v>27</v>
      </c>
      <c r="EC22" s="187">
        <f>FIT</f>
        <v>0.35</v>
      </c>
      <c r="EE22" s="66">
        <f>-ROUND(+EE20*EC22,0)</f>
        <v>-530768</v>
      </c>
      <c r="EF22" s="7">
        <f t="shared" si="18"/>
        <v>10</v>
      </c>
      <c r="EG22" s="305" t="s">
        <v>634</v>
      </c>
      <c r="EH22" s="182">
        <f>SUM(EH14:EH21)</f>
        <v>4123212</v>
      </c>
      <c r="EI22" s="182">
        <f>SUM(EI14:EI21)</f>
        <v>4998946</v>
      </c>
      <c r="EJ22" s="182">
        <f>SUM(EJ14:EJ21)</f>
        <v>875734</v>
      </c>
      <c r="EK22" s="7">
        <f t="shared" si="20"/>
        <v>10</v>
      </c>
      <c r="EL22" s="8" t="s">
        <v>63</v>
      </c>
      <c r="EM22" s="188">
        <v>0.0675</v>
      </c>
      <c r="EN22" s="180">
        <f>EN20*EM22</f>
        <v>549617.0436223365</v>
      </c>
      <c r="EO22" s="7">
        <f t="shared" si="46"/>
        <v>11</v>
      </c>
      <c r="EQ22" s="188"/>
      <c r="ER22" s="188"/>
      <c r="ES22" s="183"/>
      <c r="ET22" s="7">
        <f t="shared" si="22"/>
        <v>10</v>
      </c>
      <c r="EW22" s="152"/>
      <c r="EX22" s="152"/>
      <c r="EY22" s="152"/>
      <c r="EZ22" s="7">
        <f t="shared" si="23"/>
        <v>10</v>
      </c>
      <c r="FE22" s="7">
        <f t="shared" si="25"/>
        <v>10</v>
      </c>
      <c r="FF22" s="249" t="s">
        <v>316</v>
      </c>
      <c r="FG22" s="435">
        <f>SUM(FG20:FG21)</f>
        <v>485328.936375</v>
      </c>
      <c r="FH22" s="435">
        <f>SUM(FH20:FH21)</f>
        <v>426600.75</v>
      </c>
      <c r="FI22" s="435">
        <f>SUM(FI20:FI21)</f>
        <v>-58728.186375000005</v>
      </c>
      <c r="FJ22" s="7">
        <f t="shared" si="36"/>
        <v>10</v>
      </c>
      <c r="FK22" s="342" t="s">
        <v>306</v>
      </c>
      <c r="FL22" s="360">
        <v>34935.7</v>
      </c>
      <c r="FM22" s="360">
        <v>1350957</v>
      </c>
      <c r="FN22" s="348">
        <f>FM22-FL22</f>
        <v>1316021.3</v>
      </c>
      <c r="FO22" s="7">
        <f t="shared" si="26"/>
        <v>10</v>
      </c>
      <c r="FP22" s="8" t="s">
        <v>585</v>
      </c>
      <c r="FQ22" s="183">
        <f>SUM(FQ20:FQ21)</f>
        <v>5058825.003077133</v>
      </c>
      <c r="FR22" s="183">
        <f>SUM(FR20:FR21)</f>
        <v>-168812.99035268393</v>
      </c>
      <c r="FS22" s="183">
        <f>SUM(FS20:FS21)</f>
        <v>59084</v>
      </c>
      <c r="FT22" s="7">
        <f t="shared" si="37"/>
        <v>10</v>
      </c>
      <c r="FU22" s="8" t="s">
        <v>342</v>
      </c>
      <c r="FV22" s="176"/>
      <c r="FW22" s="176">
        <f>FW13-FW20</f>
        <v>102307.036165152</v>
      </c>
      <c r="FX22" s="176">
        <f>FX13-FX20</f>
        <v>102307.036165152</v>
      </c>
      <c r="GC22" s="7"/>
      <c r="GD22" s="7">
        <f t="shared" si="39"/>
        <v>7</v>
      </c>
      <c r="GF22" s="65"/>
      <c r="GG22" s="65" t="s">
        <v>175</v>
      </c>
      <c r="GH22" s="65" t="s">
        <v>175</v>
      </c>
      <c r="GI22" s="65" t="s">
        <v>175</v>
      </c>
      <c r="GJ22" s="65" t="s">
        <v>175</v>
      </c>
      <c r="GK22" s="65" t="s">
        <v>175</v>
      </c>
      <c r="GL22" s="65"/>
      <c r="GM22" s="65"/>
      <c r="GN22" s="65"/>
      <c r="GO22" s="7">
        <f t="shared" si="40"/>
        <v>7</v>
      </c>
      <c r="GP22" s="8"/>
      <c r="GQ22" s="65"/>
      <c r="GR22" s="65"/>
      <c r="GS22" s="65"/>
      <c r="GT22" s="65"/>
      <c r="GU22" s="65" t="s">
        <v>175</v>
      </c>
      <c r="GV22" s="65" t="s">
        <v>175</v>
      </c>
      <c r="GW22" s="65"/>
      <c r="GX22" s="65"/>
      <c r="GY22" s="65"/>
      <c r="GZ22" s="7">
        <f t="shared" si="41"/>
        <v>7</v>
      </c>
      <c r="HB22" s="65" t="s">
        <v>175</v>
      </c>
      <c r="HC22" s="65" t="s">
        <v>175</v>
      </c>
      <c r="HD22" s="65"/>
      <c r="HE22" s="65"/>
      <c r="HF22" s="65" t="s">
        <v>175</v>
      </c>
      <c r="HG22" s="65"/>
      <c r="HH22" s="65"/>
      <c r="HI22" s="65" t="s">
        <v>175</v>
      </c>
      <c r="HJ22" s="65" t="s">
        <v>175</v>
      </c>
      <c r="HK22" s="65" t="s">
        <v>175</v>
      </c>
      <c r="HL22" s="7">
        <f t="shared" si="42"/>
        <v>7</v>
      </c>
      <c r="HN22" s="65"/>
      <c r="HO22" s="65" t="s">
        <v>175</v>
      </c>
      <c r="HP22" s="65"/>
      <c r="HQ22" s="65"/>
      <c r="HR22" s="65"/>
      <c r="HS22" s="65"/>
      <c r="HT22" s="65"/>
      <c r="HU22" s="65" t="s">
        <v>175</v>
      </c>
      <c r="HV22" s="65"/>
      <c r="HW22" s="65"/>
      <c r="HX22" s="65"/>
      <c r="HY22" s="7">
        <f t="shared" si="43"/>
        <v>7</v>
      </c>
      <c r="IA22" s="131"/>
      <c r="IB22" s="192"/>
      <c r="IC22" s="192"/>
      <c r="ID22" s="172"/>
      <c r="IE22" s="292"/>
      <c r="IF22" s="65"/>
      <c r="IG22" s="19"/>
      <c r="IH22" s="130"/>
      <c r="II22" s="130"/>
      <c r="IJ22" s="153"/>
    </row>
    <row r="23" spans="1:244" ht="15" customHeight="1" thickBot="1" thickTop="1">
      <c r="A23" s="3">
        <f t="shared" si="27"/>
        <v>12</v>
      </c>
      <c r="B23" s="171">
        <v>39234</v>
      </c>
      <c r="C23" s="172">
        <v>1630302.784</v>
      </c>
      <c r="D23" s="173">
        <v>1634295.150612578</v>
      </c>
      <c r="E23" s="46">
        <f t="shared" si="28"/>
        <v>3992.3666125780437</v>
      </c>
      <c r="F23" s="46">
        <f t="shared" si="38"/>
        <v>3725</v>
      </c>
      <c r="H23" s="3">
        <f t="shared" si="1"/>
        <v>11</v>
      </c>
      <c r="I23" s="97" t="s">
        <v>548</v>
      </c>
      <c r="K23" s="133"/>
      <c r="M23" s="7">
        <f t="shared" si="44"/>
        <v>11</v>
      </c>
      <c r="N23" s="11" t="s">
        <v>87</v>
      </c>
      <c r="O23" s="118">
        <f>GF27-FB15-FB16-FB27</f>
        <v>990181182.19</v>
      </c>
      <c r="P23" s="65">
        <v>749834600.7738974</v>
      </c>
      <c r="Q23" s="503">
        <f>P23-O23</f>
        <v>-240346581.41610265</v>
      </c>
      <c r="R23" s="7">
        <f>R22+1</f>
        <v>11</v>
      </c>
      <c r="S23" s="78" t="s">
        <v>77</v>
      </c>
      <c r="T23" s="78"/>
      <c r="U23" s="163"/>
      <c r="V23" s="7">
        <f t="shared" si="30"/>
        <v>11</v>
      </c>
      <c r="W23" s="249" t="s">
        <v>64</v>
      </c>
      <c r="X23" s="485"/>
      <c r="Y23" s="19"/>
      <c r="Z23" s="7">
        <f t="shared" si="3"/>
        <v>11</v>
      </c>
      <c r="AA23" s="342" t="s">
        <v>338</v>
      </c>
      <c r="AB23" s="444">
        <v>0</v>
      </c>
      <c r="AC23" s="444">
        <v>736776.4</v>
      </c>
      <c r="AD23" s="358">
        <f>AC23-AB23</f>
        <v>736776.4</v>
      </c>
      <c r="AE23" s="7">
        <f t="shared" si="4"/>
        <v>11</v>
      </c>
      <c r="AH23" s="78"/>
      <c r="AI23" s="302"/>
      <c r="AJ23" s="7">
        <f t="shared" si="5"/>
        <v>11</v>
      </c>
      <c r="AK23" s="364" t="s">
        <v>283</v>
      </c>
      <c r="AL23" s="353">
        <v>78101.22</v>
      </c>
      <c r="AM23" s="353">
        <v>147150</v>
      </c>
      <c r="AN23" s="348">
        <f>AM23-AL23</f>
        <v>69048.78</v>
      </c>
      <c r="AO23" s="7">
        <f t="shared" si="6"/>
        <v>11</v>
      </c>
      <c r="AP23" s="268" t="s">
        <v>181</v>
      </c>
      <c r="AQ23" s="366">
        <f>SUM(AQ20:AQ22)</f>
        <v>0</v>
      </c>
      <c r="AR23" s="366">
        <f>SUM(AR20:AR22)</f>
        <v>2370292.2661269144</v>
      </c>
      <c r="AS23" s="440">
        <f>SUM(AS20:AS22)</f>
        <v>2370292.2661269144</v>
      </c>
      <c r="AT23" s="7">
        <f t="shared" si="7"/>
        <v>11</v>
      </c>
      <c r="AU23" s="447"/>
      <c r="AV23" s="448"/>
      <c r="AW23" s="448"/>
      <c r="AX23" s="448"/>
      <c r="AY23" s="7">
        <f t="shared" si="8"/>
        <v>11</v>
      </c>
      <c r="AZ23" s="156"/>
      <c r="BA23" s="165"/>
      <c r="BB23" s="165"/>
      <c r="BC23" s="158"/>
      <c r="BD23" s="7">
        <f t="shared" si="31"/>
        <v>11</v>
      </c>
      <c r="BE23" s="78" t="s">
        <v>178</v>
      </c>
      <c r="BG23" s="374">
        <f>$GC$13</f>
        <v>0.003502428</v>
      </c>
      <c r="BH23" s="345">
        <f>-$BH$20*BG23</f>
        <v>-61500.47667830796</v>
      </c>
      <c r="BI23" s="345"/>
      <c r="BJ23" s="7">
        <f t="shared" si="32"/>
        <v>11</v>
      </c>
      <c r="BK23" s="8" t="s">
        <v>38</v>
      </c>
      <c r="BL23" s="152"/>
      <c r="BM23" s="152"/>
      <c r="BN23" s="407"/>
      <c r="BO23" s="288"/>
      <c r="BP23" s="152">
        <v>5593869.27</v>
      </c>
      <c r="BQ23" s="152"/>
      <c r="BR23" s="7">
        <f t="shared" si="9"/>
        <v>11</v>
      </c>
      <c r="BS23" s="78" t="s">
        <v>150</v>
      </c>
      <c r="BT23" s="163">
        <v>29854650</v>
      </c>
      <c r="BU23" s="163">
        <v>30887342.9352</v>
      </c>
      <c r="BV23" s="156">
        <f t="shared" si="45"/>
        <v>1032692.9351999983</v>
      </c>
      <c r="BW23" s="7"/>
      <c r="CB23" s="130"/>
      <c r="CC23" s="7">
        <f t="shared" si="33"/>
        <v>11</v>
      </c>
      <c r="CD23" s="8" t="s">
        <v>27</v>
      </c>
      <c r="CE23" s="9">
        <f>FIT</f>
        <v>0.35</v>
      </c>
      <c r="CF23" s="118">
        <f>ROUND(-CF21*CE23,0)</f>
        <v>244755</v>
      </c>
      <c r="CG23" s="7"/>
      <c r="CH23" s="8"/>
      <c r="CI23" s="71"/>
      <c r="CJ23" s="71"/>
      <c r="CK23" s="71"/>
      <c r="CL23" s="263"/>
      <c r="CP23" s="229"/>
      <c r="CU23" s="263"/>
      <c r="CV23" s="19"/>
      <c r="CW23" s="118"/>
      <c r="CX23" s="118"/>
      <c r="CY23" s="118"/>
      <c r="CZ23" s="7">
        <f t="shared" si="34"/>
        <v>11</v>
      </c>
      <c r="DA23" s="257"/>
      <c r="DC23" s="307"/>
      <c r="DD23" s="3">
        <f t="shared" si="13"/>
        <v>11</v>
      </c>
      <c r="DE23" s="78" t="s">
        <v>108</v>
      </c>
      <c r="DF23" s="165">
        <f>-DF21*FIT</f>
        <v>398344.1880086668</v>
      </c>
      <c r="DQ23" s="7">
        <v>11</v>
      </c>
      <c r="DS23" s="66"/>
      <c r="DT23" s="66"/>
      <c r="DU23" s="66"/>
      <c r="DV23" s="7">
        <f t="shared" si="17"/>
        <v>11</v>
      </c>
      <c r="DW23" s="262" t="s">
        <v>383</v>
      </c>
      <c r="DX23" s="7"/>
      <c r="DY23" s="7"/>
      <c r="DZ23" s="163"/>
      <c r="EA23" s="7">
        <v>11</v>
      </c>
      <c r="EE23" s="183"/>
      <c r="EF23" s="7">
        <f t="shared" si="18"/>
        <v>11</v>
      </c>
      <c r="EG23" s="96"/>
      <c r="EH23" s="153"/>
      <c r="EI23" s="153"/>
      <c r="EJ23" s="155"/>
      <c r="EK23" s="7">
        <f t="shared" si="20"/>
        <v>11</v>
      </c>
      <c r="EL23" s="8" t="s">
        <v>76</v>
      </c>
      <c r="EN23" s="180">
        <v>313000</v>
      </c>
      <c r="EO23" s="7">
        <f t="shared" si="46"/>
        <v>12</v>
      </c>
      <c r="EP23" s="78" t="s">
        <v>453</v>
      </c>
      <c r="EQ23" s="180"/>
      <c r="ER23" s="180"/>
      <c r="ES23" s="216">
        <f>-ES19-ES21</f>
        <v>-9753673.03542125</v>
      </c>
      <c r="ET23" s="7">
        <f t="shared" si="22"/>
        <v>11</v>
      </c>
      <c r="EU23" s="78" t="s">
        <v>33</v>
      </c>
      <c r="EW23" s="178">
        <f>EW21/6</f>
        <v>194704.52000000002</v>
      </c>
      <c r="EX23" s="178">
        <f>EX21/6</f>
        <v>7792649.896666667</v>
      </c>
      <c r="EY23" s="180">
        <f>+EY21/6</f>
        <v>7987354.416666667</v>
      </c>
      <c r="EZ23" s="7">
        <f t="shared" si="23"/>
        <v>11</v>
      </c>
      <c r="FA23" s="78" t="s">
        <v>47</v>
      </c>
      <c r="FC23" s="241">
        <f>FIT</f>
        <v>0.35</v>
      </c>
      <c r="FD23" s="178">
        <f>-FD21*FC23</f>
        <v>-881559.4347248548</v>
      </c>
      <c r="FE23" s="7">
        <f t="shared" si="25"/>
        <v>11</v>
      </c>
      <c r="FF23" s="249"/>
      <c r="FG23" s="176"/>
      <c r="FH23" s="176"/>
      <c r="FI23" s="176"/>
      <c r="FJ23" s="7">
        <f t="shared" si="36"/>
        <v>11</v>
      </c>
      <c r="FK23" s="342" t="s">
        <v>283</v>
      </c>
      <c r="FL23" s="382">
        <v>1935.51</v>
      </c>
      <c r="FM23" s="382">
        <v>14113</v>
      </c>
      <c r="FN23" s="358">
        <f>FM23-FL23</f>
        <v>12177.49</v>
      </c>
      <c r="FO23" s="7">
        <f t="shared" si="26"/>
        <v>11</v>
      </c>
      <c r="FP23" s="8"/>
      <c r="FQ23" s="183"/>
      <c r="FR23" s="183"/>
      <c r="FS23" s="183"/>
      <c r="FT23" s="7">
        <f t="shared" si="37"/>
        <v>11</v>
      </c>
      <c r="FU23" s="8"/>
      <c r="FX23" s="152"/>
      <c r="FY23" s="135"/>
      <c r="GC23" s="1" t="s">
        <v>544</v>
      </c>
      <c r="GD23" s="7">
        <f t="shared" si="39"/>
        <v>8</v>
      </c>
      <c r="GE23" s="8" t="s">
        <v>132</v>
      </c>
      <c r="GF23" s="65"/>
      <c r="GG23" s="65"/>
      <c r="GH23" s="65"/>
      <c r="GI23" s="65"/>
      <c r="GJ23" s="65"/>
      <c r="GK23" s="65"/>
      <c r="GL23" s="65"/>
      <c r="GM23" s="65"/>
      <c r="GN23" s="65"/>
      <c r="GO23" s="7">
        <f t="shared" si="40"/>
        <v>8</v>
      </c>
      <c r="GP23" s="8" t="s">
        <v>132</v>
      </c>
      <c r="GQ23" s="65"/>
      <c r="GR23" s="65"/>
      <c r="GS23" s="65"/>
      <c r="GT23" s="65"/>
      <c r="GU23" s="65"/>
      <c r="GV23" s="65"/>
      <c r="GW23" s="65"/>
      <c r="GX23" s="65"/>
      <c r="GY23" s="65"/>
      <c r="GZ23" s="7">
        <f t="shared" si="41"/>
        <v>8</v>
      </c>
      <c r="HA23" s="8" t="s">
        <v>132</v>
      </c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7">
        <f t="shared" si="42"/>
        <v>8</v>
      </c>
      <c r="HM23" s="8" t="s">
        <v>132</v>
      </c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7">
        <f t="shared" si="43"/>
        <v>8</v>
      </c>
      <c r="HZ23" s="96" t="s">
        <v>132</v>
      </c>
      <c r="IA23" s="131"/>
      <c r="IB23" s="192"/>
      <c r="IC23" s="192"/>
      <c r="ID23" s="192"/>
      <c r="IE23" s="292"/>
      <c r="IF23" s="65"/>
      <c r="IG23" s="19"/>
      <c r="IH23" s="130"/>
      <c r="II23" s="130"/>
      <c r="IJ23" s="153"/>
    </row>
    <row r="24" spans="1:244" ht="15" customHeight="1" thickBot="1" thickTop="1">
      <c r="A24" s="3">
        <f t="shared" si="27"/>
        <v>13</v>
      </c>
      <c r="B24" s="171">
        <v>39264</v>
      </c>
      <c r="C24" s="172">
        <v>1721997.588</v>
      </c>
      <c r="D24" s="173">
        <v>1703412.5820784585</v>
      </c>
      <c r="E24" s="46">
        <f t="shared" si="28"/>
        <v>-18585.00592154148</v>
      </c>
      <c r="F24" s="46">
        <f t="shared" si="38"/>
        <v>-17340</v>
      </c>
      <c r="H24" s="3">
        <f t="shared" si="1"/>
        <v>12</v>
      </c>
      <c r="I24" s="427" t="s">
        <v>274</v>
      </c>
      <c r="K24" s="152">
        <f>-154320-268634</f>
        <v>-422954</v>
      </c>
      <c r="M24" s="7">
        <f t="shared" si="44"/>
        <v>12</v>
      </c>
      <c r="N24" s="11" t="s">
        <v>524</v>
      </c>
      <c r="O24" s="118"/>
      <c r="P24" s="65">
        <v>285295.4023731</v>
      </c>
      <c r="Q24" s="503">
        <f>P24-O24</f>
        <v>285295.4023731</v>
      </c>
      <c r="R24" s="7">
        <f>R23+1</f>
        <v>12</v>
      </c>
      <c r="S24" s="8" t="s">
        <v>281</v>
      </c>
      <c r="T24" s="68">
        <f>GF45</f>
        <v>-5105994.145963246</v>
      </c>
      <c r="U24" s="163"/>
      <c r="V24" s="7">
        <f t="shared" si="30"/>
        <v>12</v>
      </c>
      <c r="W24" s="249" t="s">
        <v>78</v>
      </c>
      <c r="X24" s="2">
        <v>2105622.98</v>
      </c>
      <c r="Y24" s="19"/>
      <c r="Z24" s="7">
        <f t="shared" si="3"/>
        <v>12</v>
      </c>
      <c r="AA24" s="268" t="s">
        <v>16</v>
      </c>
      <c r="AB24" s="320">
        <f>SUM(AB21:AB23)</f>
        <v>0</v>
      </c>
      <c r="AC24" s="320">
        <f>SUM(AC21:AC23)</f>
        <v>-1440473.6</v>
      </c>
      <c r="AD24" s="320">
        <f>SUM(AD21:AD23)</f>
        <v>-1440473.6</v>
      </c>
      <c r="AE24" s="7">
        <f t="shared" si="4"/>
        <v>12</v>
      </c>
      <c r="AF24" s="53" t="s">
        <v>57</v>
      </c>
      <c r="AG24" s="179"/>
      <c r="AH24" s="179"/>
      <c r="AI24" s="179">
        <f>AI22</f>
        <v>3371987</v>
      </c>
      <c r="AJ24" s="7">
        <f t="shared" si="5"/>
        <v>12</v>
      </c>
      <c r="AK24" s="364" t="s">
        <v>360</v>
      </c>
      <c r="AL24" s="357">
        <v>1142288.7</v>
      </c>
      <c r="AM24" s="357">
        <v>891928.8056166666</v>
      </c>
      <c r="AN24" s="358">
        <f>AM24-AL24</f>
        <v>-250359.8943833334</v>
      </c>
      <c r="AO24" s="7">
        <f t="shared" si="6"/>
        <v>12</v>
      </c>
      <c r="AQ24" s="189"/>
      <c r="AR24" s="189"/>
      <c r="AS24" s="302"/>
      <c r="AT24" s="7">
        <f t="shared" si="7"/>
        <v>12</v>
      </c>
      <c r="AU24" s="446" t="s">
        <v>578</v>
      </c>
      <c r="AV24" s="449">
        <f>AV17+AV22</f>
        <v>0</v>
      </c>
      <c r="AW24" s="449">
        <f>AW17+AW22</f>
        <v>15270981.666666668</v>
      </c>
      <c r="AX24" s="449">
        <f>AX17+AX22</f>
        <v>15270981.666666668</v>
      </c>
      <c r="AY24" s="7">
        <f t="shared" si="8"/>
        <v>12</v>
      </c>
      <c r="AZ24" s="8" t="s">
        <v>37</v>
      </c>
      <c r="BA24" s="241"/>
      <c r="BB24" s="241">
        <f>FIT</f>
        <v>0.35</v>
      </c>
      <c r="BC24" s="5">
        <f>ROUND(-BC22*BB24,0)</f>
        <v>-258303</v>
      </c>
      <c r="BD24" s="7">
        <f t="shared" si="31"/>
        <v>12</v>
      </c>
      <c r="BE24" s="78" t="s">
        <v>263</v>
      </c>
      <c r="BG24" s="375">
        <f>$GC$14</f>
        <v>0.002</v>
      </c>
      <c r="BH24" s="345">
        <f>-$BH$20*BG24</f>
        <v>-35118.76714</v>
      </c>
      <c r="BI24" s="345"/>
      <c r="BJ24" s="7">
        <f t="shared" si="32"/>
        <v>12</v>
      </c>
      <c r="BK24" s="57" t="s">
        <v>57</v>
      </c>
      <c r="BL24" s="152"/>
      <c r="BM24" s="152"/>
      <c r="BN24" s="152"/>
      <c r="BO24" s="152"/>
      <c r="BP24" s="183"/>
      <c r="BQ24" s="153">
        <f>ROUND(BP21-BP23,0)</f>
        <v>812157</v>
      </c>
      <c r="BR24" s="7">
        <f t="shared" si="9"/>
        <v>12</v>
      </c>
      <c r="BS24" s="78" t="s">
        <v>151</v>
      </c>
      <c r="BT24" s="163">
        <v>-286923</v>
      </c>
      <c r="BU24" s="163"/>
      <c r="BV24" s="156">
        <f t="shared" si="45"/>
        <v>286923</v>
      </c>
      <c r="BW24" s="7"/>
      <c r="CB24" s="130"/>
      <c r="CC24" s="7">
        <f t="shared" si="33"/>
        <v>12</v>
      </c>
      <c r="CD24" s="8" t="s">
        <v>39</v>
      </c>
      <c r="CE24" s="117"/>
      <c r="CF24" s="185">
        <f>-CF21-CF23</f>
        <v>454544</v>
      </c>
      <c r="CG24" s="7"/>
      <c r="CH24" s="8"/>
      <c r="CI24" s="71"/>
      <c r="CJ24" s="71"/>
      <c r="CK24" s="71"/>
      <c r="CP24" s="229"/>
      <c r="CU24" s="7"/>
      <c r="CV24" s="19"/>
      <c r="CW24" s="118"/>
      <c r="CX24" s="118"/>
      <c r="CY24" s="118"/>
      <c r="CZ24" s="7">
        <f t="shared" si="34"/>
        <v>12</v>
      </c>
      <c r="DA24" s="314"/>
      <c r="DC24" s="196"/>
      <c r="DD24" s="3">
        <f t="shared" si="13"/>
        <v>12</v>
      </c>
      <c r="DF24" s="189"/>
      <c r="DQ24" s="7">
        <v>12</v>
      </c>
      <c r="DR24" s="8" t="s">
        <v>409</v>
      </c>
      <c r="DS24" s="193">
        <v>5234729</v>
      </c>
      <c r="DT24" s="193">
        <v>5481585</v>
      </c>
      <c r="DU24" s="193">
        <f>DT24-DS24</f>
        <v>246856</v>
      </c>
      <c r="DV24" s="7">
        <f t="shared" si="17"/>
        <v>12</v>
      </c>
      <c r="DW24" s="263" t="s">
        <v>384</v>
      </c>
      <c r="DX24" s="7"/>
      <c r="DY24" s="163">
        <v>805316</v>
      </c>
      <c r="EA24" s="7">
        <v>12</v>
      </c>
      <c r="EB24" s="8" t="s">
        <v>39</v>
      </c>
      <c r="EC24" s="8"/>
      <c r="EE24" s="216">
        <f>-EE20-EE22</f>
        <v>-985713.0800000001</v>
      </c>
      <c r="EF24" s="7">
        <f t="shared" si="18"/>
        <v>12</v>
      </c>
      <c r="EG24" s="96" t="s">
        <v>267</v>
      </c>
      <c r="EH24" s="152">
        <v>298521</v>
      </c>
      <c r="EI24" s="152">
        <v>361924</v>
      </c>
      <c r="EJ24" s="178">
        <f>EI24-EH24</f>
        <v>63403</v>
      </c>
      <c r="EK24" s="7">
        <f t="shared" si="20"/>
        <v>12</v>
      </c>
      <c r="EN24" s="180">
        <v>0</v>
      </c>
      <c r="EO24" s="7">
        <f t="shared" si="46"/>
        <v>13</v>
      </c>
      <c r="EP24" s="154"/>
      <c r="EQ24" s="154"/>
      <c r="ER24" s="154"/>
      <c r="ES24" s="154"/>
      <c r="ET24" s="7">
        <f t="shared" si="22"/>
        <v>12</v>
      </c>
      <c r="EW24" s="152"/>
      <c r="EX24" s="152"/>
      <c r="EY24" s="152"/>
      <c r="EZ24" s="7">
        <f t="shared" si="23"/>
        <v>12</v>
      </c>
      <c r="FD24" s="189"/>
      <c r="FE24" s="7">
        <f t="shared" si="25"/>
        <v>12</v>
      </c>
      <c r="FF24" s="249" t="s">
        <v>317</v>
      </c>
      <c r="FG24" s="193">
        <f>FG18+FG22</f>
        <v>160277383.47414997</v>
      </c>
      <c r="FH24" s="193">
        <f>FH18+FH22</f>
        <v>154353502.9232116</v>
      </c>
      <c r="FI24" s="193">
        <f>FI18+FI22</f>
        <v>-5923880.550938393</v>
      </c>
      <c r="FJ24" s="7">
        <f t="shared" si="36"/>
        <v>12</v>
      </c>
      <c r="FK24" s="268" t="s">
        <v>485</v>
      </c>
      <c r="FL24" s="360">
        <f>SUM(FL21:FL23)</f>
        <v>119451.20999999999</v>
      </c>
      <c r="FM24" s="360">
        <f>SUM(FM21:FM23)</f>
        <v>1365070</v>
      </c>
      <c r="FN24" s="360">
        <f>SUM(FN21:FN23)</f>
        <v>1245618.79</v>
      </c>
      <c r="FO24" s="7">
        <f t="shared" si="26"/>
        <v>12</v>
      </c>
      <c r="FP24" s="8" t="s">
        <v>502</v>
      </c>
      <c r="FT24" s="7">
        <f t="shared" si="37"/>
        <v>12</v>
      </c>
      <c r="FU24" s="78" t="s">
        <v>355</v>
      </c>
      <c r="FX24" s="156">
        <f>FX22</f>
        <v>102307.036165152</v>
      </c>
      <c r="FY24" s="128"/>
      <c r="GC24" s="1" t="s">
        <v>506</v>
      </c>
      <c r="GD24" s="7">
        <f t="shared" si="39"/>
        <v>9</v>
      </c>
      <c r="GO24" s="7">
        <f t="shared" si="40"/>
        <v>9</v>
      </c>
      <c r="GP24" s="8"/>
      <c r="GZ24" s="7">
        <f t="shared" si="41"/>
        <v>9</v>
      </c>
      <c r="HL24" s="7">
        <f t="shared" si="42"/>
        <v>9</v>
      </c>
      <c r="HY24" s="7">
        <f t="shared" si="43"/>
        <v>9</v>
      </c>
      <c r="IA24" s="131"/>
      <c r="IB24" s="192"/>
      <c r="IC24" s="192"/>
      <c r="ID24" s="192"/>
      <c r="IE24" s="192"/>
      <c r="IH24" s="130"/>
      <c r="II24" s="130"/>
      <c r="IJ24" s="153"/>
    </row>
    <row r="25" spans="1:244" ht="15" customHeight="1" thickBot="1" thickTop="1">
      <c r="A25" s="3">
        <f t="shared" si="27"/>
        <v>14</v>
      </c>
      <c r="B25" s="171">
        <v>39295</v>
      </c>
      <c r="C25" s="172">
        <v>1694124.22</v>
      </c>
      <c r="D25" s="173">
        <v>1701516.058497668</v>
      </c>
      <c r="E25" s="46">
        <f t="shared" si="28"/>
        <v>7391.838497668039</v>
      </c>
      <c r="F25" s="46">
        <f t="shared" si="38"/>
        <v>6897</v>
      </c>
      <c r="H25" s="3">
        <f t="shared" si="1"/>
        <v>13</v>
      </c>
      <c r="I25" s="429" t="s">
        <v>271</v>
      </c>
      <c r="K25" s="183">
        <f>SUM(K24)</f>
        <v>-422954</v>
      </c>
      <c r="M25" s="7">
        <f t="shared" si="44"/>
        <v>13</v>
      </c>
      <c r="N25" s="11" t="s">
        <v>277</v>
      </c>
      <c r="O25" s="5">
        <v>0</v>
      </c>
      <c r="P25" s="535">
        <v>-8416594.268564237</v>
      </c>
      <c r="Q25" s="5">
        <f>P25-O25</f>
        <v>-8416594.268564237</v>
      </c>
      <c r="R25" s="7">
        <f>R24+1</f>
        <v>13</v>
      </c>
      <c r="S25" s="78" t="s">
        <v>40</v>
      </c>
      <c r="T25" s="66">
        <v>130274335.6455</v>
      </c>
      <c r="U25" s="163"/>
      <c r="V25" s="7">
        <f t="shared" si="30"/>
        <v>13</v>
      </c>
      <c r="W25" s="249" t="s">
        <v>432</v>
      </c>
      <c r="X25" s="2"/>
      <c r="Y25" s="19"/>
      <c r="Z25" s="7">
        <f t="shared" si="3"/>
        <v>13</v>
      </c>
      <c r="AA25" s="268"/>
      <c r="AB25" s="320"/>
      <c r="AC25" s="320"/>
      <c r="AD25" s="320"/>
      <c r="AE25" s="7">
        <f t="shared" si="4"/>
        <v>13</v>
      </c>
      <c r="AF25" s="156"/>
      <c r="AG25" s="165"/>
      <c r="AH25" s="165"/>
      <c r="AI25" s="158"/>
      <c r="AJ25" s="7">
        <f t="shared" si="5"/>
        <v>13</v>
      </c>
      <c r="AK25" s="268" t="s">
        <v>181</v>
      </c>
      <c r="AL25" s="366">
        <f>SUM(AL21:AL24)</f>
        <v>1220389.92</v>
      </c>
      <c r="AM25" s="366">
        <f>SUM(AM21:AM24)</f>
        <v>2810162.179289041</v>
      </c>
      <c r="AN25" s="440">
        <f>SUM(AN21:AN24)</f>
        <v>1589772.2592890412</v>
      </c>
      <c r="AO25" s="7">
        <f t="shared" si="6"/>
        <v>13</v>
      </c>
      <c r="AP25" s="53" t="s">
        <v>9</v>
      </c>
      <c r="AQ25" s="179"/>
      <c r="AR25" s="179"/>
      <c r="AS25" s="179">
        <f>AS23</f>
        <v>2370292.2661269144</v>
      </c>
      <c r="AT25" s="7">
        <f t="shared" si="7"/>
        <v>13</v>
      </c>
      <c r="AU25" s="446"/>
      <c r="AV25" s="354"/>
      <c r="AW25" s="355"/>
      <c r="AX25" s="356"/>
      <c r="AY25" s="7">
        <f t="shared" si="8"/>
        <v>13</v>
      </c>
      <c r="AZ25" s="8" t="s">
        <v>265</v>
      </c>
      <c r="BA25" s="133"/>
      <c r="BB25" s="133"/>
      <c r="BC25" s="242">
        <f>-BC22-BC24</f>
        <v>-479705.73045599984</v>
      </c>
      <c r="BD25" s="7">
        <f t="shared" si="31"/>
        <v>13</v>
      </c>
      <c r="BE25" s="78" t="s">
        <v>472</v>
      </c>
      <c r="BG25" s="375">
        <f>$GC$15</f>
        <v>0.0385944</v>
      </c>
      <c r="BH25" s="345">
        <f>-$BH$20*BG25</f>
        <v>-677693.873254008</v>
      </c>
      <c r="BI25" s="345"/>
      <c r="BJ25" s="7">
        <f t="shared" si="32"/>
        <v>13</v>
      </c>
      <c r="BK25" s="191"/>
      <c r="BL25" s="152"/>
      <c r="BM25" s="152"/>
      <c r="BN25" s="152"/>
      <c r="BO25" s="152"/>
      <c r="BP25" s="152"/>
      <c r="BQ25" s="152"/>
      <c r="BR25" s="7">
        <f t="shared" si="9"/>
        <v>13</v>
      </c>
      <c r="BS25" s="78" t="s">
        <v>567</v>
      </c>
      <c r="BT25" s="163">
        <v>56346.586705</v>
      </c>
      <c r="BU25" s="422">
        <v>0</v>
      </c>
      <c r="BV25" s="156">
        <f t="shared" si="45"/>
        <v>-56346.586705</v>
      </c>
      <c r="BW25" s="7"/>
      <c r="CB25" s="130"/>
      <c r="CC25" s="7"/>
      <c r="CG25" s="7"/>
      <c r="CH25" s="8"/>
      <c r="CI25" s="8"/>
      <c r="CJ25" s="8"/>
      <c r="CK25" s="71"/>
      <c r="CU25" s="7"/>
      <c r="CV25" s="19"/>
      <c r="CW25" s="118"/>
      <c r="CX25" s="119"/>
      <c r="CY25" s="118"/>
      <c r="CZ25" s="7">
        <f t="shared" si="34"/>
        <v>13</v>
      </c>
      <c r="DA25" s="411" t="s">
        <v>560</v>
      </c>
      <c r="DB25" s="412"/>
      <c r="DC25" s="413"/>
      <c r="DD25" s="3">
        <f t="shared" si="13"/>
        <v>13</v>
      </c>
      <c r="DE25" s="78" t="s">
        <v>265</v>
      </c>
      <c r="DF25" s="219">
        <f>-DF21-DF23</f>
        <v>739782.063444667</v>
      </c>
      <c r="DQ25" s="7">
        <v>13</v>
      </c>
      <c r="DR25" s="8" t="s">
        <v>291</v>
      </c>
      <c r="DS25" s="66">
        <f>SUM(DS22:DS24)</f>
        <v>67576686</v>
      </c>
      <c r="DT25" s="66">
        <f>SUM(DT22:DT24)</f>
        <v>71972868</v>
      </c>
      <c r="DU25" s="66">
        <f>SUM(DU22:DU24)</f>
        <v>4396182</v>
      </c>
      <c r="DV25" s="7">
        <f t="shared" si="17"/>
        <v>13</v>
      </c>
      <c r="DW25" s="305" t="s">
        <v>385</v>
      </c>
      <c r="DX25" s="83">
        <v>0.0661</v>
      </c>
      <c r="DY25" s="306">
        <f>+DY24*DX25</f>
        <v>53231.3876</v>
      </c>
      <c r="EA25" s="7"/>
      <c r="EF25" s="7">
        <f t="shared" si="18"/>
        <v>13</v>
      </c>
      <c r="EG25" s="78" t="s">
        <v>342</v>
      </c>
      <c r="EH25" s="215">
        <f>SUM(EH22:EH24)</f>
        <v>4421733</v>
      </c>
      <c r="EI25" s="215">
        <f>SUM(EI22:EI24)</f>
        <v>5360870</v>
      </c>
      <c r="EJ25" s="215">
        <f>SUM(EJ22:EJ24)</f>
        <v>939137</v>
      </c>
      <c r="EK25" s="7">
        <f t="shared" si="20"/>
        <v>13</v>
      </c>
      <c r="EL25" s="8" t="s">
        <v>57</v>
      </c>
      <c r="EN25" s="183">
        <f>EN22-EN23</f>
        <v>236617.04362233647</v>
      </c>
      <c r="EO25" s="7">
        <f t="shared" si="46"/>
        <v>14</v>
      </c>
      <c r="EP25" s="180" t="s">
        <v>261</v>
      </c>
      <c r="EQ25" s="180"/>
      <c r="ER25" s="180"/>
      <c r="ES25" s="180"/>
      <c r="ET25" s="7">
        <f t="shared" si="22"/>
        <v>13</v>
      </c>
      <c r="EU25" s="263" t="s">
        <v>511</v>
      </c>
      <c r="EV25" s="263"/>
      <c r="EW25" s="152"/>
      <c r="EX25" s="152"/>
      <c r="EY25" s="152"/>
      <c r="EZ25" s="7">
        <f t="shared" si="23"/>
        <v>13</v>
      </c>
      <c r="FA25" s="78" t="s">
        <v>280</v>
      </c>
      <c r="FD25" s="432">
        <f>-FD21-FD23</f>
        <v>-1637181.8073461591</v>
      </c>
      <c r="FE25" s="7">
        <f t="shared" si="25"/>
        <v>13</v>
      </c>
      <c r="FF25" s="249"/>
      <c r="FG25" s="176"/>
      <c r="FH25" s="176"/>
      <c r="FI25" s="176"/>
      <c r="FJ25" s="7">
        <f t="shared" si="36"/>
        <v>13</v>
      </c>
      <c r="FK25" s="268"/>
      <c r="FL25" s="387"/>
      <c r="FM25" s="387"/>
      <c r="FN25" s="387"/>
      <c r="FO25" s="7">
        <f t="shared" si="26"/>
        <v>13</v>
      </c>
      <c r="FP25" s="8" t="s">
        <v>437</v>
      </c>
      <c r="FQ25" s="180">
        <v>53528073.24227749</v>
      </c>
      <c r="FR25" s="180">
        <f>+FQ25*-$FR$11</f>
        <v>-1786231.8040948003</v>
      </c>
      <c r="FS25" s="180">
        <v>462126.4720277403</v>
      </c>
      <c r="FT25" s="7">
        <f t="shared" si="37"/>
        <v>13</v>
      </c>
      <c r="FX25" s="156"/>
      <c r="GC25" s="22" t="s">
        <v>599</v>
      </c>
      <c r="GD25" s="7">
        <f t="shared" si="39"/>
        <v>10</v>
      </c>
      <c r="GE25" s="8" t="s">
        <v>133</v>
      </c>
      <c r="GF25" s="65"/>
      <c r="GG25" s="65"/>
      <c r="GH25" s="65"/>
      <c r="GI25" s="65"/>
      <c r="GJ25" s="65"/>
      <c r="GK25" s="65"/>
      <c r="GL25" s="65"/>
      <c r="GM25" s="65"/>
      <c r="GN25" s="65"/>
      <c r="GO25" s="7">
        <f t="shared" si="40"/>
        <v>10</v>
      </c>
      <c r="GP25" s="8" t="s">
        <v>133</v>
      </c>
      <c r="GQ25" s="65"/>
      <c r="GR25" s="65"/>
      <c r="GS25" s="65"/>
      <c r="GT25" s="65"/>
      <c r="GU25" s="65"/>
      <c r="GV25" s="65"/>
      <c r="GW25" s="65"/>
      <c r="GX25" s="65"/>
      <c r="GY25" s="65"/>
      <c r="GZ25" s="7">
        <f t="shared" si="41"/>
        <v>10</v>
      </c>
      <c r="HA25" s="8" t="s">
        <v>133</v>
      </c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7">
        <f t="shared" si="42"/>
        <v>10</v>
      </c>
      <c r="HM25" s="8" t="s">
        <v>133</v>
      </c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7">
        <f t="shared" si="43"/>
        <v>10</v>
      </c>
      <c r="HZ25" s="77" t="s">
        <v>133</v>
      </c>
      <c r="IA25" s="131"/>
      <c r="IB25" s="192"/>
      <c r="IC25" s="292"/>
      <c r="ID25" s="292"/>
      <c r="IE25" s="292"/>
      <c r="IF25" s="65"/>
      <c r="IG25" s="19"/>
      <c r="IH25" s="130"/>
      <c r="II25" s="130"/>
      <c r="IJ25" s="153"/>
    </row>
    <row r="26" spans="1:244" ht="15" customHeight="1" thickBot="1" thickTop="1">
      <c r="A26" s="3">
        <f t="shared" si="27"/>
        <v>15</v>
      </c>
      <c r="B26" s="171">
        <v>39326</v>
      </c>
      <c r="C26" s="194">
        <v>1652396.988</v>
      </c>
      <c r="D26" s="194">
        <v>1650724.3884407948</v>
      </c>
      <c r="E26" s="491">
        <f t="shared" si="28"/>
        <v>-1672.5995592051186</v>
      </c>
      <c r="F26" s="491">
        <f t="shared" si="38"/>
        <v>-1561</v>
      </c>
      <c r="H26" s="3">
        <f t="shared" si="1"/>
        <v>14</v>
      </c>
      <c r="K26" s="189"/>
      <c r="M26" s="7">
        <f t="shared" si="44"/>
        <v>14</v>
      </c>
      <c r="N26" s="11" t="s">
        <v>438</v>
      </c>
      <c r="O26" s="153">
        <f>SUM(O23:O25)</f>
        <v>990181182.19</v>
      </c>
      <c r="P26" s="153">
        <f>SUM(P23:P25)</f>
        <v>741703301.9077063</v>
      </c>
      <c r="Q26" s="153">
        <f>SUM(Q23:Q25)</f>
        <v>-248477880.28229377</v>
      </c>
      <c r="R26" s="7">
        <f aca="true" t="shared" si="47" ref="R26:R32">R25+1</f>
        <v>14</v>
      </c>
      <c r="S26" s="78" t="s">
        <v>43</v>
      </c>
      <c r="T26" s="66">
        <v>-62644984.8025</v>
      </c>
      <c r="U26" s="163"/>
      <c r="V26" s="7">
        <f t="shared" si="30"/>
        <v>14</v>
      </c>
      <c r="W26" s="466" t="s">
        <v>431</v>
      </c>
      <c r="X26" s="2">
        <v>892583.63</v>
      </c>
      <c r="Y26" s="19"/>
      <c r="Z26" s="7">
        <f t="shared" si="3"/>
        <v>14</v>
      </c>
      <c r="AA26" s="268" t="s">
        <v>534</v>
      </c>
      <c r="AB26" s="445">
        <f>AB18+AB24</f>
        <v>0</v>
      </c>
      <c r="AC26" s="445">
        <f>AC18+AC24</f>
        <v>10325849.879999999</v>
      </c>
      <c r="AD26" s="445">
        <f>AD18+AD24</f>
        <v>10325849.879999999</v>
      </c>
      <c r="AE26" s="7">
        <f t="shared" si="4"/>
        <v>14</v>
      </c>
      <c r="AF26" s="8" t="s">
        <v>37</v>
      </c>
      <c r="AG26" s="241"/>
      <c r="AH26" s="241">
        <f>FIT</f>
        <v>0.35</v>
      </c>
      <c r="AI26" s="5">
        <f>ROUND(-AI24*AH26,0)</f>
        <v>-1180195</v>
      </c>
      <c r="AJ26" s="7">
        <f t="shared" si="5"/>
        <v>14</v>
      </c>
      <c r="AL26" s="189"/>
      <c r="AM26" s="189"/>
      <c r="AN26" s="453"/>
      <c r="AO26" s="7">
        <f t="shared" si="6"/>
        <v>14</v>
      </c>
      <c r="AP26" s="156"/>
      <c r="AQ26" s="165"/>
      <c r="AR26" s="165"/>
      <c r="AS26" s="158"/>
      <c r="AT26" s="7">
        <f t="shared" si="7"/>
        <v>14</v>
      </c>
      <c r="AU26" s="341" t="s">
        <v>460</v>
      </c>
      <c r="AV26" s="354"/>
      <c r="AW26" s="355"/>
      <c r="AX26" s="356"/>
      <c r="AY26" s="7"/>
      <c r="AZ26" s="268"/>
      <c r="BA26" s="353"/>
      <c r="BB26" s="360"/>
      <c r="BC26" s="348"/>
      <c r="BD26" s="7">
        <f t="shared" si="31"/>
        <v>14</v>
      </c>
      <c r="BE26" s="78" t="s">
        <v>228</v>
      </c>
      <c r="BG26" s="345"/>
      <c r="BH26" s="456">
        <f>SUM(BH23:BH25)</f>
        <v>-774313.117072316</v>
      </c>
      <c r="BI26" s="345"/>
      <c r="BJ26" s="7">
        <f t="shared" si="32"/>
        <v>14</v>
      </c>
      <c r="BK26" s="57" t="s">
        <v>47</v>
      </c>
      <c r="BL26" s="152"/>
      <c r="BM26" s="152"/>
      <c r="BN26" s="152"/>
      <c r="BO26" s="152"/>
      <c r="BP26" s="187">
        <v>0.35</v>
      </c>
      <c r="BQ26" s="152">
        <f>ROUND(-BQ24*BP26,0)</f>
        <v>-284255</v>
      </c>
      <c r="BR26" s="7">
        <f t="shared" si="9"/>
        <v>14</v>
      </c>
      <c r="BS26" s="78" t="s">
        <v>568</v>
      </c>
      <c r="BT26" s="163">
        <v>-31393</v>
      </c>
      <c r="BU26" s="422">
        <v>0</v>
      </c>
      <c r="BV26" s="156">
        <f t="shared" si="45"/>
        <v>31393</v>
      </c>
      <c r="BW26" s="7"/>
      <c r="CC26" s="263"/>
      <c r="CG26" s="7"/>
      <c r="CH26" s="8"/>
      <c r="CI26" s="8"/>
      <c r="CJ26" s="8"/>
      <c r="CK26" s="71"/>
      <c r="CU26" s="7"/>
      <c r="CV26" s="19"/>
      <c r="CW26" s="118"/>
      <c r="CX26" s="118"/>
      <c r="CY26" s="118"/>
      <c r="CZ26" s="7">
        <f t="shared" si="34"/>
        <v>14</v>
      </c>
      <c r="DA26" s="257"/>
      <c r="DB26" s="412"/>
      <c r="DC26" s="413"/>
      <c r="DD26" s="3"/>
      <c r="DQ26" s="7">
        <v>14</v>
      </c>
      <c r="DR26" s="8"/>
      <c r="DS26" s="66"/>
      <c r="DT26" s="66"/>
      <c r="DU26" s="66"/>
      <c r="DV26" s="7">
        <f t="shared" si="17"/>
        <v>14</v>
      </c>
      <c r="DW26" s="264" t="s">
        <v>386</v>
      </c>
      <c r="DX26" s="9"/>
      <c r="DY26" s="9"/>
      <c r="DZ26" s="196">
        <f>SUM(DY24:DY25)</f>
        <v>858547.3876</v>
      </c>
      <c r="EA26" s="263"/>
      <c r="EF26" s="7">
        <f t="shared" si="18"/>
        <v>14</v>
      </c>
      <c r="EG26" s="78"/>
      <c r="EH26" s="152"/>
      <c r="EI26" s="152"/>
      <c r="EJ26" s="178"/>
      <c r="EK26" s="7">
        <f t="shared" si="20"/>
        <v>14</v>
      </c>
      <c r="EO26" s="7">
        <f t="shared" si="46"/>
        <v>15</v>
      </c>
      <c r="EP26" s="180" t="s">
        <v>498</v>
      </c>
      <c r="EQ26" s="155">
        <v>0</v>
      </c>
      <c r="ER26" s="155">
        <v>12486461.471175</v>
      </c>
      <c r="ES26" s="155">
        <v>12486461.471175</v>
      </c>
      <c r="ET26" s="7">
        <f t="shared" si="22"/>
        <v>14</v>
      </c>
      <c r="EU26" s="280" t="s">
        <v>285</v>
      </c>
      <c r="EV26" s="280"/>
      <c r="EW26" s="175">
        <f>EW20</f>
        <v>495729.56</v>
      </c>
      <c r="EX26" s="175">
        <f>EX20</f>
        <v>10500628</v>
      </c>
      <c r="EY26" s="175">
        <f>EY20</f>
        <v>10996357.56</v>
      </c>
      <c r="EZ26" s="7">
        <f t="shared" si="23"/>
        <v>14</v>
      </c>
      <c r="FE26" s="7">
        <f t="shared" si="25"/>
        <v>14</v>
      </c>
      <c r="FF26" s="433" t="s">
        <v>464</v>
      </c>
      <c r="FG26" s="329"/>
      <c r="FH26" s="329"/>
      <c r="FI26" s="329"/>
      <c r="FJ26" s="7">
        <f t="shared" si="36"/>
        <v>14</v>
      </c>
      <c r="FK26" s="383" t="s">
        <v>41</v>
      </c>
      <c r="FN26" s="348">
        <f>FN24</f>
        <v>1245618.79</v>
      </c>
      <c r="FO26" s="7">
        <f t="shared" si="26"/>
        <v>14</v>
      </c>
      <c r="FP26" s="8" t="s">
        <v>388</v>
      </c>
      <c r="FQ26" s="152">
        <v>5806674.820456</v>
      </c>
      <c r="FR26" s="152">
        <f>+FQ26*-$FR$11</f>
        <v>-193768.7387586168</v>
      </c>
      <c r="FS26" s="152">
        <v>65191.812256050456</v>
      </c>
      <c r="FT26" s="7">
        <f t="shared" si="37"/>
        <v>14</v>
      </c>
      <c r="FU26" s="8" t="s">
        <v>37</v>
      </c>
      <c r="FV26" s="187">
        <v>0.35</v>
      </c>
      <c r="FW26" s="9"/>
      <c r="FX26" s="66">
        <f>FX24*FV26</f>
        <v>35807.4626578032</v>
      </c>
      <c r="FY26" s="21" t="s">
        <v>334</v>
      </c>
      <c r="FZ26" s="43"/>
      <c r="GA26" s="20"/>
      <c r="GB26" s="20"/>
      <c r="GC26" s="20"/>
      <c r="GD26" s="7">
        <f t="shared" si="39"/>
        <v>11</v>
      </c>
      <c r="GE26" s="8" t="s">
        <v>134</v>
      </c>
      <c r="GF26" s="68">
        <v>118473660.74000001</v>
      </c>
      <c r="GG26" s="68">
        <v>0</v>
      </c>
      <c r="GH26" s="68">
        <v>0</v>
      </c>
      <c r="GI26" s="68">
        <f>Q21</f>
        <v>57211417.371603</v>
      </c>
      <c r="GJ26" s="68">
        <v>0</v>
      </c>
      <c r="GK26" s="68">
        <v>0</v>
      </c>
      <c r="GL26" s="68"/>
      <c r="GM26" s="68"/>
      <c r="GN26" s="68"/>
      <c r="GO26" s="7">
        <f t="shared" si="40"/>
        <v>11</v>
      </c>
      <c r="GP26" s="8" t="s">
        <v>134</v>
      </c>
      <c r="GQ26" s="68"/>
      <c r="GR26" s="68"/>
      <c r="GS26" s="68"/>
      <c r="GT26" s="68"/>
      <c r="GU26" s="68">
        <v>0</v>
      </c>
      <c r="GV26" s="68">
        <v>0</v>
      </c>
      <c r="GW26" s="68">
        <v>0</v>
      </c>
      <c r="GX26" s="68">
        <v>0</v>
      </c>
      <c r="GY26" s="68">
        <v>0</v>
      </c>
      <c r="GZ26" s="7">
        <f t="shared" si="41"/>
        <v>11</v>
      </c>
      <c r="HA26" s="8" t="s">
        <v>134</v>
      </c>
      <c r="HB26" s="68">
        <v>0</v>
      </c>
      <c r="HC26" s="68">
        <v>0</v>
      </c>
      <c r="HD26" s="68">
        <v>0</v>
      </c>
      <c r="HE26" s="68">
        <v>0</v>
      </c>
      <c r="HF26" s="68">
        <v>0</v>
      </c>
      <c r="HG26" s="68">
        <v>0</v>
      </c>
      <c r="HH26" s="68">
        <v>0</v>
      </c>
      <c r="HI26" s="68">
        <v>0</v>
      </c>
      <c r="HJ26" s="68">
        <v>0</v>
      </c>
      <c r="HK26" s="68">
        <v>0</v>
      </c>
      <c r="HL26" s="7">
        <f t="shared" si="42"/>
        <v>11</v>
      </c>
      <c r="HM26" s="8" t="s">
        <v>134</v>
      </c>
      <c r="HN26" s="68"/>
      <c r="HO26" s="68">
        <v>0</v>
      </c>
      <c r="HP26" s="68"/>
      <c r="HQ26" s="68">
        <v>0</v>
      </c>
      <c r="HR26" s="68">
        <f>FD14+FD19</f>
        <v>835508.0099999998</v>
      </c>
      <c r="HS26" s="68"/>
      <c r="HT26" s="68"/>
      <c r="HU26" s="482">
        <f>+FR36+FR41</f>
        <v>0</v>
      </c>
      <c r="HV26" s="68"/>
      <c r="HW26" s="68">
        <f>SUM(GG26:HV26)-HL26-GZ26-GO26</f>
        <v>58046925.381602995</v>
      </c>
      <c r="HX26" s="68">
        <f>HW26+GF26</f>
        <v>176520586.121603</v>
      </c>
      <c r="HY26" s="7">
        <f t="shared" si="43"/>
        <v>11</v>
      </c>
      <c r="HZ26" s="8" t="s">
        <v>253</v>
      </c>
      <c r="IA26" s="153">
        <f>+GF26</f>
        <v>118473660.74000001</v>
      </c>
      <c r="IB26" s="68">
        <f>+HW26</f>
        <v>58046925.381602995</v>
      </c>
      <c r="IC26" s="68">
        <f>SUM(IA26:IB26)</f>
        <v>176520586.121603</v>
      </c>
      <c r="ID26" s="68">
        <v>0</v>
      </c>
      <c r="IE26" s="68">
        <f>SUM(IC26:ID26)</f>
        <v>176520586.121603</v>
      </c>
      <c r="IF26" s="68"/>
      <c r="IG26" s="6"/>
      <c r="IH26" s="130"/>
      <c r="II26" s="130"/>
      <c r="IJ26" s="153"/>
    </row>
    <row r="27" spans="1:244" ht="15" customHeight="1" thickBot="1" thickTop="1">
      <c r="A27" s="3">
        <f t="shared" si="27"/>
        <v>16</v>
      </c>
      <c r="C27" s="192">
        <f>ROUND(SUM(C15:C26),0)</f>
        <v>22960863</v>
      </c>
      <c r="D27" s="192">
        <f>ROUND(SUM(D15:D26),0)</f>
        <v>22822660</v>
      </c>
      <c r="E27" s="192">
        <f>ROUND(SUM(E15:E26),0)</f>
        <v>-138203</v>
      </c>
      <c r="F27" s="192">
        <f>ROUND(SUM(F15:F26),0)</f>
        <v>-128943</v>
      </c>
      <c r="H27" s="3">
        <f t="shared" si="1"/>
        <v>15</v>
      </c>
      <c r="I27" s="78" t="s">
        <v>549</v>
      </c>
      <c r="L27" s="158">
        <f>K21+K25</f>
        <v>80020081.87473917</v>
      </c>
      <c r="M27" s="7">
        <f t="shared" si="44"/>
        <v>15</v>
      </c>
      <c r="N27" s="11" t="s">
        <v>264</v>
      </c>
      <c r="O27" s="118">
        <f>GF28-FB20</f>
        <v>63827743.25</v>
      </c>
      <c r="P27" s="118">
        <v>67657484.05092235</v>
      </c>
      <c r="Q27" s="118">
        <f>P27-O27</f>
        <v>3829740.800922349</v>
      </c>
      <c r="R27" s="7">
        <f t="shared" si="47"/>
        <v>15</v>
      </c>
      <c r="S27" s="78" t="s">
        <v>50</v>
      </c>
      <c r="T27" s="5">
        <v>0</v>
      </c>
      <c r="U27" s="163"/>
      <c r="V27" s="7">
        <f t="shared" si="30"/>
        <v>15</v>
      </c>
      <c r="W27" s="249" t="s">
        <v>23</v>
      </c>
      <c r="X27" s="2">
        <v>15055265</v>
      </c>
      <c r="Y27" s="19"/>
      <c r="Z27" s="7">
        <f t="shared" si="3"/>
        <v>15</v>
      </c>
      <c r="AA27" s="268"/>
      <c r="AB27" s="320"/>
      <c r="AC27" s="320"/>
      <c r="AD27" s="320"/>
      <c r="AE27" s="7">
        <f t="shared" si="4"/>
        <v>15</v>
      </c>
      <c r="AF27" s="8" t="s">
        <v>265</v>
      </c>
      <c r="AG27" s="133"/>
      <c r="AH27" s="133"/>
      <c r="AI27" s="242">
        <f>-AI24-AI26</f>
        <v>-2191792</v>
      </c>
      <c r="AJ27" s="7">
        <f t="shared" si="5"/>
        <v>15</v>
      </c>
      <c r="AK27" s="53" t="s">
        <v>9</v>
      </c>
      <c r="AL27" s="179"/>
      <c r="AM27" s="179"/>
      <c r="AN27" s="179">
        <f>AN25</f>
        <v>1589772.2592890412</v>
      </c>
      <c r="AO27" s="7">
        <f t="shared" si="6"/>
        <v>15</v>
      </c>
      <c r="AP27" s="8" t="s">
        <v>37</v>
      </c>
      <c r="AQ27" s="241"/>
      <c r="AR27" s="241">
        <f>FIT</f>
        <v>0.35</v>
      </c>
      <c r="AS27" s="5">
        <f>ROUND(-AS25*AR27,0)</f>
        <v>-829602</v>
      </c>
      <c r="AT27" s="7">
        <f t="shared" si="7"/>
        <v>15</v>
      </c>
      <c r="AU27" s="447" t="s">
        <v>306</v>
      </c>
      <c r="AV27" s="353"/>
      <c r="AW27" s="353">
        <v>600667</v>
      </c>
      <c r="AX27" s="348">
        <f>AW27-AV27</f>
        <v>600667</v>
      </c>
      <c r="AY27" s="7"/>
      <c r="AZ27" s="268"/>
      <c r="BA27" s="353"/>
      <c r="BB27" s="353"/>
      <c r="BC27" s="353"/>
      <c r="BD27" s="7">
        <f t="shared" si="31"/>
        <v>15</v>
      </c>
      <c r="BG27" s="345"/>
      <c r="BH27" s="345"/>
      <c r="BI27" s="345"/>
      <c r="BJ27" s="7">
        <f t="shared" si="32"/>
        <v>15</v>
      </c>
      <c r="BK27" s="57" t="s">
        <v>265</v>
      </c>
      <c r="BL27" s="152"/>
      <c r="BM27" s="152"/>
      <c r="BN27" s="152"/>
      <c r="BO27" s="152"/>
      <c r="BP27" s="152"/>
      <c r="BQ27" s="185">
        <f>-BQ24-BQ26</f>
        <v>-527902</v>
      </c>
      <c r="BR27" s="7">
        <f aca="true" t="shared" si="48" ref="BR27:BR49">BR26+1</f>
        <v>15</v>
      </c>
      <c r="BS27" s="305" t="s">
        <v>72</v>
      </c>
      <c r="BW27" s="7"/>
      <c r="BX27" s="8"/>
      <c r="BY27" s="130"/>
      <c r="BZ27" s="130"/>
      <c r="CA27" s="130"/>
      <c r="CB27" s="196"/>
      <c r="CC27" s="7"/>
      <c r="CG27" s="7"/>
      <c r="CH27" s="8"/>
      <c r="CI27" s="8"/>
      <c r="CJ27" s="8"/>
      <c r="CK27" s="71"/>
      <c r="CL27" s="131"/>
      <c r="CU27" s="7"/>
      <c r="CW27" s="180"/>
      <c r="CX27" s="180"/>
      <c r="CY27" s="180"/>
      <c r="CZ27" s="7">
        <f t="shared" si="34"/>
        <v>15</v>
      </c>
      <c r="DA27" s="257" t="s">
        <v>564</v>
      </c>
      <c r="DB27" s="414">
        <v>1474000</v>
      </c>
      <c r="DC27" s="264"/>
      <c r="DD27" s="263"/>
      <c r="DQ27" s="7">
        <v>15</v>
      </c>
      <c r="DR27" s="8" t="s">
        <v>9</v>
      </c>
      <c r="DS27" s="66"/>
      <c r="DT27" s="66"/>
      <c r="DU27" s="167">
        <f>DU25</f>
        <v>4396182</v>
      </c>
      <c r="DV27" s="7">
        <f t="shared" si="17"/>
        <v>15</v>
      </c>
      <c r="DW27" s="305"/>
      <c r="DX27" s="7"/>
      <c r="DY27" s="7"/>
      <c r="DZ27" s="312"/>
      <c r="EA27" s="7"/>
      <c r="EF27" s="7">
        <f t="shared" si="18"/>
        <v>15</v>
      </c>
      <c r="EG27" s="78" t="s">
        <v>9</v>
      </c>
      <c r="EH27" s="152"/>
      <c r="EI27" s="152"/>
      <c r="EJ27" s="178">
        <f>EJ25</f>
        <v>939137</v>
      </c>
      <c r="EK27" s="7">
        <f t="shared" si="20"/>
        <v>15</v>
      </c>
      <c r="EL27" s="8" t="s">
        <v>37</v>
      </c>
      <c r="EM27" s="187">
        <f>FIT</f>
        <v>0.35</v>
      </c>
      <c r="EN27" s="180">
        <f>-ROUND((EN25+EN24)*EM27,0)</f>
        <v>-82816</v>
      </c>
      <c r="EO27" s="7">
        <f t="shared" si="46"/>
        <v>16</v>
      </c>
      <c r="EP27" s="180" t="s">
        <v>499</v>
      </c>
      <c r="EQ27" s="180">
        <v>0</v>
      </c>
      <c r="ER27" s="180">
        <v>-2081076.9118625</v>
      </c>
      <c r="ES27" s="180">
        <v>-2081076.9118625</v>
      </c>
      <c r="ET27" s="7">
        <f t="shared" si="22"/>
        <v>15</v>
      </c>
      <c r="EW27" s="152"/>
      <c r="EX27" s="152"/>
      <c r="EY27" s="152"/>
      <c r="EZ27" s="7">
        <f t="shared" si="23"/>
        <v>15</v>
      </c>
      <c r="FA27" s="78" t="s">
        <v>278</v>
      </c>
      <c r="FB27" s="130">
        <v>19435248</v>
      </c>
      <c r="FC27" s="130">
        <v>26516667</v>
      </c>
      <c r="FD27" s="255">
        <f>FC27-FB27</f>
        <v>7081419</v>
      </c>
      <c r="FE27" s="7">
        <f t="shared" si="25"/>
        <v>15</v>
      </c>
      <c r="FF27" s="249" t="s">
        <v>318</v>
      </c>
      <c r="FG27" s="434">
        <v>659907.25</v>
      </c>
      <c r="FH27" s="434">
        <v>659907.25</v>
      </c>
      <c r="FI27" s="177">
        <f>FH27-FG27</f>
        <v>0</v>
      </c>
      <c r="FJ27" s="7">
        <f t="shared" si="36"/>
        <v>15</v>
      </c>
      <c r="FO27" s="7">
        <f t="shared" si="26"/>
        <v>15</v>
      </c>
      <c r="FP27" s="78" t="s">
        <v>513</v>
      </c>
      <c r="FQ27" s="183">
        <f>SUM(FQ25:FQ26)</f>
        <v>59334748.06273349</v>
      </c>
      <c r="FR27" s="183">
        <f>SUM(FR25:FR26)</f>
        <v>-1980000.542853417</v>
      </c>
      <c r="FS27" s="183">
        <f>SUM(FS25:FS26)</f>
        <v>527318.2842837907</v>
      </c>
      <c r="FT27" s="7">
        <f t="shared" si="37"/>
        <v>15</v>
      </c>
      <c r="FU27" s="8" t="s">
        <v>265</v>
      </c>
      <c r="FX27" s="217">
        <f>FX24-FX26</f>
        <v>66499.5735073488</v>
      </c>
      <c r="FY27" s="20" t="s">
        <v>515</v>
      </c>
      <c r="FZ27" s="43"/>
      <c r="GA27" s="20"/>
      <c r="GB27" s="20"/>
      <c r="GC27" s="20"/>
      <c r="GD27" s="7">
        <f t="shared" si="39"/>
        <v>12</v>
      </c>
      <c r="GE27" s="8" t="s">
        <v>135</v>
      </c>
      <c r="GF27" s="66">
        <v>1017118800.19</v>
      </c>
      <c r="GG27" s="66"/>
      <c r="GH27" s="66"/>
      <c r="GI27" s="66">
        <f>+Q23+Q24+Q25</f>
        <v>-248477880.28229377</v>
      </c>
      <c r="GJ27" s="66"/>
      <c r="GK27" s="66"/>
      <c r="GL27" s="66">
        <f>AD35</f>
        <v>-1451500</v>
      </c>
      <c r="GM27" s="66"/>
      <c r="GN27" s="66"/>
      <c r="GO27" s="7">
        <f t="shared" si="40"/>
        <v>12</v>
      </c>
      <c r="GP27" s="8" t="s">
        <v>135</v>
      </c>
      <c r="GQ27" s="66"/>
      <c r="GR27" s="66"/>
      <c r="GS27" s="66"/>
      <c r="GT27" s="66"/>
      <c r="GU27" s="66"/>
      <c r="GV27" s="66"/>
      <c r="GW27" s="66"/>
      <c r="GX27" s="66"/>
      <c r="GY27" s="66"/>
      <c r="GZ27" s="7">
        <f t="shared" si="41"/>
        <v>12</v>
      </c>
      <c r="HA27" s="8" t="s">
        <v>135</v>
      </c>
      <c r="HB27" s="66"/>
      <c r="HC27" s="66"/>
      <c r="HD27" s="66"/>
      <c r="HE27" s="66"/>
      <c r="HF27" s="66"/>
      <c r="HG27" s="66"/>
      <c r="HH27" s="66"/>
      <c r="HI27" s="66">
        <f>DU14</f>
        <v>136518</v>
      </c>
      <c r="HJ27" s="66"/>
      <c r="HK27" s="66"/>
      <c r="HL27" s="7">
        <f t="shared" si="42"/>
        <v>12</v>
      </c>
      <c r="HM27" s="8" t="s">
        <v>135</v>
      </c>
      <c r="HN27" s="66">
        <f>EJ14</f>
        <v>36040</v>
      </c>
      <c r="HO27" s="66"/>
      <c r="HP27" s="66"/>
      <c r="HQ27" s="66"/>
      <c r="HR27" s="66">
        <f>FD15+FD16+FD27</f>
        <v>8531002</v>
      </c>
      <c r="HS27" s="66"/>
      <c r="HT27" s="66"/>
      <c r="HU27" s="292">
        <f>+FR43+FR37+FR38+FR15</f>
        <v>-1140909.5548600003</v>
      </c>
      <c r="HV27" s="66"/>
      <c r="HW27" s="66">
        <f>SUM(GG27:HV27)-HL27-GZ27-GO27</f>
        <v>-242366729.83715376</v>
      </c>
      <c r="HX27" s="66">
        <f>HW27+GF27</f>
        <v>774752070.3528463</v>
      </c>
      <c r="HY27" s="7">
        <f t="shared" si="43"/>
        <v>12</v>
      </c>
      <c r="HZ27" s="8" t="s">
        <v>87</v>
      </c>
      <c r="IA27" s="152">
        <f>+GF27</f>
        <v>1017118800.19</v>
      </c>
      <c r="IB27" s="192">
        <f>+HW27</f>
        <v>-242366729.83715376</v>
      </c>
      <c r="IC27" s="292">
        <f>SUM(IA27:IB27)</f>
        <v>774752070.3528463</v>
      </c>
      <c r="ID27" s="292"/>
      <c r="IE27" s="292">
        <f>SUM(IC27:ID27)</f>
        <v>774752070.3528463</v>
      </c>
      <c r="IF27" s="66"/>
      <c r="IG27" s="118"/>
      <c r="IH27" s="130"/>
      <c r="II27" s="130"/>
      <c r="IJ27" s="153"/>
    </row>
    <row r="28" spans="1:244" ht="15" customHeight="1" thickBot="1" thickTop="1">
      <c r="A28" s="3">
        <f t="shared" si="27"/>
        <v>17</v>
      </c>
      <c r="C28" s="130"/>
      <c r="D28" s="130"/>
      <c r="H28" s="3">
        <f t="shared" si="1"/>
        <v>16</v>
      </c>
      <c r="K28" s="133"/>
      <c r="M28" s="7">
        <f t="shared" si="44"/>
        <v>16</v>
      </c>
      <c r="O28" s="118"/>
      <c r="P28" s="118"/>
      <c r="Q28" s="66">
        <f>P28-O28</f>
        <v>0</v>
      </c>
      <c r="R28" s="7">
        <f t="shared" si="47"/>
        <v>16</v>
      </c>
      <c r="S28" s="8" t="s">
        <v>89</v>
      </c>
      <c r="U28" s="195">
        <f>SUM(T24:T27)</f>
        <v>62523356.69703675</v>
      </c>
      <c r="V28" s="7">
        <f t="shared" si="30"/>
        <v>16</v>
      </c>
      <c r="W28" s="263" t="s">
        <v>25</v>
      </c>
      <c r="X28" s="118">
        <f>+CT15</f>
        <v>-350242</v>
      </c>
      <c r="Y28" s="19"/>
      <c r="Z28" s="7">
        <f t="shared" si="3"/>
        <v>16</v>
      </c>
      <c r="AA28" s="341" t="s">
        <v>126</v>
      </c>
      <c r="AB28" s="320"/>
      <c r="AC28" s="320"/>
      <c r="AD28" s="320"/>
      <c r="AE28" s="7"/>
      <c r="AH28" s="78"/>
      <c r="AI28" s="302"/>
      <c r="AJ28" s="7">
        <f t="shared" si="5"/>
        <v>16</v>
      </c>
      <c r="AK28" s="156"/>
      <c r="AL28" s="165"/>
      <c r="AM28" s="165"/>
      <c r="AN28" s="158"/>
      <c r="AO28" s="7">
        <f t="shared" si="6"/>
        <v>16</v>
      </c>
      <c r="AP28" s="8" t="s">
        <v>265</v>
      </c>
      <c r="AQ28" s="133"/>
      <c r="AR28" s="133"/>
      <c r="AS28" s="242">
        <f>-AS25-AS27</f>
        <v>-1540690.2661269144</v>
      </c>
      <c r="AT28" s="7">
        <f t="shared" si="7"/>
        <v>16</v>
      </c>
      <c r="AU28" s="447" t="s">
        <v>464</v>
      </c>
      <c r="AV28" s="353"/>
      <c r="AW28" s="353">
        <v>1679273</v>
      </c>
      <c r="AX28" s="348">
        <f>AW28-AV28</f>
        <v>1679273</v>
      </c>
      <c r="AY28" s="7"/>
      <c r="AZ28" s="268"/>
      <c r="BA28" s="353"/>
      <c r="BB28" s="359"/>
      <c r="BC28" s="359"/>
      <c r="BD28" s="7">
        <f t="shared" si="31"/>
        <v>16</v>
      </c>
      <c r="BE28" s="151" t="s">
        <v>164</v>
      </c>
      <c r="BG28" s="345"/>
      <c r="BH28" s="345"/>
      <c r="BI28" s="345"/>
      <c r="BJ28" s="7"/>
      <c r="BK28" s="299"/>
      <c r="BL28" s="299"/>
      <c r="BM28" s="299"/>
      <c r="BN28" s="299"/>
      <c r="BO28" s="299"/>
      <c r="BP28" s="299"/>
      <c r="BR28" s="7">
        <f t="shared" si="48"/>
        <v>16</v>
      </c>
      <c r="BS28" s="305" t="s">
        <v>540</v>
      </c>
      <c r="BT28" s="163">
        <v>828227.2972400001</v>
      </c>
      <c r="BU28" s="163">
        <v>2068608.5919066668</v>
      </c>
      <c r="BV28" s="156">
        <f>BU28-BT28</f>
        <v>1240381.2946666665</v>
      </c>
      <c r="BW28" s="7"/>
      <c r="BY28" s="299"/>
      <c r="BZ28" s="299"/>
      <c r="CA28" s="299"/>
      <c r="CB28" s="323"/>
      <c r="CC28" s="7"/>
      <c r="CG28" s="7"/>
      <c r="CH28" s="158"/>
      <c r="CI28" s="158"/>
      <c r="CJ28" s="158"/>
      <c r="CK28" s="158"/>
      <c r="CL28" s="131"/>
      <c r="CM28" s="7"/>
      <c r="CN28" s="7"/>
      <c r="CU28" s="7"/>
      <c r="CV28" s="19"/>
      <c r="CW28" s="118"/>
      <c r="CX28" s="118"/>
      <c r="CY28" s="118"/>
      <c r="CZ28" s="7">
        <f t="shared" si="34"/>
        <v>16</v>
      </c>
      <c r="DA28" s="257"/>
      <c r="DB28" s="412"/>
      <c r="DC28" s="413"/>
      <c r="DD28" s="3"/>
      <c r="DE28" s="120"/>
      <c r="DF28" s="154"/>
      <c r="DQ28" s="7">
        <v>16</v>
      </c>
      <c r="DR28" s="8" t="s">
        <v>108</v>
      </c>
      <c r="DS28" s="66"/>
      <c r="DT28" s="66"/>
      <c r="DU28" s="65">
        <f>-DU27*0.35</f>
        <v>-1538663.7</v>
      </c>
      <c r="DV28" s="7">
        <f t="shared" si="17"/>
        <v>16</v>
      </c>
      <c r="DW28" s="265" t="s">
        <v>228</v>
      </c>
      <c r="DX28" s="7"/>
      <c r="DY28" s="7"/>
      <c r="DZ28" s="267"/>
      <c r="EA28" s="7"/>
      <c r="EF28" s="7">
        <f t="shared" si="18"/>
        <v>16</v>
      </c>
      <c r="EG28" s="78"/>
      <c r="EH28" s="152"/>
      <c r="EI28" s="152"/>
      <c r="EJ28" s="178"/>
      <c r="EK28" s="7">
        <f t="shared" si="20"/>
        <v>16</v>
      </c>
      <c r="EN28" s="152">
        <v>0</v>
      </c>
      <c r="EO28" s="7">
        <f t="shared" si="46"/>
        <v>17</v>
      </c>
      <c r="EP28" s="180" t="s">
        <v>500</v>
      </c>
      <c r="EQ28" s="180">
        <v>0</v>
      </c>
      <c r="ER28" s="180">
        <v>-3642131.1785656237</v>
      </c>
      <c r="ES28" s="180">
        <v>-3642131.1785656237</v>
      </c>
      <c r="ET28" s="7">
        <f t="shared" si="22"/>
        <v>16</v>
      </c>
      <c r="EU28" s="57" t="s">
        <v>9</v>
      </c>
      <c r="EV28" s="57"/>
      <c r="EW28" s="152">
        <f>EW23-EW26</f>
        <v>-301025.04</v>
      </c>
      <c r="EX28" s="152">
        <f>EX23-EX26</f>
        <v>-2707978.1033333326</v>
      </c>
      <c r="EY28" s="152">
        <f>EY23-EY26</f>
        <v>-3009003.1433333335</v>
      </c>
      <c r="EZ28" s="7">
        <f t="shared" si="23"/>
        <v>16</v>
      </c>
      <c r="FE28" s="7">
        <f t="shared" si="25"/>
        <v>16</v>
      </c>
      <c r="FF28" s="249" t="s">
        <v>319</v>
      </c>
      <c r="FG28" s="193">
        <v>139038.57825</v>
      </c>
      <c r="FH28" s="193"/>
      <c r="FI28" s="193">
        <f>FH28-FG28</f>
        <v>-139038.57825</v>
      </c>
      <c r="FJ28" s="7">
        <f>FJ27+1</f>
        <v>16</v>
      </c>
      <c r="FK28" s="383" t="s">
        <v>51</v>
      </c>
      <c r="FL28" s="360"/>
      <c r="FM28" s="384">
        <f>FIT</f>
        <v>0.35</v>
      </c>
      <c r="FN28" s="358">
        <f>-FN24*FM28</f>
        <v>-435966.57649999997</v>
      </c>
      <c r="FO28" s="7">
        <f t="shared" si="26"/>
        <v>16</v>
      </c>
      <c r="FP28" s="8" t="s">
        <v>426</v>
      </c>
      <c r="FQ28" s="183"/>
      <c r="FR28" s="183"/>
      <c r="FS28" s="183"/>
      <c r="FT28" s="7"/>
      <c r="FU28" s="8"/>
      <c r="FY28" s="20" t="str">
        <f>TESTYEAR</f>
        <v>FOR THE TWELVE MONTHS ENDED SEPTEMBER 30, 2007</v>
      </c>
      <c r="FZ28" s="43"/>
      <c r="GA28" s="20"/>
      <c r="GB28" s="20"/>
      <c r="GC28" s="20"/>
      <c r="GD28" s="7">
        <f t="shared" si="39"/>
        <v>13</v>
      </c>
      <c r="GE28" s="8" t="s">
        <v>136</v>
      </c>
      <c r="GF28" s="66">
        <v>65628548.2</v>
      </c>
      <c r="GG28" s="66"/>
      <c r="GH28" s="66"/>
      <c r="GI28" s="66">
        <f>Q27</f>
        <v>3829740.800922349</v>
      </c>
      <c r="GJ28" s="66"/>
      <c r="GK28" s="66"/>
      <c r="GL28" s="66"/>
      <c r="GM28" s="66"/>
      <c r="GN28" s="66"/>
      <c r="GO28" s="7">
        <f t="shared" si="40"/>
        <v>13</v>
      </c>
      <c r="GP28" s="8" t="s">
        <v>136</v>
      </c>
      <c r="GQ28" s="66"/>
      <c r="GR28" s="66"/>
      <c r="GS28" s="66"/>
      <c r="GT28" s="66"/>
      <c r="GU28" s="66"/>
      <c r="GV28" s="66"/>
      <c r="GW28" s="66"/>
      <c r="GX28" s="66"/>
      <c r="GY28" s="66"/>
      <c r="GZ28" s="7">
        <f t="shared" si="41"/>
        <v>13</v>
      </c>
      <c r="HA28" s="8" t="s">
        <v>136</v>
      </c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7">
        <f t="shared" si="42"/>
        <v>13</v>
      </c>
      <c r="HM28" s="8" t="s">
        <v>136</v>
      </c>
      <c r="HN28" s="66"/>
      <c r="HO28" s="66"/>
      <c r="HP28" s="66"/>
      <c r="HQ28" s="66"/>
      <c r="HR28" s="66">
        <f>FD20</f>
        <v>233650.51</v>
      </c>
      <c r="HS28" s="66"/>
      <c r="HT28" s="66"/>
      <c r="HU28" s="292">
        <f>+FR42</f>
        <v>-67889.77870020003</v>
      </c>
      <c r="HV28" s="66"/>
      <c r="HW28" s="66">
        <f>SUM(GG28:HV28)-HL28-GZ28-GO28</f>
        <v>3995501.532222149</v>
      </c>
      <c r="HX28" s="66">
        <f>HW28+GF28</f>
        <v>69624049.73222215</v>
      </c>
      <c r="HY28" s="7">
        <f t="shared" si="43"/>
        <v>13</v>
      </c>
      <c r="HZ28" s="8" t="s">
        <v>264</v>
      </c>
      <c r="IA28" s="152">
        <f>+GF28</f>
        <v>65628548.2</v>
      </c>
      <c r="IB28" s="192">
        <f>+HW28</f>
        <v>3995501.532222149</v>
      </c>
      <c r="IC28" s="292">
        <f>SUM(IA28:IB28)</f>
        <v>69624049.73222215</v>
      </c>
      <c r="ID28" s="292"/>
      <c r="IE28" s="292">
        <f>SUM(IC28:ID28)</f>
        <v>69624049.73222215</v>
      </c>
      <c r="IF28" s="66"/>
      <c r="IG28" s="118"/>
      <c r="IH28" s="130"/>
      <c r="II28" s="130"/>
      <c r="IJ28" s="153"/>
    </row>
    <row r="29" spans="1:244" ht="15" customHeight="1" thickBot="1" thickTop="1">
      <c r="A29" s="3">
        <f t="shared" si="27"/>
        <v>18</v>
      </c>
      <c r="B29" s="78" t="s">
        <v>395</v>
      </c>
      <c r="C29" s="78" t="s">
        <v>396</v>
      </c>
      <c r="D29" s="163"/>
      <c r="E29" s="178">
        <v>-111115</v>
      </c>
      <c r="F29" s="168">
        <v>-10596704</v>
      </c>
      <c r="H29" s="3">
        <f t="shared" si="1"/>
        <v>17</v>
      </c>
      <c r="I29" s="78" t="s">
        <v>272</v>
      </c>
      <c r="K29" s="133"/>
      <c r="M29" s="7">
        <f t="shared" si="44"/>
        <v>17</v>
      </c>
      <c r="N29" s="78" t="s">
        <v>138</v>
      </c>
      <c r="O29" s="176">
        <f>O21+O26+O27+O28</f>
        <v>1173318094.19</v>
      </c>
      <c r="P29" s="176">
        <f>P21+P26+P27+P28</f>
        <v>985881372.0802317</v>
      </c>
      <c r="Q29" s="176">
        <f>Q21+Q26+Q27+Q28</f>
        <v>-187436722.10976845</v>
      </c>
      <c r="R29" s="7">
        <f t="shared" si="47"/>
        <v>17</v>
      </c>
      <c r="S29" s="78"/>
      <c r="T29" s="38">
        <f>U28-SUM(GF45:GF46)</f>
        <v>0</v>
      </c>
      <c r="U29" s="163"/>
      <c r="V29" s="7">
        <f t="shared" si="30"/>
        <v>17</v>
      </c>
      <c r="W29" s="249" t="s">
        <v>76</v>
      </c>
      <c r="X29" s="486"/>
      <c r="Y29" s="118">
        <f>SUM(X22:X28)</f>
        <v>135876145.15</v>
      </c>
      <c r="Z29" s="7">
        <f t="shared" si="3"/>
        <v>17</v>
      </c>
      <c r="AA29" s="364" t="s">
        <v>306</v>
      </c>
      <c r="AB29" s="320">
        <v>0</v>
      </c>
      <c r="AC29" s="320">
        <v>571980.3091838827</v>
      </c>
      <c r="AD29" s="344">
        <f>AC29-AB29</f>
        <v>571980.3091838827</v>
      </c>
      <c r="AE29" s="263"/>
      <c r="AF29" s="8"/>
      <c r="AH29" s="78"/>
      <c r="AI29" s="302"/>
      <c r="AJ29" s="7">
        <f t="shared" si="5"/>
        <v>17</v>
      </c>
      <c r="AK29" s="8" t="s">
        <v>37</v>
      </c>
      <c r="AL29" s="241"/>
      <c r="AM29" s="241">
        <f>FIT</f>
        <v>0.35</v>
      </c>
      <c r="AN29" s="5">
        <f>ROUND(-AN27*AM29,0)</f>
        <v>-556420</v>
      </c>
      <c r="AO29" s="7"/>
      <c r="AP29" s="268"/>
      <c r="AQ29" s="353"/>
      <c r="AR29" s="360"/>
      <c r="AS29" s="348"/>
      <c r="AT29" s="7">
        <f t="shared" si="7"/>
        <v>17</v>
      </c>
      <c r="AU29" s="268" t="s">
        <v>181</v>
      </c>
      <c r="AV29" s="450">
        <f>SUM(AV27:AV28)</f>
        <v>0</v>
      </c>
      <c r="AW29" s="450">
        <f>SUM(AW27:AW28)</f>
        <v>2279940</v>
      </c>
      <c r="AX29" s="367">
        <f>SUM(AX27:AX28)</f>
        <v>2279940</v>
      </c>
      <c r="AY29" s="7"/>
      <c r="AZ29" s="263"/>
      <c r="BA29" s="360"/>
      <c r="BB29" s="360"/>
      <c r="BC29" s="348"/>
      <c r="BD29" s="7">
        <f t="shared" si="31"/>
        <v>17</v>
      </c>
      <c r="BE29" s="372" t="s">
        <v>469</v>
      </c>
      <c r="BG29" s="345"/>
      <c r="BH29" s="345">
        <v>-32489368</v>
      </c>
      <c r="BI29" s="345"/>
      <c r="BJ29" s="263"/>
      <c r="BR29" s="7">
        <f t="shared" si="48"/>
        <v>17</v>
      </c>
      <c r="BS29" s="78" t="s">
        <v>74</v>
      </c>
      <c r="BW29" s="7"/>
      <c r="BX29" s="299"/>
      <c r="BY29" s="299"/>
      <c r="BZ29" s="299"/>
      <c r="CA29" s="299"/>
      <c r="CB29" s="299"/>
      <c r="CC29" s="154"/>
      <c r="CD29" s="78"/>
      <c r="CE29" s="78"/>
      <c r="CF29" s="192"/>
      <c r="CG29" s="7"/>
      <c r="CH29" s="78"/>
      <c r="CI29" s="78"/>
      <c r="CJ29" s="78"/>
      <c r="CK29" s="78"/>
      <c r="CL29" s="131"/>
      <c r="CM29" s="7"/>
      <c r="CN29" s="7"/>
      <c r="CQ29" s="7"/>
      <c r="CU29" s="7"/>
      <c r="CV29" s="19"/>
      <c r="CW29" s="118"/>
      <c r="CX29" s="118"/>
      <c r="CY29" s="118"/>
      <c r="CZ29" s="7">
        <f t="shared" si="34"/>
        <v>17</v>
      </c>
      <c r="DA29" s="415" t="s">
        <v>546</v>
      </c>
      <c r="DB29" s="328">
        <f>DB27/2</f>
        <v>737000</v>
      </c>
      <c r="DC29" s="395"/>
      <c r="DD29" s="3"/>
      <c r="DE29" s="8"/>
      <c r="DF29" s="159"/>
      <c r="DQ29" s="7">
        <v>17</v>
      </c>
      <c r="DR29" s="8" t="s">
        <v>265</v>
      </c>
      <c r="DS29" s="152"/>
      <c r="DT29" s="152"/>
      <c r="DU29" s="508">
        <f>-DU27-DU28</f>
        <v>-2857518.3</v>
      </c>
      <c r="DV29" s="7">
        <f t="shared" si="17"/>
        <v>17</v>
      </c>
      <c r="DW29" s="313" t="s">
        <v>387</v>
      </c>
      <c r="DX29" s="9"/>
      <c r="DY29" s="9"/>
      <c r="DZ29" s="163">
        <f>+DZ16+DZ21+DZ26</f>
        <v>5976834.1978</v>
      </c>
      <c r="EA29" s="7"/>
      <c r="EF29" s="7">
        <f t="shared" si="18"/>
        <v>17</v>
      </c>
      <c r="EG29" s="8" t="s">
        <v>37</v>
      </c>
      <c r="EH29" s="299"/>
      <c r="EI29" s="187">
        <f>FIT</f>
        <v>0.35</v>
      </c>
      <c r="EJ29" s="66">
        <f>ROUND(-EJ27*EI29,0)</f>
        <v>-328698</v>
      </c>
      <c r="EK29" s="7">
        <f t="shared" si="20"/>
        <v>17</v>
      </c>
      <c r="EL29" s="8" t="s">
        <v>265</v>
      </c>
      <c r="EN29" s="217">
        <f>-EN25-EN27</f>
        <v>-153801.04362233647</v>
      </c>
      <c r="EO29" s="7">
        <f t="shared" si="46"/>
        <v>18</v>
      </c>
      <c r="EP29" s="78" t="s">
        <v>501</v>
      </c>
      <c r="EQ29" s="451">
        <v>0</v>
      </c>
      <c r="ER29" s="451">
        <v>6763253.380746877</v>
      </c>
      <c r="ES29" s="451">
        <v>6763253.380746877</v>
      </c>
      <c r="ET29" s="7">
        <f t="shared" si="22"/>
        <v>17</v>
      </c>
      <c r="EU29" s="57"/>
      <c r="EV29" s="57"/>
      <c r="EW29" s="152"/>
      <c r="EX29" s="152"/>
      <c r="EY29" s="152"/>
      <c r="EZ29" s="7">
        <f t="shared" si="23"/>
        <v>17</v>
      </c>
      <c r="FA29" s="78" t="s">
        <v>279</v>
      </c>
      <c r="FB29" s="198">
        <f>FB21+FB27</f>
        <v>29397616.939999998</v>
      </c>
      <c r="FC29" s="198">
        <f>FC21+FC27</f>
        <v>38997777.182071015</v>
      </c>
      <c r="FD29" s="198">
        <f>FC29-FB29</f>
        <v>9600160.242071018</v>
      </c>
      <c r="FE29" s="7">
        <f t="shared" si="25"/>
        <v>17</v>
      </c>
      <c r="FF29" s="249" t="s">
        <v>320</v>
      </c>
      <c r="FG29" s="434">
        <f>SUM(FG27:FG28)</f>
        <v>798945.82825</v>
      </c>
      <c r="FH29" s="434">
        <f>SUM(FH27:FH28)</f>
        <v>659907.25</v>
      </c>
      <c r="FI29" s="434">
        <f>SUM(FI27:FI28)</f>
        <v>-139038.57825</v>
      </c>
      <c r="FJ29" s="7">
        <f t="shared" si="36"/>
        <v>17</v>
      </c>
      <c r="FK29" s="268"/>
      <c r="FL29" s="360"/>
      <c r="FM29" s="360"/>
      <c r="FN29" s="360"/>
      <c r="FO29" s="7">
        <f t="shared" si="26"/>
        <v>17</v>
      </c>
      <c r="FP29" s="8" t="s">
        <v>75</v>
      </c>
      <c r="FQ29" s="152">
        <v>6476490</v>
      </c>
      <c r="FR29" s="152">
        <f>+FQ29*-$FR$11</f>
        <v>-216120.47130000006</v>
      </c>
      <c r="FS29" s="152">
        <f>ROUND(+FR29*-$FS$11,0)</f>
        <v>75642</v>
      </c>
      <c r="FT29" s="263"/>
      <c r="FU29" s="156"/>
      <c r="FV29" s="156"/>
      <c r="FW29" s="156"/>
      <c r="FX29" s="156"/>
      <c r="FY29" s="21" t="s">
        <v>119</v>
      </c>
      <c r="FZ29" s="43"/>
      <c r="GA29" s="20"/>
      <c r="GB29" s="20"/>
      <c r="GC29" s="20"/>
      <c r="GD29" s="7">
        <f t="shared" si="39"/>
        <v>14</v>
      </c>
      <c r="GE29" s="78" t="s">
        <v>292</v>
      </c>
      <c r="GF29" s="5">
        <v>-84819852.23</v>
      </c>
      <c r="GG29" s="5"/>
      <c r="GH29" s="5"/>
      <c r="GI29" s="5">
        <f>Q28</f>
        <v>0</v>
      </c>
      <c r="GJ29" s="5"/>
      <c r="GK29" s="5"/>
      <c r="GL29" s="5"/>
      <c r="GM29" s="5"/>
      <c r="GN29" s="5"/>
      <c r="GO29" s="7">
        <f t="shared" si="40"/>
        <v>14</v>
      </c>
      <c r="GP29" s="8" t="s">
        <v>292</v>
      </c>
      <c r="GQ29" s="5"/>
      <c r="GR29" s="5"/>
      <c r="GS29" s="5"/>
      <c r="GT29" s="5">
        <f>BH32</f>
        <v>84819852</v>
      </c>
      <c r="GU29" s="5"/>
      <c r="GV29" s="5"/>
      <c r="GW29" s="5"/>
      <c r="GX29" s="5"/>
      <c r="GY29" s="5"/>
      <c r="GZ29" s="7">
        <f t="shared" si="41"/>
        <v>14</v>
      </c>
      <c r="HA29" s="78" t="s">
        <v>292</v>
      </c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7">
        <f t="shared" si="42"/>
        <v>14</v>
      </c>
      <c r="HM29" s="78" t="s">
        <v>292</v>
      </c>
      <c r="HN29" s="5"/>
      <c r="HO29" s="5"/>
      <c r="HP29" s="5"/>
      <c r="HQ29" s="5"/>
      <c r="HR29" s="5"/>
      <c r="HS29" s="5"/>
      <c r="HT29" s="5"/>
      <c r="HU29" s="483"/>
      <c r="HV29" s="5"/>
      <c r="HW29" s="5">
        <f>SUM(GG29:HV29)-HL29-GZ29-GO29</f>
        <v>84819852</v>
      </c>
      <c r="HX29" s="5">
        <f>HW29+GF29</f>
        <v>-0.23000000417232513</v>
      </c>
      <c r="HY29" s="7">
        <f t="shared" si="43"/>
        <v>14</v>
      </c>
      <c r="HZ29" s="78" t="s">
        <v>137</v>
      </c>
      <c r="IA29" s="175">
        <f>+GF29</f>
        <v>-84819852.23</v>
      </c>
      <c r="IB29" s="295">
        <f>+HW29</f>
        <v>84819852</v>
      </c>
      <c r="IC29" s="293">
        <f>SUM(IA29:IB29)</f>
        <v>-0.23000000417232513</v>
      </c>
      <c r="ID29" s="293"/>
      <c r="IE29" s="293">
        <f>SUM(IC29:ID29)</f>
        <v>-0.23000000417232513</v>
      </c>
      <c r="IF29" s="118"/>
      <c r="IG29" s="118"/>
      <c r="IH29" s="130"/>
      <c r="II29" s="130"/>
      <c r="IJ29" s="153"/>
    </row>
    <row r="30" spans="1:244" ht="15" customHeight="1" thickBot="1" thickTop="1">
      <c r="A30" s="3">
        <f t="shared" si="27"/>
        <v>19</v>
      </c>
      <c r="B30" s="7"/>
      <c r="C30" s="78" t="s">
        <v>397</v>
      </c>
      <c r="E30" s="152">
        <v>-19192</v>
      </c>
      <c r="F30" s="173">
        <v>-1556957</v>
      </c>
      <c r="H30" s="3">
        <f t="shared" si="1"/>
        <v>18</v>
      </c>
      <c r="I30" s="97" t="s">
        <v>273</v>
      </c>
      <c r="K30" s="178">
        <v>-15633</v>
      </c>
      <c r="M30" s="7">
        <f t="shared" si="44"/>
        <v>18</v>
      </c>
      <c r="N30" s="133" t="s">
        <v>410</v>
      </c>
      <c r="O30" s="66">
        <f>GF32</f>
        <v>79069006.45</v>
      </c>
      <c r="P30" s="66">
        <v>95396786.72092138</v>
      </c>
      <c r="Q30" s="66">
        <f>P30-O30</f>
        <v>16327780.27092138</v>
      </c>
      <c r="R30" s="7">
        <f t="shared" si="47"/>
        <v>18</v>
      </c>
      <c r="S30" s="8" t="s">
        <v>58</v>
      </c>
      <c r="T30" s="8"/>
      <c r="U30" s="178">
        <f>U16-T24</f>
        <v>-12251183.717604587</v>
      </c>
      <c r="V30" s="7">
        <f t="shared" si="30"/>
        <v>18</v>
      </c>
      <c r="W30" s="249"/>
      <c r="X30" s="249"/>
      <c r="Y30" s="424"/>
      <c r="Z30" s="7">
        <f t="shared" si="3"/>
        <v>18</v>
      </c>
      <c r="AA30" s="364" t="s">
        <v>283</v>
      </c>
      <c r="AB30" s="321">
        <v>0</v>
      </c>
      <c r="AC30" s="321">
        <v>9545.424816172834</v>
      </c>
      <c r="AD30" s="348">
        <f>AC30-AB30</f>
        <v>9545.424816172834</v>
      </c>
      <c r="AE30" s="144"/>
      <c r="AF30" s="133"/>
      <c r="AG30" s="133"/>
      <c r="AH30" s="133"/>
      <c r="AI30" s="61"/>
      <c r="AJ30" s="7">
        <f t="shared" si="5"/>
        <v>18</v>
      </c>
      <c r="AK30" s="8" t="s">
        <v>265</v>
      </c>
      <c r="AL30" s="133"/>
      <c r="AM30" s="133"/>
      <c r="AN30" s="242">
        <f>-AN27-AN29</f>
        <v>-1033352.2592890412</v>
      </c>
      <c r="AO30" s="7"/>
      <c r="AP30" s="268"/>
      <c r="AQ30" s="353"/>
      <c r="AR30" s="353"/>
      <c r="AS30" s="353"/>
      <c r="AT30" s="7">
        <f t="shared" si="7"/>
        <v>18</v>
      </c>
      <c r="AV30" s="133"/>
      <c r="AW30" s="133"/>
      <c r="AX30" s="302"/>
      <c r="AY30" s="7"/>
      <c r="AZ30" s="268"/>
      <c r="BA30" s="353"/>
      <c r="BB30" s="353"/>
      <c r="BC30" s="353"/>
      <c r="BD30" s="7">
        <f t="shared" si="31"/>
        <v>18</v>
      </c>
      <c r="BE30" s="372" t="s">
        <v>470</v>
      </c>
      <c r="BG30" s="345"/>
      <c r="BH30" s="345">
        <v>-59746435.22</v>
      </c>
      <c r="BI30" s="345"/>
      <c r="BJ30" s="7"/>
      <c r="BR30" s="7">
        <f t="shared" si="48"/>
        <v>18</v>
      </c>
      <c r="BS30" s="78" t="s">
        <v>540</v>
      </c>
      <c r="BT30" s="163"/>
      <c r="BU30" s="163">
        <v>-1026112.5</v>
      </c>
      <c r="BV30" s="156">
        <f>BU30-BT30</f>
        <v>-1026112.5</v>
      </c>
      <c r="BW30" s="7"/>
      <c r="BX30" s="299"/>
      <c r="BY30" s="299"/>
      <c r="BZ30" s="299"/>
      <c r="CA30" s="299"/>
      <c r="CB30" s="299"/>
      <c r="CD30" s="78"/>
      <c r="CE30" s="78"/>
      <c r="CF30" s="192"/>
      <c r="CG30" s="7"/>
      <c r="CH30" s="78"/>
      <c r="CI30" s="78"/>
      <c r="CJ30" s="78"/>
      <c r="CK30" s="78"/>
      <c r="CQ30" s="7"/>
      <c r="CW30" s="152"/>
      <c r="CX30" s="152"/>
      <c r="CY30" s="152"/>
      <c r="CZ30" s="7">
        <f t="shared" si="34"/>
        <v>18</v>
      </c>
      <c r="DA30" s="402" t="s">
        <v>565</v>
      </c>
      <c r="DB30" s="403">
        <v>321200</v>
      </c>
      <c r="DC30" s="395"/>
      <c r="DD30" s="156"/>
      <c r="DV30" s="7">
        <f t="shared" si="17"/>
        <v>18</v>
      </c>
      <c r="DW30" s="313" t="s">
        <v>295</v>
      </c>
      <c r="DX30" s="83">
        <v>0.5572</v>
      </c>
      <c r="DY30" s="83"/>
      <c r="DZ30" s="163">
        <f>+DZ29*DX30</f>
        <v>3330292.0150141604</v>
      </c>
      <c r="EF30" s="7">
        <f t="shared" si="18"/>
        <v>18</v>
      </c>
      <c r="EG30" s="8" t="s">
        <v>265</v>
      </c>
      <c r="EH30" s="8"/>
      <c r="EI30" s="78"/>
      <c r="EJ30" s="185">
        <f>-EJ27-EJ29</f>
        <v>-610439</v>
      </c>
      <c r="EK30" s="7"/>
      <c r="EN30" s="130"/>
      <c r="EO30" s="7"/>
      <c r="EP30" s="180"/>
      <c r="EQ30" s="180"/>
      <c r="ER30" s="180"/>
      <c r="ES30" s="180"/>
      <c r="ET30" s="7">
        <f t="shared" si="22"/>
        <v>18</v>
      </c>
      <c r="EW30" s="152"/>
      <c r="EX30" s="152"/>
      <c r="EY30" s="152"/>
      <c r="EZ30" s="7">
        <f t="shared" si="23"/>
        <v>18</v>
      </c>
      <c r="FB30" s="198"/>
      <c r="FC30" s="198"/>
      <c r="FD30" s="198"/>
      <c r="FE30" s="7">
        <f t="shared" si="25"/>
        <v>18</v>
      </c>
      <c r="FF30" s="249"/>
      <c r="FG30" s="435"/>
      <c r="FH30" s="435"/>
      <c r="FI30" s="435"/>
      <c r="FJ30" s="7">
        <f t="shared" si="36"/>
        <v>18</v>
      </c>
      <c r="FK30" s="268" t="s">
        <v>265</v>
      </c>
      <c r="FL30" s="377"/>
      <c r="FM30" s="377"/>
      <c r="FN30" s="385">
        <f>-FN26-FN28</f>
        <v>-809652.2135000001</v>
      </c>
      <c r="FO30" s="7">
        <f>FO29+1</f>
        <v>18</v>
      </c>
      <c r="FP30" s="8" t="s">
        <v>81</v>
      </c>
      <c r="FQ30" s="152">
        <v>8701714</v>
      </c>
      <c r="FR30" s="152">
        <f>+FQ30*-$FR$11</f>
        <v>-290376.1961800001</v>
      </c>
      <c r="FS30" s="152">
        <f>ROUND(+FR30*-$FS$11,0)</f>
        <v>101632</v>
      </c>
      <c r="FY30" s="149"/>
      <c r="GD30" s="7">
        <f t="shared" si="39"/>
        <v>15</v>
      </c>
      <c r="GE30" s="8" t="s">
        <v>138</v>
      </c>
      <c r="GF30" s="153">
        <f>SUM(GF26:GF29)</f>
        <v>1116401156.9</v>
      </c>
      <c r="GG30" s="153">
        <f>SUM(GG26:GG29)</f>
        <v>0</v>
      </c>
      <c r="GH30" s="153">
        <f>SUM(GH26:GH29)</f>
        <v>0</v>
      </c>
      <c r="GI30" s="153">
        <f>SUM(GI26:GI29)</f>
        <v>-187436722.10976845</v>
      </c>
      <c r="GJ30" s="153">
        <f>SUM(GJ26:GJ29)</f>
        <v>0</v>
      </c>
      <c r="GK30" s="153">
        <f>SUM(GK26:GK29)</f>
        <v>0</v>
      </c>
      <c r="GL30" s="153">
        <f>SUM(GL26:GL29)</f>
        <v>-1451500</v>
      </c>
      <c r="GM30" s="153">
        <f>SUM(GM25:GM29)</f>
        <v>0</v>
      </c>
      <c r="GN30" s="153">
        <f>SUM(GN25:GN29)</f>
        <v>0</v>
      </c>
      <c r="GO30" s="7">
        <f t="shared" si="40"/>
        <v>15</v>
      </c>
      <c r="GP30" s="8" t="s">
        <v>138</v>
      </c>
      <c r="GQ30" s="153">
        <f>SUM(GQ25:GQ29)</f>
        <v>0</v>
      </c>
      <c r="GR30" s="153">
        <f>SUM(GR25:GR29)</f>
        <v>0</v>
      </c>
      <c r="GS30" s="153">
        <f>SUM(GS25:GS29)</f>
        <v>0</v>
      </c>
      <c r="GT30" s="153">
        <f>SUM(GT25:GT29)</f>
        <v>84819852</v>
      </c>
      <c r="GU30" s="153">
        <f>SUM(GU26:GU29)</f>
        <v>0</v>
      </c>
      <c r="GV30" s="153">
        <f>SUM(GV25:GV29)</f>
        <v>0</v>
      </c>
      <c r="GW30" s="153">
        <f>SUM(GW25:GW29)</f>
        <v>0</v>
      </c>
      <c r="GX30" s="153">
        <f>SUM(GX25:GX29)</f>
        <v>0</v>
      </c>
      <c r="GY30" s="153">
        <f>SUM(GY26:GY29)</f>
        <v>0</v>
      </c>
      <c r="GZ30" s="7">
        <f t="shared" si="41"/>
        <v>15</v>
      </c>
      <c r="HA30" s="8" t="s">
        <v>138</v>
      </c>
      <c r="HB30" s="153">
        <f>SUM(HB25:HB29)</f>
        <v>0</v>
      </c>
      <c r="HC30" s="153">
        <f>SUM(HC25:HC29)</f>
        <v>0</v>
      </c>
      <c r="HD30" s="153">
        <f>SUM(HD25:HD29)</f>
        <v>0</v>
      </c>
      <c r="HE30" s="153">
        <f>SUM(HE25:HE29)</f>
        <v>0</v>
      </c>
      <c r="HF30" s="153">
        <f>SUM(HF25:HF29)</f>
        <v>0</v>
      </c>
      <c r="HG30" s="153">
        <f>SUM(HG25:HG29)</f>
        <v>0</v>
      </c>
      <c r="HH30" s="153">
        <f>SUM(HH25:HH29)</f>
        <v>0</v>
      </c>
      <c r="HI30" s="153">
        <f>SUM(HI25:HI29)</f>
        <v>136518</v>
      </c>
      <c r="HJ30" s="153">
        <f>SUM(HJ25:HJ29)</f>
        <v>0</v>
      </c>
      <c r="HK30" s="153">
        <f>SUM(HK25:HK29)</f>
        <v>0</v>
      </c>
      <c r="HL30" s="7">
        <f t="shared" si="42"/>
        <v>15</v>
      </c>
      <c r="HM30" s="8" t="s">
        <v>138</v>
      </c>
      <c r="HN30" s="153">
        <f>SUM(HN25:HN29)</f>
        <v>36040</v>
      </c>
      <c r="HO30" s="153">
        <f>SUM(HO25:HO29)</f>
        <v>0</v>
      </c>
      <c r="HP30" s="153">
        <f>SUM(HP25:HP29)</f>
        <v>0</v>
      </c>
      <c r="HQ30" s="153">
        <f>SUM(HQ26:HQ29)</f>
        <v>0</v>
      </c>
      <c r="HR30" s="153">
        <f>SUM(HR25:HR29)</f>
        <v>9600160.52</v>
      </c>
      <c r="HS30" s="153">
        <f>SUM(HS25:HS29)</f>
        <v>0</v>
      </c>
      <c r="HT30" s="153">
        <f>SUM(HT25:HT29)</f>
        <v>0</v>
      </c>
      <c r="HU30" s="153">
        <f>SUM(HU25:HU29)</f>
        <v>-1208799.3335602004</v>
      </c>
      <c r="HV30" s="153">
        <f>SUM(HV25:HV29)</f>
        <v>0</v>
      </c>
      <c r="HW30" s="153">
        <f>SUM(GG30:HV30)-HL30-GZ30-GO30</f>
        <v>-95504450.92332865</v>
      </c>
      <c r="HX30" s="153">
        <f>HW30+GF30</f>
        <v>1020896705.9766715</v>
      </c>
      <c r="HY30" s="7">
        <f t="shared" si="43"/>
        <v>15</v>
      </c>
      <c r="HZ30" s="8" t="s">
        <v>138</v>
      </c>
      <c r="IA30" s="174">
        <f>SUM(IA26:IA29)</f>
        <v>1116401156.9</v>
      </c>
      <c r="IB30" s="300">
        <f>SUM(IB26:IB29)</f>
        <v>-95504450.92332861</v>
      </c>
      <c r="IC30" s="300">
        <f>SUM(IC26:IC29)</f>
        <v>1020896705.9766715</v>
      </c>
      <c r="ID30" s="300">
        <f>SUM(ID26:ID29)</f>
        <v>0</v>
      </c>
      <c r="IE30" s="300">
        <f>SUM(IE26:IE29)</f>
        <v>1020896705.9766715</v>
      </c>
      <c r="IF30" s="118"/>
      <c r="IG30" s="118"/>
      <c r="IH30" s="130"/>
      <c r="II30" s="130"/>
      <c r="IJ30" s="153"/>
    </row>
    <row r="31" spans="1:244" ht="15" customHeight="1" thickBot="1" thickTop="1">
      <c r="A31" s="3">
        <f t="shared" si="27"/>
        <v>20</v>
      </c>
      <c r="C31" s="8" t="s">
        <v>398</v>
      </c>
      <c r="D31" s="54"/>
      <c r="E31" s="152">
        <v>-526</v>
      </c>
      <c r="F31" s="173">
        <v>-33418</v>
      </c>
      <c r="H31" s="3">
        <f t="shared" si="1"/>
        <v>19</v>
      </c>
      <c r="I31" s="97"/>
      <c r="K31" s="426"/>
      <c r="M31" s="7">
        <f t="shared" si="44"/>
        <v>19</v>
      </c>
      <c r="N31" s="11" t="s">
        <v>36</v>
      </c>
      <c r="O31" s="5">
        <v>1175688.03</v>
      </c>
      <c r="P31" s="5">
        <v>1136455.29144</v>
      </c>
      <c r="Q31" s="5">
        <f>P31-O31</f>
        <v>-39232.73855999997</v>
      </c>
      <c r="R31" s="7">
        <f t="shared" si="47"/>
        <v>19</v>
      </c>
      <c r="S31" s="8" t="s">
        <v>92</v>
      </c>
      <c r="T31" s="78"/>
      <c r="U31" s="218">
        <f>U18+U19+U20-T25-T26-T27</f>
        <v>22077426.156999998</v>
      </c>
      <c r="V31" s="7">
        <f t="shared" si="30"/>
        <v>19</v>
      </c>
      <c r="W31" s="249" t="s">
        <v>41</v>
      </c>
      <c r="X31" s="323"/>
      <c r="Y31" s="6">
        <f>-Y18+Y29-X31</f>
        <v>13638255.31207557</v>
      </c>
      <c r="Z31" s="7">
        <f t="shared" si="3"/>
        <v>19</v>
      </c>
      <c r="AA31" s="364" t="s">
        <v>360</v>
      </c>
      <c r="AB31" s="321">
        <v>0</v>
      </c>
      <c r="AC31" s="321">
        <v>38900</v>
      </c>
      <c r="AD31" s="348">
        <f>AC31-AB31</f>
        <v>38900</v>
      </c>
      <c r="AE31" s="133"/>
      <c r="AF31" s="133"/>
      <c r="AG31" s="133"/>
      <c r="AH31" s="133"/>
      <c r="AI31" s="480"/>
      <c r="AJ31" s="7"/>
      <c r="AK31" s="268"/>
      <c r="AL31" s="353"/>
      <c r="AM31" s="360"/>
      <c r="AN31" s="348"/>
      <c r="AO31" s="7"/>
      <c r="AP31" s="268"/>
      <c r="AQ31" s="353"/>
      <c r="AR31" s="359"/>
      <c r="AS31" s="359"/>
      <c r="AT31" s="7">
        <f t="shared" si="7"/>
        <v>19</v>
      </c>
      <c r="AU31" s="53" t="s">
        <v>57</v>
      </c>
      <c r="AV31" s="179"/>
      <c r="AW31" s="179"/>
      <c r="AX31" s="179">
        <f>AX29</f>
        <v>2279940</v>
      </c>
      <c r="AY31" s="7"/>
      <c r="AZ31" s="268"/>
      <c r="BA31" s="343"/>
      <c r="BB31" s="343"/>
      <c r="BC31" s="343"/>
      <c r="BD31" s="7">
        <f t="shared" si="31"/>
        <v>19</v>
      </c>
      <c r="BE31" s="372" t="s">
        <v>471</v>
      </c>
      <c r="BG31" s="345"/>
      <c r="BH31" s="345">
        <v>-7035747.78</v>
      </c>
      <c r="BI31" s="345"/>
      <c r="BJ31" s="7"/>
      <c r="BR31" s="7">
        <f t="shared" si="48"/>
        <v>19</v>
      </c>
      <c r="BS31" s="78" t="s">
        <v>495</v>
      </c>
      <c r="BT31" s="163">
        <v>73891</v>
      </c>
      <c r="BU31" s="422"/>
      <c r="BV31" s="156">
        <f>BU31-BT31</f>
        <v>-73891</v>
      </c>
      <c r="BW31" s="7"/>
      <c r="BX31" s="299"/>
      <c r="BY31" s="299"/>
      <c r="BZ31" s="299"/>
      <c r="CA31" s="299"/>
      <c r="CB31" s="325"/>
      <c r="CD31" s="78"/>
      <c r="CE31" s="78"/>
      <c r="CF31" s="78"/>
      <c r="CG31" s="7"/>
      <c r="CH31" s="154"/>
      <c r="CI31" s="154"/>
      <c r="CJ31" s="154"/>
      <c r="CK31" s="154"/>
      <c r="CW31" s="152"/>
      <c r="CX31" s="152"/>
      <c r="CY31" s="152"/>
      <c r="CZ31" s="7">
        <f t="shared" si="34"/>
        <v>19</v>
      </c>
      <c r="DD31" s="156"/>
      <c r="DQ31" s="263"/>
      <c r="DV31" s="7">
        <f t="shared" si="17"/>
        <v>19</v>
      </c>
      <c r="DW31" s="263" t="s">
        <v>255</v>
      </c>
      <c r="DX31" s="7"/>
      <c r="DY31" s="7"/>
      <c r="DZ31" s="306">
        <f>(+DY14+DY19+DY24)*DX30</f>
        <v>3153150.224</v>
      </c>
      <c r="EF31" s="7"/>
      <c r="EG31" s="78"/>
      <c r="EH31" s="78"/>
      <c r="EI31" s="78"/>
      <c r="EJ31" s="302"/>
      <c r="EK31" s="263"/>
      <c r="EN31" s="130"/>
      <c r="EO31" s="7"/>
      <c r="EP31" s="152"/>
      <c r="EQ31" s="152"/>
      <c r="ER31" s="152"/>
      <c r="ES31" s="152"/>
      <c r="ET31" s="7">
        <f t="shared" si="22"/>
        <v>19</v>
      </c>
      <c r="EU31" s="44" t="s">
        <v>82</v>
      </c>
      <c r="EV31" s="44"/>
      <c r="EW31" s="324"/>
      <c r="EX31" s="324"/>
      <c r="EY31" s="152"/>
      <c r="EZ31" s="7">
        <f t="shared" si="23"/>
        <v>19</v>
      </c>
      <c r="FA31" s="78" t="s">
        <v>265</v>
      </c>
      <c r="FB31" s="198"/>
      <c r="FC31" s="198"/>
      <c r="FD31" s="219">
        <f>FD25-FD27</f>
        <v>-8718600.80734616</v>
      </c>
      <c r="FE31" s="7">
        <f t="shared" si="25"/>
        <v>19</v>
      </c>
      <c r="FF31" s="249" t="s">
        <v>321</v>
      </c>
      <c r="FG31" s="434">
        <v>993.9390845999999</v>
      </c>
      <c r="FH31" s="434">
        <v>1182.9827352425327</v>
      </c>
      <c r="FI31" s="177">
        <f>FH31-FG31</f>
        <v>189.04365064253284</v>
      </c>
      <c r="FJ31" s="7">
        <f t="shared" si="36"/>
        <v>19</v>
      </c>
      <c r="FK31" s="180"/>
      <c r="FL31" s="180"/>
      <c r="FM31" s="180"/>
      <c r="FN31" s="180"/>
      <c r="FO31" s="7">
        <f>FO30+1</f>
        <v>19</v>
      </c>
      <c r="FP31" s="8" t="s">
        <v>84</v>
      </c>
      <c r="FQ31" s="152">
        <f>+CP16</f>
        <v>1668897.0304999999</v>
      </c>
      <c r="FR31" s="152">
        <f>+FQ31*-$FR$11</f>
        <v>-55691.09390778501</v>
      </c>
      <c r="FS31" s="152">
        <f>ROUND(+FR31*-$FS$11,0)</f>
        <v>19492</v>
      </c>
      <c r="GD31" s="7">
        <f t="shared" si="39"/>
        <v>16</v>
      </c>
      <c r="GE31" s="8"/>
      <c r="GF31" s="131"/>
      <c r="GG31" s="131"/>
      <c r="GH31" s="131"/>
      <c r="GI31" s="131"/>
      <c r="GJ31" s="131"/>
      <c r="GK31" s="131"/>
      <c r="GL31" s="131"/>
      <c r="GM31" s="131"/>
      <c r="GN31" s="131"/>
      <c r="GO31" s="7">
        <f t="shared" si="40"/>
        <v>16</v>
      </c>
      <c r="GP31" s="8"/>
      <c r="GQ31" s="131"/>
      <c r="GR31" s="131"/>
      <c r="GS31" s="131"/>
      <c r="GT31" s="131"/>
      <c r="GU31" s="131"/>
      <c r="GV31" s="131"/>
      <c r="GW31" s="131"/>
      <c r="GX31" s="131"/>
      <c r="GY31" s="131"/>
      <c r="GZ31" s="7">
        <f t="shared" si="41"/>
        <v>16</v>
      </c>
      <c r="HA31" s="8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7">
        <f t="shared" si="42"/>
        <v>16</v>
      </c>
      <c r="HM31" s="8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7">
        <f t="shared" si="43"/>
        <v>16</v>
      </c>
      <c r="HZ31" s="8"/>
      <c r="IA31" s="153"/>
      <c r="IB31" s="192"/>
      <c r="IC31" s="192"/>
      <c r="ID31" s="192"/>
      <c r="IE31" s="192"/>
      <c r="IF31" s="131"/>
      <c r="IG31" s="154"/>
      <c r="IH31" s="130"/>
      <c r="II31" s="130"/>
      <c r="IJ31" s="153"/>
    </row>
    <row r="32" spans="1:244" ht="15" customHeight="1" thickBot="1" thickTop="1">
      <c r="A32" s="3">
        <f t="shared" si="27"/>
        <v>21</v>
      </c>
      <c r="C32" s="78" t="s">
        <v>399</v>
      </c>
      <c r="D32" s="8"/>
      <c r="E32" s="152">
        <v>8717</v>
      </c>
      <c r="F32" s="173">
        <v>529236</v>
      </c>
      <c r="H32" s="3">
        <f t="shared" si="1"/>
        <v>20</v>
      </c>
      <c r="I32" s="78" t="s">
        <v>275</v>
      </c>
      <c r="L32" s="152">
        <f>SUM(K30:K31)</f>
        <v>-15633</v>
      </c>
      <c r="M32" s="7">
        <f t="shared" si="44"/>
        <v>20</v>
      </c>
      <c r="Q32" s="198"/>
      <c r="R32" s="7">
        <f t="shared" si="47"/>
        <v>20</v>
      </c>
      <c r="S32" s="8" t="s">
        <v>93</v>
      </c>
      <c r="T32" s="8"/>
      <c r="U32" s="504">
        <f>-SUM(U30:U31)</f>
        <v>-9826242.439395411</v>
      </c>
      <c r="V32" s="7">
        <f t="shared" si="30"/>
        <v>20</v>
      </c>
      <c r="W32" s="249"/>
      <c r="X32" s="487"/>
      <c r="Y32" s="65" t="s">
        <v>175</v>
      </c>
      <c r="Z32" s="7">
        <f t="shared" si="3"/>
        <v>20</v>
      </c>
      <c r="AA32" s="268" t="s">
        <v>181</v>
      </c>
      <c r="AB32" s="365">
        <f>SUM(AB29:AB31)</f>
        <v>0</v>
      </c>
      <c r="AC32" s="365">
        <f>SUM(AC29:AC31)</f>
        <v>620425.7340000555</v>
      </c>
      <c r="AD32" s="365">
        <f>SUM(AD29:AD31)</f>
        <v>620425.7340000555</v>
      </c>
      <c r="AE32" s="144"/>
      <c r="AF32" s="144"/>
      <c r="AG32" s="144"/>
      <c r="AH32" s="144"/>
      <c r="AI32" s="34"/>
      <c r="AJ32" s="7"/>
      <c r="AK32" s="268"/>
      <c r="AL32" s="353"/>
      <c r="AM32" s="353"/>
      <c r="AN32" s="479"/>
      <c r="AO32" s="7"/>
      <c r="AP32" s="263"/>
      <c r="AQ32" s="360"/>
      <c r="AR32" s="360"/>
      <c r="AS32" s="348"/>
      <c r="AT32" s="7">
        <f t="shared" si="7"/>
        <v>20</v>
      </c>
      <c r="AU32" s="156"/>
      <c r="AV32" s="165"/>
      <c r="AW32" s="165"/>
      <c r="AX32" s="158"/>
      <c r="AY32" s="7"/>
      <c r="AZ32" s="339"/>
      <c r="BA32" s="268"/>
      <c r="BB32" s="353"/>
      <c r="BC32" s="359"/>
      <c r="BD32" s="7">
        <f t="shared" si="31"/>
        <v>20</v>
      </c>
      <c r="BE32" s="425" t="s">
        <v>447</v>
      </c>
      <c r="BG32" s="345"/>
      <c r="BH32" s="345">
        <v>84819852</v>
      </c>
      <c r="BI32" s="345"/>
      <c r="BJ32" s="7"/>
      <c r="BR32" s="7">
        <f t="shared" si="48"/>
        <v>20</v>
      </c>
      <c r="BS32" s="78" t="s">
        <v>491</v>
      </c>
      <c r="BT32" s="163"/>
      <c r="BU32" s="422"/>
      <c r="BV32" s="156"/>
      <c r="BX32" s="299"/>
      <c r="BY32" s="299"/>
      <c r="BZ32" s="299"/>
      <c r="CA32" s="299"/>
      <c r="CB32" s="326"/>
      <c r="CD32" s="78"/>
      <c r="CE32" s="78"/>
      <c r="CF32" s="78"/>
      <c r="CG32" s="7"/>
      <c r="CW32" s="152"/>
      <c r="CX32" s="152"/>
      <c r="CY32" s="152"/>
      <c r="CZ32" s="7">
        <f t="shared" si="34"/>
        <v>20</v>
      </c>
      <c r="DA32" s="257" t="s">
        <v>57</v>
      </c>
      <c r="DB32" s="414">
        <f>+DB29-DB30</f>
        <v>415800</v>
      </c>
      <c r="DC32" s="413">
        <f>+DB32</f>
        <v>415800</v>
      </c>
      <c r="DD32" s="299"/>
      <c r="DV32" s="7">
        <f t="shared" si="17"/>
        <v>20</v>
      </c>
      <c r="DW32" s="266" t="s">
        <v>57</v>
      </c>
      <c r="DZ32" s="509">
        <f>DZ30-DZ31</f>
        <v>177141.7910141605</v>
      </c>
      <c r="EF32" s="263"/>
      <c r="EG32" s="302"/>
      <c r="EH32" s="302"/>
      <c r="EI32" s="302"/>
      <c r="EJ32" s="311"/>
      <c r="EN32" s="130"/>
      <c r="EO32" s="7"/>
      <c r="EP32" s="157"/>
      <c r="EQ32" s="157"/>
      <c r="ER32" s="157"/>
      <c r="ES32" s="157"/>
      <c r="ET32" s="7">
        <f t="shared" si="22"/>
        <v>20</v>
      </c>
      <c r="EU32" s="93" t="s">
        <v>73</v>
      </c>
      <c r="EV32" s="93"/>
      <c r="EW32" s="247"/>
      <c r="EX32" s="247"/>
      <c r="EY32" s="152"/>
      <c r="EZ32" s="7">
        <f t="shared" si="23"/>
        <v>20</v>
      </c>
      <c r="FE32" s="7">
        <f t="shared" si="25"/>
        <v>20</v>
      </c>
      <c r="FF32" s="249"/>
      <c r="FG32" s="435"/>
      <c r="FH32" s="435"/>
      <c r="FI32" s="435"/>
      <c r="FJ32" s="7">
        <f t="shared" si="36"/>
        <v>20</v>
      </c>
      <c r="FK32" s="302"/>
      <c r="FL32" s="302"/>
      <c r="FM32" s="302"/>
      <c r="FN32" s="302"/>
      <c r="FO32" s="7">
        <f t="shared" si="26"/>
        <v>20</v>
      </c>
      <c r="FP32" s="8" t="s">
        <v>86</v>
      </c>
      <c r="FQ32" s="152">
        <v>1192660.1869</v>
      </c>
      <c r="FR32" s="152">
        <f>+FQ32*-$FR$11</f>
        <v>-39799.07043685301</v>
      </c>
      <c r="FS32" s="152">
        <f>ROUND(+FR32*-$FS$11,0)</f>
        <v>13930</v>
      </c>
      <c r="FY32" s="4" t="s">
        <v>190</v>
      </c>
      <c r="GA32" s="7" t="s">
        <v>300</v>
      </c>
      <c r="GB32" s="7"/>
      <c r="GC32" s="7" t="s">
        <v>95</v>
      </c>
      <c r="GD32" s="7">
        <f t="shared" si="39"/>
        <v>17</v>
      </c>
      <c r="GE32" s="53" t="s">
        <v>91</v>
      </c>
      <c r="GF32" s="68">
        <v>79069006.45</v>
      </c>
      <c r="GG32" s="68">
        <v>0</v>
      </c>
      <c r="GH32" s="68">
        <v>0</v>
      </c>
      <c r="GI32" s="68">
        <f>Q30</f>
        <v>16327780.27092138</v>
      </c>
      <c r="GJ32" s="68">
        <v>0</v>
      </c>
      <c r="GK32" s="68">
        <v>0</v>
      </c>
      <c r="GL32" s="68"/>
      <c r="GM32" s="68"/>
      <c r="GN32" s="68"/>
      <c r="GO32" s="7">
        <f t="shared" si="40"/>
        <v>17</v>
      </c>
      <c r="GP32" s="8" t="s">
        <v>91</v>
      </c>
      <c r="GQ32" s="68"/>
      <c r="GR32" s="68"/>
      <c r="GS32" s="68"/>
      <c r="GT32" s="68"/>
      <c r="GU32" s="68">
        <v>0</v>
      </c>
      <c r="GV32" s="68"/>
      <c r="GW32" s="68">
        <v>0</v>
      </c>
      <c r="GX32" s="68">
        <v>0</v>
      </c>
      <c r="GY32" s="68">
        <v>0</v>
      </c>
      <c r="GZ32" s="7">
        <f t="shared" si="41"/>
        <v>17</v>
      </c>
      <c r="HA32" s="53" t="s">
        <v>91</v>
      </c>
      <c r="HB32" s="68">
        <v>0</v>
      </c>
      <c r="HC32" s="68">
        <v>0</v>
      </c>
      <c r="HD32" s="68">
        <v>0</v>
      </c>
      <c r="HE32" s="68">
        <v>0</v>
      </c>
      <c r="HF32" s="68">
        <v>0</v>
      </c>
      <c r="HG32" s="68">
        <v>0</v>
      </c>
      <c r="HH32" s="68">
        <v>0</v>
      </c>
      <c r="HI32" s="68">
        <f>DU15</f>
        <v>673611</v>
      </c>
      <c r="HJ32" s="68">
        <v>0</v>
      </c>
      <c r="HK32" s="68">
        <v>0</v>
      </c>
      <c r="HL32" s="7">
        <f t="shared" si="42"/>
        <v>17</v>
      </c>
      <c r="HM32" s="53" t="s">
        <v>91</v>
      </c>
      <c r="HN32" s="68">
        <f>EJ15</f>
        <v>139975</v>
      </c>
      <c r="HO32" s="68">
        <v>0</v>
      </c>
      <c r="HP32" s="68"/>
      <c r="HQ32" s="68">
        <v>0</v>
      </c>
      <c r="HR32" s="68">
        <v>0</v>
      </c>
      <c r="HS32" s="68"/>
      <c r="HT32" s="68"/>
      <c r="HU32" s="68">
        <f>FR16</f>
        <v>-27149.36482000001</v>
      </c>
      <c r="HV32" s="68"/>
      <c r="HW32" s="68">
        <f>SUM(GG32:HV32)-HL32-GZ32-GO32</f>
        <v>17114216.90610138</v>
      </c>
      <c r="HX32" s="68">
        <f aca="true" t="shared" si="49" ref="HX32:HX46">HW32+GF32</f>
        <v>96183223.35610138</v>
      </c>
      <c r="HY32" s="7">
        <f t="shared" si="43"/>
        <v>17</v>
      </c>
      <c r="HZ32" s="96" t="s">
        <v>91</v>
      </c>
      <c r="IA32" s="153">
        <f aca="true" t="shared" si="50" ref="IA32:IA46">+GF32</f>
        <v>79069006.45</v>
      </c>
      <c r="IB32" s="68">
        <f>+HW32</f>
        <v>17114216.90610138</v>
      </c>
      <c r="IC32" s="68">
        <f>SUM(IA32:IB32)</f>
        <v>96183223.35610138</v>
      </c>
      <c r="ID32" s="292">
        <v>0</v>
      </c>
      <c r="IE32" s="68">
        <f>SUM(IC32:ID32)</f>
        <v>96183223.35610138</v>
      </c>
      <c r="IF32" s="68"/>
      <c r="IG32" s="6"/>
      <c r="IH32" s="130"/>
      <c r="II32" s="130"/>
      <c r="IJ32" s="153"/>
    </row>
    <row r="33" spans="1:244" ht="15" customHeight="1" thickTop="1">
      <c r="A33" s="3">
        <f t="shared" si="27"/>
        <v>22</v>
      </c>
      <c r="C33" s="8" t="s">
        <v>400</v>
      </c>
      <c r="E33" s="152">
        <v>-19</v>
      </c>
      <c r="F33" s="173">
        <v>-1037</v>
      </c>
      <c r="H33" s="3">
        <f t="shared" si="1"/>
        <v>21</v>
      </c>
      <c r="I33" s="97"/>
      <c r="K33" s="212"/>
      <c r="M33" s="7">
        <f t="shared" si="44"/>
        <v>21</v>
      </c>
      <c r="N33" s="8" t="s">
        <v>181</v>
      </c>
      <c r="O33" s="153">
        <f>SUM(O29:O31)</f>
        <v>1253562788.67</v>
      </c>
      <c r="P33" s="153">
        <f>SUM(P29:P31)</f>
        <v>1082414614.092593</v>
      </c>
      <c r="Q33" s="153">
        <f>SUM(Q29:Q31)</f>
        <v>-171148174.57740706</v>
      </c>
      <c r="R33" s="7"/>
      <c r="S33" s="8"/>
      <c r="T33" s="9"/>
      <c r="U33" s="78"/>
      <c r="V33" s="7">
        <f t="shared" si="30"/>
        <v>21</v>
      </c>
      <c r="W33" s="249" t="s">
        <v>51</v>
      </c>
      <c r="X33" s="187">
        <f>FIT</f>
        <v>0.35</v>
      </c>
      <c r="Y33" s="152">
        <f>+Y31*FIT</f>
        <v>4773389.359226449</v>
      </c>
      <c r="Z33" s="7">
        <f t="shared" si="3"/>
        <v>21</v>
      </c>
      <c r="AB33" s="398"/>
      <c r="AC33" s="398"/>
      <c r="AD33" s="398"/>
      <c r="AE33" s="21"/>
      <c r="AF33" s="240"/>
      <c r="AG33" s="240"/>
      <c r="AH33" s="240"/>
      <c r="AI33" s="240"/>
      <c r="AJ33" s="7"/>
      <c r="AK33" s="268"/>
      <c r="AL33" s="353"/>
      <c r="AM33" s="359"/>
      <c r="AN33" s="158"/>
      <c r="AO33" s="7"/>
      <c r="AP33" s="268"/>
      <c r="AQ33" s="353"/>
      <c r="AR33" s="353"/>
      <c r="AS33" s="353"/>
      <c r="AT33" s="7">
        <f t="shared" si="7"/>
        <v>21</v>
      </c>
      <c r="AU33" s="8" t="s">
        <v>37</v>
      </c>
      <c r="AV33" s="241"/>
      <c r="AW33" s="241">
        <f>FIT</f>
        <v>0.35</v>
      </c>
      <c r="AX33" s="5">
        <f>ROUND(-AX31*AW33,0)</f>
        <v>-797979</v>
      </c>
      <c r="AY33" s="7"/>
      <c r="AZ33" s="339"/>
      <c r="BA33" s="263"/>
      <c r="BB33" s="360"/>
      <c r="BC33" s="360"/>
      <c r="BD33" s="7">
        <f t="shared" si="31"/>
        <v>21</v>
      </c>
      <c r="BE33" s="373" t="s">
        <v>637</v>
      </c>
      <c r="BG33" s="345"/>
      <c r="BH33" s="345">
        <v>-728639.38</v>
      </c>
      <c r="BI33" s="345"/>
      <c r="BJ33" s="7"/>
      <c r="BR33" s="7">
        <f t="shared" si="48"/>
        <v>21</v>
      </c>
      <c r="BS33" s="78" t="s">
        <v>492</v>
      </c>
      <c r="BT33" s="163"/>
      <c r="BU33" s="422"/>
      <c r="BV33" s="156"/>
      <c r="BX33" s="299"/>
      <c r="BY33" s="299"/>
      <c r="BZ33" s="299"/>
      <c r="CA33" s="299"/>
      <c r="CB33" s="326"/>
      <c r="CC33" s="78"/>
      <c r="CD33" s="154"/>
      <c r="CE33" s="154"/>
      <c r="CF33" s="154"/>
      <c r="CG33" s="7"/>
      <c r="CW33" s="152"/>
      <c r="CX33" s="152"/>
      <c r="CY33" s="152"/>
      <c r="CZ33" s="7">
        <f t="shared" si="34"/>
        <v>21</v>
      </c>
      <c r="DA33" s="257"/>
      <c r="DB33" s="416"/>
      <c r="DC33" s="404"/>
      <c r="DV33" s="7">
        <f t="shared" si="17"/>
        <v>21</v>
      </c>
      <c r="DW33" s="305"/>
      <c r="DZ33" s="163"/>
      <c r="EF33" s="8"/>
      <c r="EG33" s="302"/>
      <c r="EH33" s="302"/>
      <c r="EI33" s="302"/>
      <c r="EJ33" s="302"/>
      <c r="EN33" s="153"/>
      <c r="EO33" s="7"/>
      <c r="ET33" s="7">
        <f t="shared" si="22"/>
        <v>21</v>
      </c>
      <c r="EU33" s="78" t="s">
        <v>144</v>
      </c>
      <c r="EZ33" s="7">
        <f t="shared" si="23"/>
        <v>21</v>
      </c>
      <c r="FA33" s="78" t="s">
        <v>569</v>
      </c>
      <c r="FE33" s="7">
        <f t="shared" si="25"/>
        <v>21</v>
      </c>
      <c r="FF33" s="263" t="s">
        <v>342</v>
      </c>
      <c r="FG33" s="310"/>
      <c r="FH33" s="310"/>
      <c r="FI33" s="310">
        <f>FI24+FI29+FI31</f>
        <v>-6062730.08553775</v>
      </c>
      <c r="FJ33" s="7"/>
      <c r="FK33" s="302"/>
      <c r="FL33" s="302"/>
      <c r="FM33" s="302"/>
      <c r="FN33" s="302"/>
      <c r="FO33" s="7">
        <f t="shared" si="26"/>
        <v>21</v>
      </c>
      <c r="FP33" s="8" t="s">
        <v>88</v>
      </c>
      <c r="FQ33" s="183">
        <f>SUM(FQ28:FQ32)</f>
        <v>18039761.2174</v>
      </c>
      <c r="FR33" s="183">
        <f>SUM(FR28:FR32)</f>
        <v>-601986.8318246382</v>
      </c>
      <c r="FS33" s="183">
        <f>SUM(FS28:FS32)</f>
        <v>210696</v>
      </c>
      <c r="FY33" s="10" t="s">
        <v>215</v>
      </c>
      <c r="FZ33" s="26" t="s">
        <v>216</v>
      </c>
      <c r="GA33" s="44" t="s">
        <v>96</v>
      </c>
      <c r="GB33" s="44" t="s">
        <v>105</v>
      </c>
      <c r="GC33" s="44" t="s">
        <v>106</v>
      </c>
      <c r="GD33" s="7">
        <f t="shared" si="39"/>
        <v>18</v>
      </c>
      <c r="GE33" s="8" t="s">
        <v>139</v>
      </c>
      <c r="GF33" s="66">
        <v>6532374.97</v>
      </c>
      <c r="GG33" s="66"/>
      <c r="GH33" s="66"/>
      <c r="GI33" s="66">
        <f>Q31</f>
        <v>-39232.73855999997</v>
      </c>
      <c r="GJ33" s="66"/>
      <c r="GK33" s="66"/>
      <c r="GL33" s="66"/>
      <c r="GM33" s="66"/>
      <c r="GN33" s="66"/>
      <c r="GO33" s="7">
        <f t="shared" si="40"/>
        <v>18</v>
      </c>
      <c r="GP33" s="8" t="s">
        <v>139</v>
      </c>
      <c r="GQ33" s="66"/>
      <c r="GR33" s="66"/>
      <c r="GS33" s="66"/>
      <c r="GT33" s="66"/>
      <c r="GU33" s="66">
        <v>0</v>
      </c>
      <c r="GV33" s="66">
        <f>+BV21+BV22</f>
        <v>2316576.98</v>
      </c>
      <c r="GW33" s="66"/>
      <c r="GX33" s="66"/>
      <c r="GY33" s="66"/>
      <c r="GZ33" s="7">
        <f t="shared" si="41"/>
        <v>18</v>
      </c>
      <c r="HA33" s="8" t="s">
        <v>139</v>
      </c>
      <c r="HB33" s="66"/>
      <c r="HC33" s="66"/>
      <c r="HD33" s="66"/>
      <c r="HE33" s="66"/>
      <c r="HF33" s="66"/>
      <c r="HG33" s="66"/>
      <c r="HH33" s="66"/>
      <c r="HI33" s="66">
        <f>+DU16</f>
        <v>50252</v>
      </c>
      <c r="HJ33" s="66"/>
      <c r="HK33" s="66"/>
      <c r="HL33" s="7">
        <f t="shared" si="42"/>
        <v>18</v>
      </c>
      <c r="HM33" s="8" t="s">
        <v>139</v>
      </c>
      <c r="HN33" s="66">
        <f>EJ16</f>
        <v>8702</v>
      </c>
      <c r="HO33" s="66"/>
      <c r="HP33" s="66"/>
      <c r="HQ33" s="156">
        <f>EW28</f>
        <v>-301025.04</v>
      </c>
      <c r="HR33" s="66"/>
      <c r="HS33" s="66"/>
      <c r="HT33" s="66"/>
      <c r="HU33" s="482"/>
      <c r="HV33" s="66"/>
      <c r="HW33" s="66">
        <f>SUM(GG33:HV33)-HL33-GZ33-GO33</f>
        <v>2035273.20144</v>
      </c>
      <c r="HX33" s="66">
        <f t="shared" si="49"/>
        <v>8567648.17144</v>
      </c>
      <c r="HY33" s="7">
        <f t="shared" si="43"/>
        <v>18</v>
      </c>
      <c r="HZ33" s="8" t="s">
        <v>139</v>
      </c>
      <c r="IA33" s="152">
        <f t="shared" si="50"/>
        <v>6532374.97</v>
      </c>
      <c r="IB33" s="192">
        <f aca="true" t="shared" si="51" ref="IB33:IB46">+HW33</f>
        <v>2035273.20144</v>
      </c>
      <c r="IC33" s="292">
        <f>SUM(IA33:IB33)</f>
        <v>8567648.17144</v>
      </c>
      <c r="ID33" s="292"/>
      <c r="IE33" s="292">
        <f>SUM(IC33:ID33)</f>
        <v>8567648.17144</v>
      </c>
      <c r="IF33" s="66"/>
      <c r="IG33" s="118"/>
      <c r="IH33" s="130"/>
      <c r="II33" s="130"/>
      <c r="IJ33" s="153"/>
    </row>
    <row r="34" spans="1:244" ht="15" customHeight="1" thickBot="1">
      <c r="A34" s="3">
        <f t="shared" si="27"/>
        <v>23</v>
      </c>
      <c r="C34" s="8" t="s">
        <v>401</v>
      </c>
      <c r="E34" s="152">
        <v>-4303</v>
      </c>
      <c r="F34" s="173">
        <v>-236515</v>
      </c>
      <c r="H34" s="3">
        <f t="shared" si="1"/>
        <v>22</v>
      </c>
      <c r="I34" s="8" t="s">
        <v>130</v>
      </c>
      <c r="K34" s="212"/>
      <c r="M34" s="7">
        <f t="shared" si="44"/>
        <v>22</v>
      </c>
      <c r="O34" s="189"/>
      <c r="P34" s="189"/>
      <c r="Q34" s="189"/>
      <c r="R34" s="263"/>
      <c r="S34" s="78"/>
      <c r="T34" s="78"/>
      <c r="U34" s="78"/>
      <c r="V34" s="7">
        <f t="shared" si="30"/>
        <v>22</v>
      </c>
      <c r="W34" s="249" t="s">
        <v>265</v>
      </c>
      <c r="X34" s="485"/>
      <c r="Y34" s="539">
        <f>-Y33</f>
        <v>-4773389.359226449</v>
      </c>
      <c r="Z34" s="7">
        <f t="shared" si="3"/>
        <v>22</v>
      </c>
      <c r="AA34" s="341" t="s">
        <v>125</v>
      </c>
      <c r="AB34" s="394"/>
      <c r="AC34" s="394"/>
      <c r="AD34" s="394"/>
      <c r="AE34" s="20"/>
      <c r="AF34" s="240"/>
      <c r="AG34" s="240"/>
      <c r="AH34" s="240"/>
      <c r="AI34" s="240"/>
      <c r="AJ34" s="7"/>
      <c r="AK34" s="263"/>
      <c r="AL34" s="360"/>
      <c r="AM34" s="360"/>
      <c r="AN34" s="475"/>
      <c r="AO34" s="7"/>
      <c r="AP34" s="268"/>
      <c r="AQ34" s="343"/>
      <c r="AR34" s="343"/>
      <c r="AS34" s="343"/>
      <c r="AT34" s="7">
        <f t="shared" si="7"/>
        <v>22</v>
      </c>
      <c r="AU34" s="8" t="s">
        <v>265</v>
      </c>
      <c r="AV34" s="133"/>
      <c r="AW34" s="133"/>
      <c r="AX34" s="242">
        <f>-AX31-AX33</f>
        <v>-1481961</v>
      </c>
      <c r="AY34" s="7"/>
      <c r="AZ34" s="339"/>
      <c r="BA34" s="268"/>
      <c r="BB34" s="353"/>
      <c r="BC34" s="353"/>
      <c r="BD34" s="7">
        <f t="shared" si="31"/>
        <v>22</v>
      </c>
      <c r="BE34" s="373" t="s">
        <v>638</v>
      </c>
      <c r="BF34" s="133"/>
      <c r="BG34" s="345"/>
      <c r="BH34" s="345">
        <v>-78841.49</v>
      </c>
      <c r="BI34" s="345"/>
      <c r="BJ34" s="7"/>
      <c r="BR34" s="7">
        <f t="shared" si="48"/>
        <v>22</v>
      </c>
      <c r="BS34" s="78" t="s">
        <v>493</v>
      </c>
      <c r="BT34" s="163">
        <v>6697.2141504</v>
      </c>
      <c r="BU34" s="422"/>
      <c r="BV34" s="156">
        <f>BU34-BT34</f>
        <v>-6697.2141504</v>
      </c>
      <c r="BW34" s="7"/>
      <c r="BX34" s="299"/>
      <c r="BY34" s="299"/>
      <c r="BZ34" s="299"/>
      <c r="CA34" s="299"/>
      <c r="CB34" s="326"/>
      <c r="CC34" s="196"/>
      <c r="CG34" s="7"/>
      <c r="CW34" s="152"/>
      <c r="CX34" s="152"/>
      <c r="CY34" s="152"/>
      <c r="CZ34" s="7">
        <f t="shared" si="34"/>
        <v>22</v>
      </c>
      <c r="DA34" s="257"/>
      <c r="DB34" s="133"/>
      <c r="DC34" s="315"/>
      <c r="DE34" s="159"/>
      <c r="DF34" s="159"/>
      <c r="DV34" s="7">
        <f t="shared" si="17"/>
        <v>22</v>
      </c>
      <c r="DW34" s="263" t="s">
        <v>37</v>
      </c>
      <c r="DX34" s="187">
        <f>FIT</f>
        <v>0.35</v>
      </c>
      <c r="DY34" s="187"/>
      <c r="DZ34" s="510">
        <f>ROUND(-DZ32*DX34,0)</f>
        <v>-62000</v>
      </c>
      <c r="EF34" s="7"/>
      <c r="EG34" s="302"/>
      <c r="EH34" s="302"/>
      <c r="EI34" s="302"/>
      <c r="EJ34" s="302"/>
      <c r="EN34" s="191"/>
      <c r="EO34" s="7"/>
      <c r="EP34" s="153"/>
      <c r="EQ34" s="153"/>
      <c r="ER34" s="153"/>
      <c r="ES34" s="153"/>
      <c r="ET34" s="7">
        <f t="shared" si="22"/>
        <v>22</v>
      </c>
      <c r="EU34" s="97" t="s">
        <v>141</v>
      </c>
      <c r="EV34" s="180">
        <v>3313915.7</v>
      </c>
      <c r="EZ34" s="7">
        <f t="shared" si="23"/>
        <v>22</v>
      </c>
      <c r="FA34" s="54" t="s">
        <v>309</v>
      </c>
      <c r="FB34" s="160"/>
      <c r="FC34" s="160"/>
      <c r="FD34" s="160"/>
      <c r="FE34" s="7">
        <f t="shared" si="25"/>
        <v>22</v>
      </c>
      <c r="FF34" s="263"/>
      <c r="FG34" s="173"/>
      <c r="FH34" s="152"/>
      <c r="FI34" s="178"/>
      <c r="FJ34" s="7"/>
      <c r="FK34" s="302"/>
      <c r="FL34" s="302"/>
      <c r="FM34" s="302"/>
      <c r="FN34" s="302"/>
      <c r="FO34" s="7">
        <f t="shared" si="26"/>
        <v>22</v>
      </c>
      <c r="FP34" s="8"/>
      <c r="FQ34" s="183"/>
      <c r="FR34" s="183"/>
      <c r="FS34" s="183"/>
      <c r="FY34" s="12"/>
      <c r="FZ34" s="12"/>
      <c r="GA34" s="12"/>
      <c r="GB34" s="12"/>
      <c r="GC34" s="12"/>
      <c r="GD34" s="7">
        <f t="shared" si="39"/>
        <v>19</v>
      </c>
      <c r="GE34" s="8" t="s">
        <v>140</v>
      </c>
      <c r="GF34" s="66">
        <v>67507444.10000001</v>
      </c>
      <c r="GG34" s="66"/>
      <c r="GH34" s="66"/>
      <c r="GI34" s="66"/>
      <c r="GJ34" s="66"/>
      <c r="GK34" s="66"/>
      <c r="GL34" s="66"/>
      <c r="GM34" s="66"/>
      <c r="GN34" s="66"/>
      <c r="GO34" s="7">
        <f t="shared" si="40"/>
        <v>19</v>
      </c>
      <c r="GP34" s="8" t="s">
        <v>140</v>
      </c>
      <c r="GQ34" s="66"/>
      <c r="GR34" s="66"/>
      <c r="GS34" s="66"/>
      <c r="GT34" s="66"/>
      <c r="GU34" s="66">
        <v>0</v>
      </c>
      <c r="GV34" s="66">
        <f>+BV23</f>
        <v>1032692.9351999983</v>
      </c>
      <c r="GW34" s="66"/>
      <c r="GX34" s="66"/>
      <c r="GY34" s="66"/>
      <c r="GZ34" s="7">
        <f t="shared" si="41"/>
        <v>19</v>
      </c>
      <c r="HA34" s="8" t="s">
        <v>140</v>
      </c>
      <c r="HB34" s="66"/>
      <c r="HC34" s="66"/>
      <c r="HD34" s="66"/>
      <c r="HE34" s="66"/>
      <c r="HF34" s="66"/>
      <c r="HG34" s="66"/>
      <c r="HH34" s="66"/>
      <c r="HI34" s="66">
        <f>+DU17</f>
        <v>1545808</v>
      </c>
      <c r="HJ34" s="66"/>
      <c r="HK34" s="66"/>
      <c r="HL34" s="7">
        <f t="shared" si="42"/>
        <v>19</v>
      </c>
      <c r="HM34" s="8" t="s">
        <v>140</v>
      </c>
      <c r="HN34" s="66">
        <f>EJ17</f>
        <v>286329</v>
      </c>
      <c r="HO34" s="66"/>
      <c r="HP34" s="66"/>
      <c r="HQ34" s="66">
        <f>EX28</f>
        <v>-2707978.1033333326</v>
      </c>
      <c r="HR34" s="66"/>
      <c r="HS34" s="66"/>
      <c r="HT34" s="66"/>
      <c r="HU34" s="482"/>
      <c r="HV34" s="66"/>
      <c r="HW34" s="66">
        <f>SUM(GG34:HV34)-HL34-GZ34-GO34</f>
        <v>156851.83186666574</v>
      </c>
      <c r="HX34" s="66">
        <f t="shared" si="49"/>
        <v>67664295.93186668</v>
      </c>
      <c r="HY34" s="7">
        <f t="shared" si="43"/>
        <v>19</v>
      </c>
      <c r="HZ34" s="8" t="s">
        <v>140</v>
      </c>
      <c r="IA34" s="152">
        <f t="shared" si="50"/>
        <v>67507444.10000001</v>
      </c>
      <c r="IB34" s="192">
        <f t="shared" si="51"/>
        <v>156851.83186666574</v>
      </c>
      <c r="IC34" s="292">
        <f>SUM(IA34:IB34)</f>
        <v>67664295.93186668</v>
      </c>
      <c r="ID34" s="292"/>
      <c r="IE34" s="292">
        <f>SUM(IC34:ID34)</f>
        <v>67664295.93186668</v>
      </c>
      <c r="IF34" s="66"/>
      <c r="IG34" s="118"/>
      <c r="IH34" s="130"/>
      <c r="II34" s="130"/>
      <c r="IJ34" s="153"/>
    </row>
    <row r="35" spans="1:244" ht="15" customHeight="1" thickBot="1" thickTop="1">
      <c r="A35" s="3">
        <f>+A34+1</f>
        <v>24</v>
      </c>
      <c r="C35" s="78" t="s">
        <v>402</v>
      </c>
      <c r="E35" s="152">
        <v>0</v>
      </c>
      <c r="F35" s="173">
        <v>0</v>
      </c>
      <c r="H35" s="3">
        <f t="shared" si="1"/>
        <v>23</v>
      </c>
      <c r="I35" s="97" t="s">
        <v>636</v>
      </c>
      <c r="K35" s="152">
        <v>-426323.53</v>
      </c>
      <c r="M35" s="7">
        <f t="shared" si="44"/>
        <v>23</v>
      </c>
      <c r="N35" s="11" t="str">
        <f>"INCREASE (DECREASE) OPERATING INCOME (LINE "&amp;M19&amp;" - LINE "&amp;M33&amp;")"</f>
        <v>INCREASE (DECREASE) OPERATING INCOME (LINE 7 - LINE 21)</v>
      </c>
      <c r="O35" s="158">
        <f>O19-O33</f>
        <v>-970136404.1700001</v>
      </c>
      <c r="P35" s="158">
        <f>P19-P33</f>
        <v>-1057574308.5431117</v>
      </c>
      <c r="Q35" s="158">
        <f>Q19-Q33</f>
        <v>-87437904.37311167</v>
      </c>
      <c r="R35" s="8"/>
      <c r="S35" s="78"/>
      <c r="T35" s="78"/>
      <c r="U35" s="78"/>
      <c r="V35" s="7"/>
      <c r="Z35" s="7">
        <f t="shared" si="3"/>
        <v>23</v>
      </c>
      <c r="AA35" s="364" t="s">
        <v>535</v>
      </c>
      <c r="AB35" s="366">
        <v>0</v>
      </c>
      <c r="AC35" s="366">
        <v>-1451500</v>
      </c>
      <c r="AD35" s="344">
        <f>AC35-AB35</f>
        <v>-1451500</v>
      </c>
      <c r="AE35" s="20"/>
      <c r="AF35" s="240"/>
      <c r="AG35" s="240"/>
      <c r="AH35" s="240"/>
      <c r="AI35" s="240"/>
      <c r="AJ35" s="7"/>
      <c r="AK35" s="268"/>
      <c r="AL35" s="353"/>
      <c r="AM35" s="353"/>
      <c r="AN35" s="489"/>
      <c r="AO35" s="7"/>
      <c r="AP35" s="339"/>
      <c r="AQ35" s="268"/>
      <c r="AR35" s="353"/>
      <c r="AS35" s="359"/>
      <c r="AT35" s="7"/>
      <c r="AU35" s="268"/>
      <c r="AV35" s="353"/>
      <c r="AW35" s="360"/>
      <c r="AX35" s="348"/>
      <c r="AY35" s="7"/>
      <c r="AZ35" s="339"/>
      <c r="BA35" s="268"/>
      <c r="BB35" s="343"/>
      <c r="BC35" s="343"/>
      <c r="BD35" s="7">
        <f t="shared" si="31"/>
        <v>23</v>
      </c>
      <c r="BE35" s="373" t="s">
        <v>639</v>
      </c>
      <c r="BF35" s="133"/>
      <c r="BG35" s="345"/>
      <c r="BH35" s="345">
        <v>-26197.09</v>
      </c>
      <c r="BI35" s="345"/>
      <c r="BJ35" s="7"/>
      <c r="BR35" s="7">
        <f t="shared" si="48"/>
        <v>23</v>
      </c>
      <c r="BS35" s="78" t="s">
        <v>494</v>
      </c>
      <c r="BT35" s="163">
        <v>2239.38098154</v>
      </c>
      <c r="BU35" s="422"/>
      <c r="BV35" s="156">
        <f>BU35-BT35</f>
        <v>-2239.38098154</v>
      </c>
      <c r="BW35" s="7"/>
      <c r="BX35" s="299"/>
      <c r="BY35" s="299"/>
      <c r="BZ35" s="299"/>
      <c r="CA35" s="299"/>
      <c r="CB35" s="326"/>
      <c r="CC35" s="323"/>
      <c r="CG35" s="7"/>
      <c r="CH35" s="78"/>
      <c r="CI35" s="78"/>
      <c r="CJ35" s="78"/>
      <c r="CK35" s="78"/>
      <c r="CM35" s="199"/>
      <c r="CW35" s="152"/>
      <c r="CX35" s="152"/>
      <c r="CY35" s="152"/>
      <c r="CZ35" s="7">
        <f>+CZ34+1</f>
        <v>23</v>
      </c>
      <c r="DA35" s="257" t="s">
        <v>561</v>
      </c>
      <c r="DB35" s="332">
        <v>325000</v>
      </c>
      <c r="DE35" s="156"/>
      <c r="DF35" s="156"/>
      <c r="DR35" s="133"/>
      <c r="DS35" s="329"/>
      <c r="DT35" s="329"/>
      <c r="DV35" s="7">
        <f>DV34+1</f>
        <v>23</v>
      </c>
      <c r="DW35" s="263" t="s">
        <v>265</v>
      </c>
      <c r="DZ35" s="511">
        <f>-DZ32-DZ34</f>
        <v>-115141.7910141605</v>
      </c>
      <c r="EF35" s="7"/>
      <c r="EG35" s="302"/>
      <c r="EH35" s="302"/>
      <c r="EI35" s="302"/>
      <c r="EJ35" s="302"/>
      <c r="EO35" s="7"/>
      <c r="EP35" s="130"/>
      <c r="EQ35" s="130"/>
      <c r="ER35" s="130"/>
      <c r="ES35" s="130"/>
      <c r="ET35" s="7">
        <f>ET34+1</f>
        <v>23</v>
      </c>
      <c r="EU35" s="97" t="s">
        <v>24</v>
      </c>
      <c r="EV35" s="180">
        <v>24416828.11</v>
      </c>
      <c r="EZ35" s="7">
        <f>EZ34+1</f>
        <v>23</v>
      </c>
      <c r="FA35" s="8" t="s">
        <v>516</v>
      </c>
      <c r="FB35" s="421">
        <v>3587407.9787499993</v>
      </c>
      <c r="FC35" s="421">
        <v>21125</v>
      </c>
      <c r="FD35" s="155">
        <f aca="true" t="shared" si="52" ref="FD35:FD41">FC35-FB35</f>
        <v>-3566282.9787499993</v>
      </c>
      <c r="FE35" s="7">
        <f>FE34+1</f>
        <v>23</v>
      </c>
      <c r="FF35" s="383" t="s">
        <v>51</v>
      </c>
      <c r="FG35" s="173"/>
      <c r="FH35" s="187">
        <f>FIT</f>
        <v>0.35</v>
      </c>
      <c r="FI35" s="66"/>
      <c r="FJ35" s="7"/>
      <c r="FK35" s="302"/>
      <c r="FL35" s="302"/>
      <c r="FM35" s="302"/>
      <c r="FN35" s="302"/>
      <c r="FO35" s="7">
        <f t="shared" si="26"/>
        <v>23</v>
      </c>
      <c r="FP35" s="151" t="s">
        <v>593</v>
      </c>
      <c r="FQ35" s="180"/>
      <c r="FR35" s="180"/>
      <c r="FS35" s="180"/>
      <c r="FY35" s="7">
        <v>1</v>
      </c>
      <c r="FZ35" s="78" t="s">
        <v>109</v>
      </c>
      <c r="GA35" s="188">
        <f>GA38-SUM(GA36:GA37)</f>
        <v>0.5397</v>
      </c>
      <c r="GB35" s="188">
        <v>0.0664</v>
      </c>
      <c r="GC35" s="188">
        <f>ROUND(GA35*GB35,4)</f>
        <v>0.0358</v>
      </c>
      <c r="GD35" s="7">
        <f t="shared" si="39"/>
        <v>20</v>
      </c>
      <c r="GE35" s="8" t="s">
        <v>158</v>
      </c>
      <c r="GF35" s="66">
        <v>37171866.522852</v>
      </c>
      <c r="GG35" s="66">
        <f>F41</f>
        <v>-42110</v>
      </c>
      <c r="GH35" s="66">
        <f>+K42</f>
        <v>278620.8559842681</v>
      </c>
      <c r="GI35" s="66"/>
      <c r="GJ35" s="66"/>
      <c r="GK35" s="66"/>
      <c r="GL35" s="66"/>
      <c r="GM35" s="66"/>
      <c r="GN35" s="66"/>
      <c r="GO35" s="7">
        <f t="shared" si="40"/>
        <v>20</v>
      </c>
      <c r="GP35" s="8" t="s">
        <v>158</v>
      </c>
      <c r="GQ35" s="66"/>
      <c r="GR35" s="66"/>
      <c r="GS35" s="66"/>
      <c r="GT35" s="66">
        <f>BH23</f>
        <v>-61500.47667830796</v>
      </c>
      <c r="GU35" s="66">
        <f>BQ24</f>
        <v>812157</v>
      </c>
      <c r="GV35" s="66"/>
      <c r="GW35" s="66"/>
      <c r="GX35" s="66"/>
      <c r="GY35" s="66"/>
      <c r="GZ35" s="7">
        <f t="shared" si="41"/>
        <v>20</v>
      </c>
      <c r="HA35" s="8" t="s">
        <v>158</v>
      </c>
      <c r="HB35" s="66"/>
      <c r="HC35" s="66">
        <f>CT13</f>
        <v>350242</v>
      </c>
      <c r="HD35" s="66"/>
      <c r="HE35" s="66"/>
      <c r="HF35" s="66"/>
      <c r="HG35" s="66"/>
      <c r="HH35" s="66"/>
      <c r="HI35" s="66">
        <f>+DU18</f>
        <v>737654</v>
      </c>
      <c r="HJ35" s="66"/>
      <c r="HK35" s="66"/>
      <c r="HL35" s="7">
        <f t="shared" si="42"/>
        <v>20</v>
      </c>
      <c r="HM35" s="8" t="s">
        <v>158</v>
      </c>
      <c r="HN35" s="66">
        <f>EJ18</f>
        <v>146908</v>
      </c>
      <c r="HO35" s="66"/>
      <c r="HP35" s="66"/>
      <c r="HQ35" s="66"/>
      <c r="HR35" s="66"/>
      <c r="HS35" s="66"/>
      <c r="HT35" s="66"/>
      <c r="HU35" s="482"/>
      <c r="HV35" s="66">
        <f>FX17</f>
        <v>374.815834848</v>
      </c>
      <c r="HW35" s="66">
        <f>SUM(GG35:HV35)-HL35-GZ35-GO35</f>
        <v>2222346.1951408084</v>
      </c>
      <c r="HX35" s="66">
        <f t="shared" si="49"/>
        <v>39394212.71799281</v>
      </c>
      <c r="HY35" s="7">
        <f t="shared" si="43"/>
        <v>20</v>
      </c>
      <c r="HZ35" s="8" t="s">
        <v>107</v>
      </c>
      <c r="IA35" s="152">
        <f t="shared" si="50"/>
        <v>37171866.522852</v>
      </c>
      <c r="IB35" s="192">
        <f t="shared" si="51"/>
        <v>2222346.1951408084</v>
      </c>
      <c r="IC35" s="292">
        <f>SUM(IA35:IB35)</f>
        <v>39394212.71799281</v>
      </c>
      <c r="ID35" s="292">
        <f>+GC64*GC13</f>
        <v>456303.601387812</v>
      </c>
      <c r="IE35" s="292">
        <f>SUM(IC35:ID35)</f>
        <v>39850516.319380626</v>
      </c>
      <c r="IF35" s="66"/>
      <c r="IG35" s="118"/>
      <c r="IH35" s="130"/>
      <c r="II35" s="130"/>
      <c r="IJ35" s="153"/>
    </row>
    <row r="36" spans="1:244" ht="15" customHeight="1" thickBot="1" thickTop="1">
      <c r="A36" s="3">
        <f t="shared" si="27"/>
        <v>25</v>
      </c>
      <c r="C36" s="8" t="s">
        <v>403</v>
      </c>
      <c r="E36" s="152">
        <v>-1679</v>
      </c>
      <c r="F36" s="173">
        <v>-87241</v>
      </c>
      <c r="H36" s="3">
        <f t="shared" si="1"/>
        <v>24</v>
      </c>
      <c r="I36" s="97" t="s">
        <v>273</v>
      </c>
      <c r="J36" s="212"/>
      <c r="K36" s="152">
        <v>-27352</v>
      </c>
      <c r="L36" s="133"/>
      <c r="M36" s="7">
        <f>M35+1</f>
        <v>24</v>
      </c>
      <c r="O36" s="152"/>
      <c r="P36" s="152"/>
      <c r="R36" s="7"/>
      <c r="S36" s="78"/>
      <c r="T36" s="78"/>
      <c r="U36" s="78"/>
      <c r="V36" s="263"/>
      <c r="X36" s="184"/>
      <c r="Y36" s="19"/>
      <c r="Z36" s="7">
        <f t="shared" si="3"/>
        <v>24</v>
      </c>
      <c r="AA36" s="78" t="s">
        <v>588</v>
      </c>
      <c r="AB36" s="367">
        <f>SUM(AB35:AB35)</f>
        <v>0</v>
      </c>
      <c r="AC36" s="367">
        <f>SUM(AC35:AC35)</f>
        <v>-1451500</v>
      </c>
      <c r="AD36" s="367">
        <f>SUM(AD35:AD35)</f>
        <v>-1451500</v>
      </c>
      <c r="AE36" s="20"/>
      <c r="AF36" s="240"/>
      <c r="AG36" s="240"/>
      <c r="AH36" s="240"/>
      <c r="AI36" s="240"/>
      <c r="AJ36" s="7"/>
      <c r="AK36" s="268"/>
      <c r="AL36" s="343"/>
      <c r="AM36" s="343"/>
      <c r="AN36" s="517"/>
      <c r="AO36" s="7"/>
      <c r="AP36" s="339"/>
      <c r="AQ36" s="263"/>
      <c r="AR36" s="360"/>
      <c r="AS36" s="360"/>
      <c r="AT36" s="7"/>
      <c r="AU36" s="268"/>
      <c r="AV36" s="353"/>
      <c r="AW36" s="353"/>
      <c r="AX36" s="353"/>
      <c r="AZ36" s="339"/>
      <c r="BA36" s="263"/>
      <c r="BB36" s="241"/>
      <c r="BC36" s="343"/>
      <c r="BD36" s="7">
        <f t="shared" si="31"/>
        <v>24</v>
      </c>
      <c r="BE36" s="133" t="s">
        <v>563</v>
      </c>
      <c r="BF36" s="133"/>
      <c r="BG36" s="345"/>
      <c r="BH36" s="456">
        <f>SUM(BH29:BH35)</f>
        <v>-15285376.96</v>
      </c>
      <c r="BI36" s="345"/>
      <c r="BJ36" s="7"/>
      <c r="BR36" s="7">
        <f t="shared" si="48"/>
        <v>24</v>
      </c>
      <c r="BS36" s="148" t="s">
        <v>580</v>
      </c>
      <c r="BT36" s="163">
        <v>25449.413771519998</v>
      </c>
      <c r="BU36" s="422"/>
      <c r="BV36" s="156">
        <f>BU36-BT36</f>
        <v>-25449.413771519998</v>
      </c>
      <c r="BX36" s="299"/>
      <c r="BY36" s="299"/>
      <c r="BZ36" s="299"/>
      <c r="CA36" s="299"/>
      <c r="CB36" s="326"/>
      <c r="CC36" s="299"/>
      <c r="CG36" s="7"/>
      <c r="CH36" s="196"/>
      <c r="CI36" s="196"/>
      <c r="CJ36" s="196"/>
      <c r="CK36" s="196"/>
      <c r="CW36" s="152"/>
      <c r="CX36" s="152"/>
      <c r="CY36" s="152"/>
      <c r="CZ36" s="7">
        <f>+CZ35+1</f>
        <v>24</v>
      </c>
      <c r="DA36" s="257"/>
      <c r="DB36" s="196"/>
      <c r="DE36" s="156"/>
      <c r="DF36" s="156"/>
      <c r="DG36" s="159"/>
      <c r="DH36" s="159"/>
      <c r="DI36" s="159"/>
      <c r="DJ36" s="159"/>
      <c r="DK36" s="159"/>
      <c r="DL36" s="159"/>
      <c r="DM36" s="159"/>
      <c r="DN36" s="159"/>
      <c r="DR36" s="133"/>
      <c r="DS36" s="118"/>
      <c r="DT36" s="118"/>
      <c r="EF36" s="7"/>
      <c r="EG36" s="302"/>
      <c r="EH36" s="302"/>
      <c r="EI36" s="302"/>
      <c r="EJ36" s="302"/>
      <c r="EO36" s="7"/>
      <c r="ET36" s="7">
        <f>ET35+1</f>
        <v>24</v>
      </c>
      <c r="EU36" s="97" t="s">
        <v>142</v>
      </c>
      <c r="EV36" s="180">
        <v>781320</v>
      </c>
      <c r="EZ36" s="7">
        <f t="shared" si="23"/>
        <v>24</v>
      </c>
      <c r="FA36" s="8" t="s">
        <v>517</v>
      </c>
      <c r="FB36" s="422">
        <v>148527880.25</v>
      </c>
      <c r="FC36" s="422">
        <v>94583875</v>
      </c>
      <c r="FD36" s="178">
        <f t="shared" si="52"/>
        <v>-53944005.25</v>
      </c>
      <c r="FE36" s="7">
        <f t="shared" si="25"/>
        <v>24</v>
      </c>
      <c r="FF36" s="263" t="s">
        <v>39</v>
      </c>
      <c r="FG36" s="173"/>
      <c r="FH36" s="78"/>
      <c r="FI36" s="185">
        <f>-FI33-FI35</f>
        <v>6062730.08553775</v>
      </c>
      <c r="FJ36" s="7"/>
      <c r="FK36" s="302"/>
      <c r="FL36" s="302"/>
      <c r="FM36" s="302"/>
      <c r="FN36" s="302"/>
      <c r="FO36" s="7">
        <f t="shared" si="26"/>
        <v>24</v>
      </c>
      <c r="FP36" s="8" t="s">
        <v>516</v>
      </c>
      <c r="FQ36" s="68">
        <f aca="true" t="shared" si="53" ref="FQ36:FQ41">FC14</f>
        <v>0</v>
      </c>
      <c r="FR36" s="152">
        <f aca="true" t="shared" si="54" ref="FR36:FR44">+FQ36*-$FR$11</f>
        <v>0</v>
      </c>
      <c r="FS36" s="180">
        <f aca="true" t="shared" si="55" ref="FS36:FS44">ROUND(+FR36*-$FS$11,0)</f>
        <v>0</v>
      </c>
      <c r="FY36" s="7">
        <f>FY35+1</f>
        <v>2</v>
      </c>
      <c r="FZ36" s="78" t="s">
        <v>110</v>
      </c>
      <c r="GA36" s="188">
        <v>0.0003</v>
      </c>
      <c r="GB36" s="188">
        <v>0.0861</v>
      </c>
      <c r="GC36" s="188">
        <f>ROUND(GA36*GB36,4)</f>
        <v>0</v>
      </c>
      <c r="GD36" s="7">
        <f>GD35+1</f>
        <v>21</v>
      </c>
      <c r="GE36" s="8" t="s">
        <v>159</v>
      </c>
      <c r="GF36" s="66">
        <v>9736023.72895</v>
      </c>
      <c r="GG36" s="66"/>
      <c r="GH36" s="66"/>
      <c r="GI36" s="66"/>
      <c r="GJ36" s="66"/>
      <c r="GK36" s="66"/>
      <c r="GL36" s="66"/>
      <c r="GM36" s="66"/>
      <c r="GN36" s="66"/>
      <c r="GO36" s="7">
        <f>GO35+1</f>
        <v>21</v>
      </c>
      <c r="GP36" s="8" t="s">
        <v>159</v>
      </c>
      <c r="GQ36" s="66"/>
      <c r="GR36" s="66"/>
      <c r="GS36" s="66"/>
      <c r="GT36" s="66">
        <f>BH31+BH33</f>
        <v>-7764387.16</v>
      </c>
      <c r="GU36" s="66"/>
      <c r="GV36" s="66">
        <f>BV25</f>
        <v>-56346.586705</v>
      </c>
      <c r="GW36" s="66"/>
      <c r="GX36" s="66"/>
      <c r="GY36" s="66"/>
      <c r="GZ36" s="7">
        <f>GZ35+1</f>
        <v>21</v>
      </c>
      <c r="HA36" s="8" t="s">
        <v>159</v>
      </c>
      <c r="HB36" s="66"/>
      <c r="HC36" s="66"/>
      <c r="HD36" s="66"/>
      <c r="HE36" s="66"/>
      <c r="HF36" s="66"/>
      <c r="HG36" s="66"/>
      <c r="HH36" s="66"/>
      <c r="HI36" s="66">
        <f>+DU19+DU20</f>
        <v>91201</v>
      </c>
      <c r="HJ36" s="66"/>
      <c r="HK36" s="66"/>
      <c r="HL36" s="7">
        <f>HL35+1</f>
        <v>21</v>
      </c>
      <c r="HM36" s="8" t="s">
        <v>159</v>
      </c>
      <c r="HN36" s="66">
        <f>EJ19+EJ20</f>
        <v>21815</v>
      </c>
      <c r="HO36" s="66"/>
      <c r="HP36" s="66"/>
      <c r="HQ36" s="66"/>
      <c r="HR36" s="66"/>
      <c r="HS36" s="66"/>
      <c r="HT36" s="66"/>
      <c r="HU36" s="482"/>
      <c r="HV36" s="66"/>
      <c r="HW36" s="66">
        <f>SUM(GG36:HV36)-HL36-GZ36-GO36</f>
        <v>-7707717.746705</v>
      </c>
      <c r="HX36" s="66">
        <f t="shared" si="49"/>
        <v>2028305.9822449991</v>
      </c>
      <c r="HY36" s="7">
        <f>HY35+1</f>
        <v>21</v>
      </c>
      <c r="HZ36" s="8" t="s">
        <v>159</v>
      </c>
      <c r="IA36" s="152">
        <f t="shared" si="50"/>
        <v>9736023.72895</v>
      </c>
      <c r="IB36" s="192">
        <f t="shared" si="51"/>
        <v>-7707717.746705</v>
      </c>
      <c r="IC36" s="292">
        <f>SUM(IA36:IB36)</f>
        <v>2028305.9822449991</v>
      </c>
      <c r="ID36" s="292"/>
      <c r="IE36" s="292">
        <f>SUM(IC36:ID36)</f>
        <v>2028305.9822449991</v>
      </c>
      <c r="IF36" s="66"/>
      <c r="IG36" s="118"/>
      <c r="IH36" s="130"/>
      <c r="II36" s="130"/>
      <c r="IJ36" s="153"/>
    </row>
    <row r="37" spans="1:244" ht="15" customHeight="1" thickTop="1">
      <c r="A37" s="3">
        <f t="shared" si="27"/>
        <v>26</v>
      </c>
      <c r="C37" s="8" t="s">
        <v>1</v>
      </c>
      <c r="E37" s="152">
        <v>-742</v>
      </c>
      <c r="F37" s="173">
        <v>-37380</v>
      </c>
      <c r="H37" s="3">
        <f t="shared" si="1"/>
        <v>25</v>
      </c>
      <c r="I37" s="97"/>
      <c r="J37" s="212"/>
      <c r="K37" s="426"/>
      <c r="L37" s="133"/>
      <c r="M37" s="7">
        <f>M36+1</f>
        <v>25</v>
      </c>
      <c r="N37" s="78" t="str">
        <f>"REDUCTION TO STATE UTILITY TAX SAVINGS FOR LINE "&amp;M16</f>
        <v>REDUCTION TO STATE UTILITY TAX SAVINGS FOR LINE 4</v>
      </c>
      <c r="O37" s="188">
        <v>0.0385</v>
      </c>
      <c r="Q37" s="192">
        <f>Q16*O37</f>
        <v>-23004.905049564928</v>
      </c>
      <c r="S37" s="78"/>
      <c r="T37" s="78"/>
      <c r="U37" s="78"/>
      <c r="V37" s="8"/>
      <c r="W37" s="299"/>
      <c r="X37" s="299"/>
      <c r="Y37" s="299"/>
      <c r="Z37" s="7">
        <f t="shared" si="3"/>
        <v>25</v>
      </c>
      <c r="AB37" s="133"/>
      <c r="AC37" s="133"/>
      <c r="AD37" s="299"/>
      <c r="AE37" s="135"/>
      <c r="AF37" s="135"/>
      <c r="AG37" s="135"/>
      <c r="AH37" s="135"/>
      <c r="AI37" s="135"/>
      <c r="AJ37" s="7"/>
      <c r="AK37" s="339"/>
      <c r="AL37" s="263"/>
      <c r="AM37" s="360"/>
      <c r="AN37" s="465"/>
      <c r="AO37" s="7"/>
      <c r="AP37" s="339"/>
      <c r="AQ37" s="263"/>
      <c r="AR37" s="360"/>
      <c r="AS37" s="360"/>
      <c r="AT37" s="7"/>
      <c r="AU37" s="263"/>
      <c r="AV37" s="360"/>
      <c r="AW37" s="465"/>
      <c r="AX37" s="465"/>
      <c r="AZ37" s="339"/>
      <c r="BA37" s="263"/>
      <c r="BB37" s="361"/>
      <c r="BC37" s="361"/>
      <c r="BD37" s="7">
        <f t="shared" si="31"/>
        <v>25</v>
      </c>
      <c r="BE37" s="133"/>
      <c r="BF37" s="133"/>
      <c r="BG37" s="378"/>
      <c r="BH37" s="378"/>
      <c r="BI37" s="378"/>
      <c r="BR37" s="7">
        <f t="shared" si="48"/>
        <v>25</v>
      </c>
      <c r="BS37" s="8" t="s">
        <v>35</v>
      </c>
      <c r="BT37" s="182">
        <f>SUM(BT15:BT36)</f>
        <v>32475920.89284846</v>
      </c>
      <c r="BU37" s="182">
        <f>SUM(BU15:BU36)</f>
        <v>36592699.96967419</v>
      </c>
      <c r="BV37" s="182">
        <f>SUM(BV15:BV36)</f>
        <v>4116779.0768257296</v>
      </c>
      <c r="BX37" s="299"/>
      <c r="BY37" s="299"/>
      <c r="BZ37" s="299"/>
      <c r="CA37" s="299"/>
      <c r="CB37" s="326"/>
      <c r="CC37" s="299"/>
      <c r="CD37" s="78"/>
      <c r="CE37" s="78"/>
      <c r="CF37" s="78"/>
      <c r="CG37" s="7"/>
      <c r="CH37" s="323"/>
      <c r="CI37" s="323"/>
      <c r="CJ37" s="323"/>
      <c r="CK37" s="323"/>
      <c r="CW37" s="152"/>
      <c r="CX37" s="152"/>
      <c r="CY37" s="180"/>
      <c r="CZ37" s="7">
        <f t="shared" si="34"/>
        <v>25</v>
      </c>
      <c r="DA37" s="415" t="s">
        <v>562</v>
      </c>
      <c r="DB37" s="328">
        <f>DB35/2</f>
        <v>162500</v>
      </c>
      <c r="DE37" s="159"/>
      <c r="DF37" s="159"/>
      <c r="DG37" s="156"/>
      <c r="DH37" s="156"/>
      <c r="DI37" s="156"/>
      <c r="DJ37" s="156"/>
      <c r="DK37" s="156"/>
      <c r="DL37" s="156"/>
      <c r="DM37" s="156"/>
      <c r="DN37" s="156"/>
      <c r="DR37" s="133"/>
      <c r="DS37" s="118"/>
      <c r="DT37" s="118"/>
      <c r="DV37" s="263"/>
      <c r="EF37" s="7"/>
      <c r="EG37" s="299"/>
      <c r="EH37" s="299"/>
      <c r="EI37" s="299"/>
      <c r="EJ37" s="299"/>
      <c r="EO37" s="7"/>
      <c r="EP37" s="191"/>
      <c r="EQ37" s="191"/>
      <c r="ER37" s="191"/>
      <c r="ES37" s="191"/>
      <c r="ET37" s="7">
        <f t="shared" si="22"/>
        <v>25</v>
      </c>
      <c r="EU37" s="78" t="s">
        <v>228</v>
      </c>
      <c r="EV37" s="183">
        <f>SUM(EV34:EV36)</f>
        <v>28512063.81</v>
      </c>
      <c r="EZ37" s="7">
        <f t="shared" si="23"/>
        <v>25</v>
      </c>
      <c r="FA37" s="309" t="s">
        <v>448</v>
      </c>
      <c r="FB37" s="422">
        <v>24687582.260000005</v>
      </c>
      <c r="FC37" s="422">
        <v>19609943.00999999</v>
      </c>
      <c r="FD37" s="178">
        <f t="shared" si="52"/>
        <v>-5077639.250000015</v>
      </c>
      <c r="FE37" s="7">
        <f t="shared" si="25"/>
        <v>25</v>
      </c>
      <c r="FF37" s="263"/>
      <c r="FG37" s="173"/>
      <c r="FH37" s="173"/>
      <c r="FI37" s="173"/>
      <c r="FJ37" s="7"/>
      <c r="FK37" s="299"/>
      <c r="FL37" s="299"/>
      <c r="FM37" s="299"/>
      <c r="FN37" s="299"/>
      <c r="FO37" s="7">
        <f t="shared" si="26"/>
        <v>25</v>
      </c>
      <c r="FP37" s="8" t="s">
        <v>517</v>
      </c>
      <c r="FQ37" s="152">
        <f>FC15+FC27</f>
        <v>31942000</v>
      </c>
      <c r="FR37" s="152">
        <f t="shared" si="54"/>
        <v>-1065904.5400000003</v>
      </c>
      <c r="FS37" s="180">
        <f t="shared" si="55"/>
        <v>373067</v>
      </c>
      <c r="FY37" s="7">
        <f aca="true" t="shared" si="56" ref="FY37:FY43">FY36+1</f>
        <v>3</v>
      </c>
      <c r="FZ37" s="78" t="s">
        <v>111</v>
      </c>
      <c r="GA37" s="200">
        <v>0.46</v>
      </c>
      <c r="GB37" s="201">
        <v>0.1015</v>
      </c>
      <c r="GC37" s="188">
        <f>ROUND(GA37*GB37,4)</f>
        <v>0.0467</v>
      </c>
      <c r="GD37" s="7">
        <f>GD36+1</f>
        <v>22</v>
      </c>
      <c r="GE37" s="8" t="s">
        <v>166</v>
      </c>
      <c r="GF37" s="66">
        <v>32494478.88</v>
      </c>
      <c r="GG37" s="66"/>
      <c r="GH37" s="66"/>
      <c r="GI37" s="66"/>
      <c r="GJ37" s="66"/>
      <c r="GK37" s="66"/>
      <c r="GL37" s="66"/>
      <c r="GM37" s="66"/>
      <c r="GN37" s="66"/>
      <c r="GO37" s="7">
        <f>GO36+1</f>
        <v>22</v>
      </c>
      <c r="GP37" s="8" t="s">
        <v>166</v>
      </c>
      <c r="GQ37" s="66"/>
      <c r="GR37" s="66"/>
      <c r="GS37" s="66"/>
      <c r="GT37" s="66">
        <f>BH29</f>
        <v>-32489368</v>
      </c>
      <c r="GU37" s="66"/>
      <c r="GV37" s="66"/>
      <c r="GW37" s="66"/>
      <c r="GX37" s="66"/>
      <c r="GY37" s="66"/>
      <c r="GZ37" s="7">
        <f>GZ36+1</f>
        <v>22</v>
      </c>
      <c r="HA37" s="8" t="s">
        <v>166</v>
      </c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7">
        <f>HL36+1</f>
        <v>22</v>
      </c>
      <c r="HM37" s="8" t="s">
        <v>166</v>
      </c>
      <c r="HN37" s="66"/>
      <c r="HO37" s="66"/>
      <c r="HP37" s="66"/>
      <c r="HQ37" s="66"/>
      <c r="HR37" s="66"/>
      <c r="HS37" s="66"/>
      <c r="HT37" s="66"/>
      <c r="HU37" s="482"/>
      <c r="HV37" s="66"/>
      <c r="HW37" s="66">
        <f>SUM(GG37:HV37)-HL37-GZ37-GO37</f>
        <v>-32489368</v>
      </c>
      <c r="HX37" s="66">
        <f t="shared" si="49"/>
        <v>5110.879999998957</v>
      </c>
      <c r="HY37" s="7">
        <f>HY36+1</f>
        <v>22</v>
      </c>
      <c r="HZ37" s="8" t="s">
        <v>166</v>
      </c>
      <c r="IA37" s="152">
        <f t="shared" si="50"/>
        <v>32494478.88</v>
      </c>
      <c r="IB37" s="192">
        <f t="shared" si="51"/>
        <v>-32489368</v>
      </c>
      <c r="IC37" s="296">
        <f>SUM(IA37:IB37)</f>
        <v>5110.879999998957</v>
      </c>
      <c r="ID37" s="292"/>
      <c r="IE37" s="292">
        <f>SUM(IC37:ID37)</f>
        <v>5110.879999998957</v>
      </c>
      <c r="IF37" s="66"/>
      <c r="IG37" s="118"/>
      <c r="IH37" s="130"/>
      <c r="II37" s="130"/>
      <c r="IJ37" s="153"/>
    </row>
    <row r="38" spans="1:244" ht="15" customHeight="1">
      <c r="A38" s="3">
        <f t="shared" si="27"/>
        <v>27</v>
      </c>
      <c r="C38" s="78" t="s">
        <v>404</v>
      </c>
      <c r="E38" s="152">
        <v>-84</v>
      </c>
      <c r="F38" s="194">
        <v>-2951</v>
      </c>
      <c r="H38" s="3">
        <f t="shared" si="1"/>
        <v>26</v>
      </c>
      <c r="I38" s="78" t="s">
        <v>550</v>
      </c>
      <c r="J38" s="212"/>
      <c r="L38" s="152">
        <f>SUM(K35:K37)</f>
        <v>-453675.53</v>
      </c>
      <c r="M38" s="7">
        <f t="shared" si="44"/>
        <v>26</v>
      </c>
      <c r="N38" s="8" t="s">
        <v>41</v>
      </c>
      <c r="O38" s="131"/>
      <c r="P38" s="131"/>
      <c r="Q38" s="329">
        <f>Q35-Q37</f>
        <v>-87414899.4680621</v>
      </c>
      <c r="S38" s="78"/>
      <c r="T38" s="78"/>
      <c r="U38" s="78"/>
      <c r="V38" s="7"/>
      <c r="X38" s="318"/>
      <c r="Y38" s="19"/>
      <c r="Z38" s="7">
        <f t="shared" si="3"/>
        <v>26</v>
      </c>
      <c r="AA38" s="53" t="s">
        <v>9</v>
      </c>
      <c r="AB38" s="179"/>
      <c r="AC38" s="179"/>
      <c r="AD38" s="179">
        <f>AD32+AD36</f>
        <v>-831074.2659999445</v>
      </c>
      <c r="AE38" s="43"/>
      <c r="AF38" s="299"/>
      <c r="AG38" s="299"/>
      <c r="AH38" s="299"/>
      <c r="AI38" s="299"/>
      <c r="AJ38" s="7"/>
      <c r="AK38" s="339"/>
      <c r="AL38" s="263"/>
      <c r="AM38" s="360"/>
      <c r="AN38" s="360"/>
      <c r="AO38" s="7"/>
      <c r="AP38" s="339"/>
      <c r="AQ38" s="263"/>
      <c r="AR38" s="377"/>
      <c r="AS38" s="377"/>
      <c r="AT38" s="7"/>
      <c r="AU38" s="263"/>
      <c r="AV38" s="360"/>
      <c r="AW38" s="360"/>
      <c r="AX38" s="348"/>
      <c r="AZ38" s="339"/>
      <c r="BA38" s="334"/>
      <c r="BB38" s="361"/>
      <c r="BC38" s="361"/>
      <c r="BD38" s="7">
        <f t="shared" si="31"/>
        <v>26</v>
      </c>
      <c r="BE38" s="133" t="s">
        <v>165</v>
      </c>
      <c r="BF38" s="133"/>
      <c r="BG38" s="378"/>
      <c r="BH38" s="378">
        <f>-BH20-BH26-BH36</f>
        <v>-1499693.4929276817</v>
      </c>
      <c r="BI38" s="378"/>
      <c r="BR38" s="7">
        <f t="shared" si="48"/>
        <v>26</v>
      </c>
      <c r="CB38" s="130"/>
      <c r="CC38" s="325"/>
      <c r="CD38" s="196"/>
      <c r="CE38" s="196"/>
      <c r="CF38" s="196"/>
      <c r="CH38" s="299"/>
      <c r="CI38" s="299"/>
      <c r="CJ38" s="299"/>
      <c r="CK38" s="299"/>
      <c r="CU38" s="14"/>
      <c r="CV38" s="14"/>
      <c r="CW38" s="14"/>
      <c r="CX38" s="152"/>
      <c r="CY38" s="180"/>
      <c r="CZ38" s="7">
        <f t="shared" si="34"/>
        <v>26</v>
      </c>
      <c r="DA38" s="402" t="s">
        <v>566</v>
      </c>
      <c r="DB38" s="308">
        <v>351915</v>
      </c>
      <c r="DG38" s="156"/>
      <c r="DH38" s="156"/>
      <c r="DI38" s="156"/>
      <c r="DJ38" s="156"/>
      <c r="DK38" s="156"/>
      <c r="DL38" s="156"/>
      <c r="DM38" s="156"/>
      <c r="DN38" s="156"/>
      <c r="DR38" s="133"/>
      <c r="DS38" s="118"/>
      <c r="DT38" s="118"/>
      <c r="EF38" s="7"/>
      <c r="EG38" s="299"/>
      <c r="EH38" s="299"/>
      <c r="EI38" s="299"/>
      <c r="EJ38" s="299"/>
      <c r="EO38" s="7"/>
      <c r="ET38" s="7">
        <f t="shared" si="22"/>
        <v>26</v>
      </c>
      <c r="EU38" s="249" t="s">
        <v>595</v>
      </c>
      <c r="EV38" s="249"/>
      <c r="EW38" s="165">
        <f>EV37/4</f>
        <v>7128015.9525</v>
      </c>
      <c r="EY38" s="327"/>
      <c r="EZ38" s="7">
        <f t="shared" si="23"/>
        <v>26</v>
      </c>
      <c r="FA38" s="309" t="s">
        <v>514</v>
      </c>
      <c r="FB38" s="422">
        <v>38412977.86249999</v>
      </c>
      <c r="FC38" s="422">
        <v>33499702.430070594</v>
      </c>
      <c r="FD38" s="178">
        <f t="shared" si="52"/>
        <v>-4913275.432429396</v>
      </c>
      <c r="FE38" s="7">
        <f t="shared" si="25"/>
        <v>26</v>
      </c>
      <c r="FF38" s="263"/>
      <c r="FG38" s="173"/>
      <c r="FH38" s="173"/>
      <c r="FI38" s="173"/>
      <c r="FJ38" s="7"/>
      <c r="FK38" s="299"/>
      <c r="FL38" s="299"/>
      <c r="FM38" s="299"/>
      <c r="FN38" s="299"/>
      <c r="FO38" s="7">
        <f t="shared" si="26"/>
        <v>26</v>
      </c>
      <c r="FP38" s="8" t="s">
        <v>448</v>
      </c>
      <c r="FQ38" s="66">
        <f t="shared" si="53"/>
        <v>3526620</v>
      </c>
      <c r="FR38" s="152">
        <f t="shared" si="54"/>
        <v>-117683.30940000004</v>
      </c>
      <c r="FS38" s="180">
        <f t="shared" si="55"/>
        <v>41189</v>
      </c>
      <c r="FY38" s="7">
        <f t="shared" si="56"/>
        <v>4</v>
      </c>
      <c r="FZ38" s="78" t="s">
        <v>228</v>
      </c>
      <c r="GA38" s="202">
        <v>1</v>
      </c>
      <c r="GB38" s="188"/>
      <c r="GC38" s="202">
        <f>SUM(GC35:GC37)</f>
        <v>0.08249999999999999</v>
      </c>
      <c r="GD38" s="7">
        <f t="shared" si="39"/>
        <v>23</v>
      </c>
      <c r="GE38" s="8" t="s">
        <v>167</v>
      </c>
      <c r="GF38" s="66">
        <v>76980894.043264</v>
      </c>
      <c r="GG38" s="66">
        <f>F42</f>
        <v>-24046</v>
      </c>
      <c r="GH38" s="66">
        <f>+K43</f>
        <v>159101.54668947833</v>
      </c>
      <c r="GI38" s="66"/>
      <c r="GJ38" s="66"/>
      <c r="GK38" s="66"/>
      <c r="GL38" s="66">
        <f>AD30</f>
        <v>9545.424816172834</v>
      </c>
      <c r="GM38" s="66"/>
      <c r="GN38" s="66">
        <f>'Att 2 + Adj pages'!AN23</f>
        <v>69048.78</v>
      </c>
      <c r="GO38" s="7">
        <f t="shared" si="40"/>
        <v>23</v>
      </c>
      <c r="GP38" s="8" t="s">
        <v>167</v>
      </c>
      <c r="GQ38" s="66">
        <f>AS21+AS22</f>
        <v>649559.8518009144</v>
      </c>
      <c r="GR38" s="66"/>
      <c r="GS38" s="66"/>
      <c r="GT38" s="66">
        <f>BH24+BH34</f>
        <v>-113960.25714</v>
      </c>
      <c r="GU38" s="66"/>
      <c r="GV38" s="166">
        <f>+BV20+BV24+BV26+BV28+BV34+BV36+BV31</f>
        <v>1835170.6667447467</v>
      </c>
      <c r="GW38" s="66"/>
      <c r="GX38" s="66">
        <f>+CF19</f>
        <v>-110841</v>
      </c>
      <c r="GY38" s="66">
        <f>CK17</f>
        <v>-29990.601330791833</v>
      </c>
      <c r="GZ38" s="7">
        <f t="shared" si="41"/>
        <v>23</v>
      </c>
      <c r="HA38" s="8" t="s">
        <v>167</v>
      </c>
      <c r="HB38" s="66"/>
      <c r="HC38" s="66"/>
      <c r="HD38" s="66"/>
      <c r="HE38" s="166">
        <f>DC43</f>
        <v>-202239</v>
      </c>
      <c r="HF38" s="66"/>
      <c r="HG38" s="166">
        <f>DK15</f>
        <v>597063.5885980348</v>
      </c>
      <c r="HH38" s="166">
        <f>DP15</f>
        <v>-697945.9679850215</v>
      </c>
      <c r="HI38" s="66">
        <f>+DU21</f>
        <v>914282</v>
      </c>
      <c r="HJ38" s="66">
        <f>DZ32</f>
        <v>177141.7910141605</v>
      </c>
      <c r="HK38" s="66">
        <f>EE20</f>
        <v>1516481.08</v>
      </c>
      <c r="HL38" s="7">
        <f t="shared" si="42"/>
        <v>23</v>
      </c>
      <c r="HM38" s="8" t="s">
        <v>167</v>
      </c>
      <c r="HN38" s="66">
        <f>EJ21</f>
        <v>235965</v>
      </c>
      <c r="HO38" s="66"/>
      <c r="HP38" s="66"/>
      <c r="HQ38" s="66"/>
      <c r="HR38" s="66"/>
      <c r="HS38" s="66"/>
      <c r="HT38" s="66">
        <f>FN23+FN21</f>
        <v>-70402.51</v>
      </c>
      <c r="HU38" s="292">
        <f>FR22</f>
        <v>-168812.99035268393</v>
      </c>
      <c r="HV38" s="66">
        <f>FX18</f>
        <v>214.032</v>
      </c>
      <c r="HW38" s="66">
        <f>SUM(GG38:HV38)-HL38-GZ38-GO38</f>
        <v>4745335.434855011</v>
      </c>
      <c r="HX38" s="66">
        <f t="shared" si="49"/>
        <v>81726229.47811902</v>
      </c>
      <c r="HY38" s="7">
        <f t="shared" si="43"/>
        <v>23</v>
      </c>
      <c r="HZ38" s="8" t="s">
        <v>167</v>
      </c>
      <c r="IA38" s="152">
        <f t="shared" si="50"/>
        <v>76980894.043264</v>
      </c>
      <c r="IB38" s="192">
        <f t="shared" si="51"/>
        <v>4745335.434855011</v>
      </c>
      <c r="IC38" s="292">
        <f>SUM(IA38:IB38)</f>
        <v>81726229.47811902</v>
      </c>
      <c r="ID38" s="292">
        <f>+GC64*(GC14)</f>
        <v>260564.158</v>
      </c>
      <c r="IE38" s="292">
        <f>SUM(IC38:ID38)</f>
        <v>81986793.63611902</v>
      </c>
      <c r="IF38" s="66"/>
      <c r="IG38" s="118"/>
      <c r="IH38" s="130"/>
      <c r="II38" s="130"/>
      <c r="IJ38" s="153"/>
    </row>
    <row r="39" spans="1:244" ht="15" customHeight="1">
      <c r="A39" s="3">
        <f t="shared" si="27"/>
        <v>28</v>
      </c>
      <c r="B39" s="78" t="s">
        <v>113</v>
      </c>
      <c r="F39" s="153"/>
      <c r="G39" s="153">
        <f>SUM(F29:F38)</f>
        <v>-12022967</v>
      </c>
      <c r="H39" s="3">
        <f t="shared" si="1"/>
        <v>27</v>
      </c>
      <c r="I39" s="133"/>
      <c r="J39" s="133"/>
      <c r="K39" s="180"/>
      <c r="L39" s="189"/>
      <c r="M39" s="7">
        <f t="shared" si="44"/>
        <v>27</v>
      </c>
      <c r="N39" s="8" t="s">
        <v>37</v>
      </c>
      <c r="O39" s="187">
        <f>FIT</f>
        <v>0.35</v>
      </c>
      <c r="P39" s="197"/>
      <c r="Q39" s="118">
        <f>Q38*FIT</f>
        <v>-30595214.813821733</v>
      </c>
      <c r="R39" s="7"/>
      <c r="S39" s="78"/>
      <c r="T39" s="78"/>
      <c r="U39" s="78"/>
      <c r="X39" s="184"/>
      <c r="Y39" s="19"/>
      <c r="Z39" s="7">
        <f t="shared" si="3"/>
        <v>27</v>
      </c>
      <c r="AA39" s="156"/>
      <c r="AB39" s="165"/>
      <c r="AC39" s="165"/>
      <c r="AD39" s="158"/>
      <c r="AE39" s="43"/>
      <c r="AF39" s="299"/>
      <c r="AG39" s="299"/>
      <c r="AH39" s="299"/>
      <c r="AI39" s="299"/>
      <c r="AJ39" s="7"/>
      <c r="AK39" s="339"/>
      <c r="AL39" s="263"/>
      <c r="AM39" s="360"/>
      <c r="AN39" s="360"/>
      <c r="AP39" s="339"/>
      <c r="AQ39" s="263"/>
      <c r="AR39" s="241"/>
      <c r="AS39" s="241"/>
      <c r="AT39" s="7"/>
      <c r="AU39" s="263"/>
      <c r="AV39" s="360"/>
      <c r="AW39" s="360"/>
      <c r="AX39" s="360"/>
      <c r="AY39" s="43"/>
      <c r="AZ39" s="339"/>
      <c r="BA39" s="334"/>
      <c r="BB39" s="263"/>
      <c r="BC39" s="339"/>
      <c r="BD39" s="7">
        <f t="shared" si="31"/>
        <v>27</v>
      </c>
      <c r="BE39" s="133" t="s">
        <v>47</v>
      </c>
      <c r="BF39" s="133"/>
      <c r="BG39" s="378"/>
      <c r="BH39" s="378">
        <f>BH38*0.35</f>
        <v>-524892.7225246886</v>
      </c>
      <c r="BI39" s="378"/>
      <c r="BJ39" s="7"/>
      <c r="BR39" s="7">
        <f t="shared" si="48"/>
        <v>27</v>
      </c>
      <c r="BS39" s="8" t="s">
        <v>8</v>
      </c>
      <c r="BT39" s="152"/>
      <c r="BU39" s="152"/>
      <c r="BV39" s="152">
        <f>BV37</f>
        <v>4116779.0768257296</v>
      </c>
      <c r="BW39" s="43"/>
      <c r="CB39" s="130"/>
      <c r="CC39" s="326"/>
      <c r="CD39" s="323"/>
      <c r="CE39" s="323"/>
      <c r="CF39" s="323"/>
      <c r="CH39" s="299"/>
      <c r="CI39" s="299"/>
      <c r="CJ39" s="299"/>
      <c r="CK39" s="299"/>
      <c r="CU39" s="15"/>
      <c r="CV39" s="15"/>
      <c r="CW39" s="15"/>
      <c r="CX39" s="32" t="s">
        <v>174</v>
      </c>
      <c r="CY39" s="180"/>
      <c r="CZ39" s="7">
        <f t="shared" si="34"/>
        <v>27</v>
      </c>
      <c r="DG39" s="159"/>
      <c r="DH39" s="159"/>
      <c r="DI39" s="159"/>
      <c r="DJ39" s="159"/>
      <c r="DK39" s="159"/>
      <c r="DL39" s="159"/>
      <c r="DM39" s="159"/>
      <c r="DN39" s="159"/>
      <c r="DR39" s="133"/>
      <c r="DS39" s="118"/>
      <c r="DT39" s="118"/>
      <c r="ED39" s="7"/>
      <c r="EF39" s="7"/>
      <c r="EG39" s="299"/>
      <c r="EH39" s="299"/>
      <c r="EI39" s="299"/>
      <c r="EJ39" s="299"/>
      <c r="EO39" s="7"/>
      <c r="ET39" s="7">
        <f t="shared" si="22"/>
        <v>27</v>
      </c>
      <c r="EU39" s="249"/>
      <c r="EV39" s="249"/>
      <c r="EW39" s="249"/>
      <c r="EY39" s="327"/>
      <c r="EZ39" s="7">
        <f t="shared" si="23"/>
        <v>27</v>
      </c>
      <c r="FA39" s="309" t="s">
        <v>307</v>
      </c>
      <c r="FB39" s="422">
        <v>22986144.528749995</v>
      </c>
      <c r="FC39" s="422">
        <v>21740383.889999993</v>
      </c>
      <c r="FD39" s="178">
        <f t="shared" si="52"/>
        <v>-1245760.6387500018</v>
      </c>
      <c r="FE39" s="7">
        <f t="shared" si="25"/>
        <v>27</v>
      </c>
      <c r="FF39" s="433" t="s">
        <v>322</v>
      </c>
      <c r="FG39" s="173"/>
      <c r="FH39" s="173"/>
      <c r="FI39" s="173"/>
      <c r="FJ39" s="7"/>
      <c r="FK39" s="299"/>
      <c r="FL39" s="299"/>
      <c r="FM39" s="299"/>
      <c r="FN39" s="299"/>
      <c r="FO39" s="7">
        <f t="shared" si="26"/>
        <v>27</v>
      </c>
      <c r="FP39" s="8" t="s">
        <v>514</v>
      </c>
      <c r="FQ39" s="66">
        <f t="shared" si="53"/>
        <v>1494701.7220710143</v>
      </c>
      <c r="FR39" s="152">
        <f t="shared" si="54"/>
        <v>-49878.19646550976</v>
      </c>
      <c r="FS39" s="180">
        <f t="shared" si="55"/>
        <v>17457</v>
      </c>
      <c r="FY39" s="7">
        <f t="shared" si="56"/>
        <v>5</v>
      </c>
      <c r="GA39" s="188"/>
      <c r="GB39" s="188"/>
      <c r="GC39" s="188"/>
      <c r="GD39" s="7">
        <f t="shared" si="39"/>
        <v>24</v>
      </c>
      <c r="GE39" s="8" t="s">
        <v>437</v>
      </c>
      <c r="GF39" s="66">
        <v>160277383.47415</v>
      </c>
      <c r="GG39" s="66"/>
      <c r="GH39" s="66"/>
      <c r="GI39" s="66"/>
      <c r="GJ39" s="66"/>
      <c r="GK39" s="66"/>
      <c r="GL39" s="66">
        <f>AD29</f>
        <v>571980.3091838827</v>
      </c>
      <c r="GM39" s="66">
        <f>AI22</f>
        <v>3371987</v>
      </c>
      <c r="GN39" s="66">
        <f>SUM(AN21:AN22)</f>
        <v>1771083.3736723745</v>
      </c>
      <c r="GO39" s="7">
        <f t="shared" si="40"/>
        <v>24</v>
      </c>
      <c r="GP39" s="8" t="s">
        <v>437</v>
      </c>
      <c r="GQ39" s="66">
        <f>AS20</f>
        <v>1720732.414326</v>
      </c>
      <c r="GR39" s="66">
        <f>AX27</f>
        <v>600667</v>
      </c>
      <c r="GS39" s="66"/>
      <c r="GT39" s="66"/>
      <c r="GU39" s="66"/>
      <c r="GV39" s="66"/>
      <c r="GW39" s="66"/>
      <c r="GX39" s="66"/>
      <c r="GY39" s="66"/>
      <c r="GZ39" s="7">
        <f t="shared" si="41"/>
        <v>24</v>
      </c>
      <c r="HA39" s="8" t="s">
        <v>437</v>
      </c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7">
        <f t="shared" si="42"/>
        <v>24</v>
      </c>
      <c r="HM39" s="8" t="s">
        <v>437</v>
      </c>
      <c r="HN39" s="66"/>
      <c r="HO39" s="66"/>
      <c r="HP39" s="66"/>
      <c r="HQ39" s="66"/>
      <c r="HR39" s="66"/>
      <c r="HS39" s="66">
        <f>FI24</f>
        <v>-5923880.550938393</v>
      </c>
      <c r="HT39" s="66">
        <f>FN22</f>
        <v>1316021.3</v>
      </c>
      <c r="HU39" s="292">
        <f>FR25</f>
        <v>-1786231.8040948003</v>
      </c>
      <c r="HV39" s="66"/>
      <c r="HW39" s="66">
        <f>SUM(GG39:HV39)-HL39-GZ39-GO39</f>
        <v>1642359.0421490637</v>
      </c>
      <c r="HX39" s="66">
        <f t="shared" si="49"/>
        <v>161919742.51629907</v>
      </c>
      <c r="HY39" s="7">
        <f t="shared" si="43"/>
        <v>24</v>
      </c>
      <c r="HZ39" s="8" t="s">
        <v>437</v>
      </c>
      <c r="IA39" s="152">
        <f t="shared" si="50"/>
        <v>160277383.47415</v>
      </c>
      <c r="IB39" s="192">
        <f t="shared" si="51"/>
        <v>1642359.0421490637</v>
      </c>
      <c r="IC39" s="292">
        <f>SUM(IA39:IB39)</f>
        <v>161919742.51629907</v>
      </c>
      <c r="ID39" s="292"/>
      <c r="IE39" s="292">
        <f>SUM(IC39:ID39)</f>
        <v>161919742.51629907</v>
      </c>
      <c r="IF39" s="66"/>
      <c r="IG39" s="118"/>
      <c r="IH39" s="130"/>
      <c r="II39" s="130"/>
      <c r="IJ39" s="153"/>
    </row>
    <row r="40" spans="1:244" ht="15" customHeight="1" thickBot="1">
      <c r="A40" s="3">
        <f t="shared" si="27"/>
        <v>29</v>
      </c>
      <c r="B40" s="298"/>
      <c r="C40" s="298"/>
      <c r="D40" s="196"/>
      <c r="E40" s="196"/>
      <c r="F40" s="157"/>
      <c r="H40" s="3">
        <f t="shared" si="1"/>
        <v>28</v>
      </c>
      <c r="I40" s="78" t="s">
        <v>551</v>
      </c>
      <c r="J40" s="133"/>
      <c r="K40" s="157"/>
      <c r="L40" s="180">
        <f>SUM(L15:L39)</f>
        <v>79550773.34473917</v>
      </c>
      <c r="M40" s="7">
        <f t="shared" si="44"/>
        <v>28</v>
      </c>
      <c r="N40" s="8" t="s">
        <v>265</v>
      </c>
      <c r="O40" s="131" t="s">
        <v>175</v>
      </c>
      <c r="P40" s="239"/>
      <c r="Q40" s="536">
        <f>+Q38-Q39</f>
        <v>-56819684.65424037</v>
      </c>
      <c r="R40" s="7"/>
      <c r="S40" s="78"/>
      <c r="T40" s="78"/>
      <c r="U40" s="78"/>
      <c r="X40" s="184"/>
      <c r="Y40" s="19"/>
      <c r="Z40" s="7">
        <f t="shared" si="3"/>
        <v>28</v>
      </c>
      <c r="AA40" s="8" t="s">
        <v>37</v>
      </c>
      <c r="AB40" s="241"/>
      <c r="AC40" s="241">
        <f>FIT</f>
        <v>0.35</v>
      </c>
      <c r="AD40" s="5">
        <f>ROUND(-AD38*AC40,0)</f>
        <v>290876</v>
      </c>
      <c r="AF40" s="299"/>
      <c r="AG40" s="299"/>
      <c r="AH40" s="299"/>
      <c r="AI40" s="299"/>
      <c r="AJ40" s="7"/>
      <c r="AK40" s="339"/>
      <c r="AL40" s="268"/>
      <c r="AM40" s="343"/>
      <c r="AN40" s="343"/>
      <c r="AP40" s="339"/>
      <c r="AQ40" s="263"/>
      <c r="AR40" s="361"/>
      <c r="AS40" s="361"/>
      <c r="AT40" s="7"/>
      <c r="AU40" s="268"/>
      <c r="AV40" s="343"/>
      <c r="AW40" s="343"/>
      <c r="AX40" s="343"/>
      <c r="AY40" s="43"/>
      <c r="AZ40" s="339"/>
      <c r="BA40" s="334"/>
      <c r="BB40" s="334"/>
      <c r="BC40" s="339"/>
      <c r="BD40" s="7">
        <f t="shared" si="31"/>
        <v>28</v>
      </c>
      <c r="BE40" s="133" t="s">
        <v>265</v>
      </c>
      <c r="BF40" s="133"/>
      <c r="BG40" s="345"/>
      <c r="BH40" s="505">
        <f>BH38-BH39</f>
        <v>-974800.7704029931</v>
      </c>
      <c r="BI40" s="345"/>
      <c r="BJ40" s="7"/>
      <c r="BR40" s="7">
        <f t="shared" si="48"/>
        <v>28</v>
      </c>
      <c r="BS40" s="8" t="s">
        <v>27</v>
      </c>
      <c r="BT40" s="152"/>
      <c r="BU40" s="187">
        <f>FIT</f>
        <v>0.35</v>
      </c>
      <c r="BV40" s="180">
        <f>-ROUND(BU40*BV39,0)</f>
        <v>-1440873</v>
      </c>
      <c r="BW40" s="43"/>
      <c r="CB40" s="130"/>
      <c r="CC40" s="326"/>
      <c r="CD40" s="299"/>
      <c r="CE40" s="299"/>
      <c r="CF40" s="299"/>
      <c r="CG40" s="7"/>
      <c r="CH40" s="325"/>
      <c r="CI40" s="325"/>
      <c r="CJ40" s="325"/>
      <c r="CK40" s="325"/>
      <c r="CU40" s="14"/>
      <c r="CV40" s="15"/>
      <c r="CW40" s="15"/>
      <c r="CX40" s="32"/>
      <c r="CY40" s="180"/>
      <c r="CZ40" s="7">
        <f t="shared" si="34"/>
        <v>28</v>
      </c>
      <c r="DA40" s="257" t="s">
        <v>57</v>
      </c>
      <c r="DB40" s="414">
        <f>+DB37-DB38</f>
        <v>-189415</v>
      </c>
      <c r="DC40" s="413">
        <f>+DB40</f>
        <v>-189415</v>
      </c>
      <c r="DR40" s="133"/>
      <c r="DS40" s="118"/>
      <c r="DT40" s="118"/>
      <c r="ED40" s="7"/>
      <c r="EF40" s="7"/>
      <c r="EG40" s="302"/>
      <c r="EH40" s="302"/>
      <c r="EI40" s="302"/>
      <c r="EJ40" s="302"/>
      <c r="EO40" s="7"/>
      <c r="ET40" s="7">
        <f t="shared" si="22"/>
        <v>28</v>
      </c>
      <c r="EU40" s="93" t="s">
        <v>508</v>
      </c>
      <c r="EZ40" s="7">
        <f t="shared" si="23"/>
        <v>28</v>
      </c>
      <c r="FA40" s="309" t="s">
        <v>308</v>
      </c>
      <c r="FB40" s="179">
        <v>-3088871.5</v>
      </c>
      <c r="FC40" s="179">
        <v>-2.8230715543031693E-09</v>
      </c>
      <c r="FD40" s="179">
        <f t="shared" si="52"/>
        <v>3088871.499999997</v>
      </c>
      <c r="FE40" s="7">
        <f t="shared" si="25"/>
        <v>28</v>
      </c>
      <c r="FF40" s="249" t="s">
        <v>558</v>
      </c>
      <c r="FG40" s="173"/>
      <c r="FH40" s="173"/>
      <c r="FI40" s="173">
        <f>-FI33*0.5</f>
        <v>3031365.042768875</v>
      </c>
      <c r="FJ40" s="7"/>
      <c r="FK40" s="302"/>
      <c r="FL40" s="302"/>
      <c r="FM40" s="302"/>
      <c r="FN40" s="302"/>
      <c r="FO40" s="7">
        <f t="shared" si="26"/>
        <v>28</v>
      </c>
      <c r="FP40" s="8" t="s">
        <v>307</v>
      </c>
      <c r="FQ40" s="66">
        <f t="shared" si="53"/>
        <v>0</v>
      </c>
      <c r="FR40" s="152">
        <f t="shared" si="54"/>
        <v>0</v>
      </c>
      <c r="FS40" s="180">
        <f t="shared" si="55"/>
        <v>0</v>
      </c>
      <c r="FY40" s="7">
        <f t="shared" si="56"/>
        <v>6</v>
      </c>
      <c r="FZ40" s="78" t="s">
        <v>405</v>
      </c>
      <c r="GA40" s="188">
        <f>GA35</f>
        <v>0.5397</v>
      </c>
      <c r="GB40" s="188">
        <f>GB35*0.65</f>
        <v>0.043160000000000004</v>
      </c>
      <c r="GC40" s="188">
        <f>ROUND(GC35*0.65,4)</f>
        <v>0.0233</v>
      </c>
      <c r="GD40" s="7">
        <f t="shared" si="39"/>
        <v>25</v>
      </c>
      <c r="GE40" s="8" t="s">
        <v>234</v>
      </c>
      <c r="GF40" s="66">
        <v>30986682.85728</v>
      </c>
      <c r="GG40" s="66"/>
      <c r="GH40" s="66"/>
      <c r="GI40" s="66"/>
      <c r="GJ40" s="66"/>
      <c r="GK40" s="66"/>
      <c r="GL40" s="66"/>
      <c r="GM40" s="66"/>
      <c r="GN40" s="66"/>
      <c r="GO40" s="7">
        <f t="shared" si="40"/>
        <v>25</v>
      </c>
      <c r="GP40" s="8" t="s">
        <v>234</v>
      </c>
      <c r="GQ40" s="66"/>
      <c r="GR40" s="66">
        <f>AX28</f>
        <v>1679273</v>
      </c>
      <c r="GS40" s="66">
        <f>BC19</f>
        <v>738008.7304559998</v>
      </c>
      <c r="GT40" s="66"/>
      <c r="GU40" s="66"/>
      <c r="GV40" s="66"/>
      <c r="GW40" s="66"/>
      <c r="GX40" s="66"/>
      <c r="GY40" s="66"/>
      <c r="GZ40" s="7">
        <f t="shared" si="41"/>
        <v>25</v>
      </c>
      <c r="HA40" s="8" t="s">
        <v>234</v>
      </c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7">
        <f t="shared" si="42"/>
        <v>25</v>
      </c>
      <c r="HM40" s="8" t="s">
        <v>234</v>
      </c>
      <c r="HN40" s="66"/>
      <c r="HO40" s="66"/>
      <c r="HP40" s="66"/>
      <c r="HR40" s="66"/>
      <c r="HS40" s="66">
        <f>FI29+FI31</f>
        <v>-138849.53459935746</v>
      </c>
      <c r="HT40" s="66"/>
      <c r="HU40" s="292">
        <f>FR26+FR44</f>
        <v>-332659.81185632007</v>
      </c>
      <c r="HV40" s="66"/>
      <c r="HW40" s="66">
        <f>SUM(GG40:HV40)-HL40-GZ40-GO40</f>
        <v>1945772.3840003223</v>
      </c>
      <c r="HX40" s="66">
        <f t="shared" si="49"/>
        <v>32932455.241280325</v>
      </c>
      <c r="HY40" s="7">
        <f t="shared" si="43"/>
        <v>25</v>
      </c>
      <c r="HZ40" s="8" t="s">
        <v>234</v>
      </c>
      <c r="IA40" s="152">
        <f t="shared" si="50"/>
        <v>30986682.85728</v>
      </c>
      <c r="IB40" s="192">
        <f t="shared" si="51"/>
        <v>1945772.3840003223</v>
      </c>
      <c r="IC40" s="292">
        <f>SUM(IA40:IB40)</f>
        <v>32932455.241280325</v>
      </c>
      <c r="ID40" s="292"/>
      <c r="IE40" s="292">
        <f>SUM(IC40:ID40)</f>
        <v>32932455.241280325</v>
      </c>
      <c r="IF40" s="66"/>
      <c r="IG40" s="118"/>
      <c r="IH40" s="130"/>
      <c r="II40" s="130"/>
      <c r="IJ40" s="153"/>
    </row>
    <row r="41" spans="1:244" ht="15" customHeight="1" thickBot="1" thickTop="1">
      <c r="A41" s="3">
        <f t="shared" si="27"/>
        <v>30</v>
      </c>
      <c r="B41" s="8" t="s">
        <v>115</v>
      </c>
      <c r="C41" s="8"/>
      <c r="D41" s="8"/>
      <c r="E41" s="161">
        <f>+GC13</f>
        <v>0.003502428</v>
      </c>
      <c r="F41" s="492">
        <f>ROUND(G39*E41,0)</f>
        <v>-42110</v>
      </c>
      <c r="G41" s="152"/>
      <c r="H41" s="3">
        <f t="shared" si="1"/>
        <v>29</v>
      </c>
      <c r="M41" s="7"/>
      <c r="S41" s="78"/>
      <c r="T41" s="78"/>
      <c r="U41" s="78"/>
      <c r="V41" s="7"/>
      <c r="X41" s="184"/>
      <c r="Y41" s="19" t="s">
        <v>175</v>
      </c>
      <c r="Z41" s="7">
        <f>Z40+1</f>
        <v>29</v>
      </c>
      <c r="AA41" s="8" t="s">
        <v>265</v>
      </c>
      <c r="AB41" s="133"/>
      <c r="AC41" s="133"/>
      <c r="AD41" s="242">
        <f>-AD38-AD40</f>
        <v>540198.2659999445</v>
      </c>
      <c r="AH41" s="78"/>
      <c r="AK41" s="339"/>
      <c r="AL41" s="263"/>
      <c r="AM41" s="241"/>
      <c r="AN41" s="241"/>
      <c r="AP41" s="339"/>
      <c r="AQ41" s="334"/>
      <c r="AR41" s="361"/>
      <c r="AS41" s="361"/>
      <c r="AT41" s="7"/>
      <c r="AU41" s="339"/>
      <c r="AV41" s="268"/>
      <c r="AW41" s="353"/>
      <c r="AX41" s="359"/>
      <c r="AY41" s="43"/>
      <c r="AZ41" s="339"/>
      <c r="BA41" s="334"/>
      <c r="BB41" s="263"/>
      <c r="BC41" s="339"/>
      <c r="BR41" s="7">
        <f t="shared" si="48"/>
        <v>29</v>
      </c>
      <c r="BS41" s="8"/>
      <c r="BT41" s="152"/>
      <c r="BU41" s="152"/>
      <c r="BV41" s="183"/>
      <c r="BW41" s="43"/>
      <c r="CB41" s="130"/>
      <c r="CC41" s="326"/>
      <c r="CD41" s="299"/>
      <c r="CE41" s="299"/>
      <c r="CF41" s="299"/>
      <c r="CG41" s="7"/>
      <c r="CH41" s="326"/>
      <c r="CI41" s="326"/>
      <c r="CJ41" s="326"/>
      <c r="CK41" s="326"/>
      <c r="CU41" s="14"/>
      <c r="CV41" s="16"/>
      <c r="CW41" s="17"/>
      <c r="CX41" s="32" t="s">
        <v>174</v>
      </c>
      <c r="CY41" s="180"/>
      <c r="CZ41" s="7">
        <f t="shared" si="34"/>
        <v>29</v>
      </c>
      <c r="DC41" s="189"/>
      <c r="DR41" s="133"/>
      <c r="DS41" s="118"/>
      <c r="DT41" s="118"/>
      <c r="ED41" s="7"/>
      <c r="EF41" s="7"/>
      <c r="EG41" s="302"/>
      <c r="EH41" s="302"/>
      <c r="EI41" s="302"/>
      <c r="EJ41" s="302"/>
      <c r="EO41" s="7"/>
      <c r="ET41" s="7">
        <f t="shared" si="22"/>
        <v>29</v>
      </c>
      <c r="EU41" s="78" t="s">
        <v>144</v>
      </c>
      <c r="EZ41" s="7">
        <f>EZ40+1</f>
        <v>29</v>
      </c>
      <c r="FA41" s="309" t="s">
        <v>594</v>
      </c>
      <c r="FB41" s="259">
        <v>8516859.095</v>
      </c>
      <c r="FC41" s="423">
        <v>4614746.762500001</v>
      </c>
      <c r="FD41" s="179">
        <f t="shared" si="52"/>
        <v>-3902112.3324999996</v>
      </c>
      <c r="FE41" s="7">
        <f t="shared" si="25"/>
        <v>29</v>
      </c>
      <c r="FF41" s="249"/>
      <c r="FG41" s="173"/>
      <c r="FH41" s="173"/>
      <c r="FI41" s="173">
        <f>FI34*0.5</f>
        <v>0</v>
      </c>
      <c r="FJ41" s="7"/>
      <c r="FK41" s="302"/>
      <c r="FL41" s="302"/>
      <c r="FM41" s="302"/>
      <c r="FN41" s="302"/>
      <c r="FO41" s="7">
        <f aca="true" t="shared" si="57" ref="FO41:FO80">FO40+1</f>
        <v>29</v>
      </c>
      <c r="FP41" s="8" t="s">
        <v>308</v>
      </c>
      <c r="FQ41" s="66">
        <f t="shared" si="53"/>
        <v>0</v>
      </c>
      <c r="FR41" s="152">
        <f t="shared" si="54"/>
        <v>0</v>
      </c>
      <c r="FS41" s="180">
        <f t="shared" si="55"/>
        <v>0</v>
      </c>
      <c r="FY41" s="7">
        <f t="shared" si="56"/>
        <v>7</v>
      </c>
      <c r="FZ41" s="78" t="s">
        <v>110</v>
      </c>
      <c r="GA41" s="188">
        <f>GA36</f>
        <v>0.0003</v>
      </c>
      <c r="GB41" s="188">
        <f>GB36</f>
        <v>0.0861</v>
      </c>
      <c r="GC41" s="188">
        <f>ROUND(GA41*GB41,4)</f>
        <v>0</v>
      </c>
      <c r="GD41" s="7">
        <f t="shared" si="39"/>
        <v>26</v>
      </c>
      <c r="GE41" s="53" t="s">
        <v>339</v>
      </c>
      <c r="GF41" s="66">
        <v>5380486.4</v>
      </c>
      <c r="GG41" s="66"/>
      <c r="GH41" s="66"/>
      <c r="GI41" s="66"/>
      <c r="GJ41" s="66"/>
      <c r="GK41" s="66"/>
      <c r="GL41" s="66"/>
      <c r="GM41" s="66"/>
      <c r="GN41" s="66"/>
      <c r="GO41" s="7">
        <f t="shared" si="40"/>
        <v>26</v>
      </c>
      <c r="GP41" s="8" t="s">
        <v>339</v>
      </c>
      <c r="GQ41" s="66"/>
      <c r="GR41" s="66"/>
      <c r="GS41" s="66"/>
      <c r="GT41" s="66"/>
      <c r="GU41" s="66"/>
      <c r="GV41" s="66"/>
      <c r="GW41" s="66"/>
      <c r="GX41" s="66"/>
      <c r="GY41" s="66"/>
      <c r="GZ41" s="7">
        <f t="shared" si="41"/>
        <v>26</v>
      </c>
      <c r="HA41" s="53" t="s">
        <v>339</v>
      </c>
      <c r="HB41" s="66"/>
      <c r="HC41" s="66"/>
      <c r="HD41" s="66"/>
      <c r="HE41" s="66"/>
      <c r="HF41" s="66" t="s">
        <v>175</v>
      </c>
      <c r="HG41" s="66"/>
      <c r="HH41" s="66"/>
      <c r="HI41" s="66"/>
      <c r="HJ41" s="66"/>
      <c r="HK41" s="66"/>
      <c r="HL41" s="7">
        <f t="shared" si="42"/>
        <v>26</v>
      </c>
      <c r="HM41" s="53" t="s">
        <v>339</v>
      </c>
      <c r="HN41" s="66"/>
      <c r="HO41" s="66"/>
      <c r="HP41" s="66"/>
      <c r="HQ41" s="66">
        <f>EY48</f>
        <v>11244099.096499998</v>
      </c>
      <c r="HR41" s="66"/>
      <c r="HS41" s="66"/>
      <c r="HT41" s="66"/>
      <c r="HU41" s="292">
        <f>+FR39</f>
        <v>-49878.19646550976</v>
      </c>
      <c r="HV41" s="66"/>
      <c r="HW41" s="66">
        <f>SUM(GG41:HV41)-HL41-GZ41-GO41</f>
        <v>11194220.90003449</v>
      </c>
      <c r="HX41" s="66">
        <f t="shared" si="49"/>
        <v>16574707.30003449</v>
      </c>
      <c r="HY41" s="7">
        <f t="shared" si="43"/>
        <v>26</v>
      </c>
      <c r="HZ41" s="53" t="s">
        <v>339</v>
      </c>
      <c r="IA41" s="152">
        <f t="shared" si="50"/>
        <v>5380486.4</v>
      </c>
      <c r="IB41" s="192">
        <f t="shared" si="51"/>
        <v>11194220.90003449</v>
      </c>
      <c r="IC41" s="292">
        <f>SUM(IA41:IB41)</f>
        <v>16574707.30003449</v>
      </c>
      <c r="ID41" s="292"/>
      <c r="IE41" s="292">
        <f>SUM(IC41:ID41)</f>
        <v>16574707.30003449</v>
      </c>
      <c r="IF41" s="66"/>
      <c r="IG41" s="118"/>
      <c r="IH41" s="130"/>
      <c r="II41" s="130"/>
      <c r="IJ41" s="153"/>
    </row>
    <row r="42" spans="1:244" ht="15" customHeight="1" thickBot="1" thickTop="1">
      <c r="A42" s="3">
        <f t="shared" si="27"/>
        <v>31</v>
      </c>
      <c r="B42" s="8" t="s">
        <v>116</v>
      </c>
      <c r="C42" s="8"/>
      <c r="D42" s="8"/>
      <c r="E42" s="161">
        <f>+GC14</f>
        <v>0.002</v>
      </c>
      <c r="F42" s="493">
        <f>ROUND(G39*E42,0)</f>
        <v>-24046</v>
      </c>
      <c r="G42" s="152"/>
      <c r="H42" s="3">
        <f t="shared" si="1"/>
        <v>30</v>
      </c>
      <c r="I42" s="8" t="s">
        <v>115</v>
      </c>
      <c r="J42" s="161">
        <f>+GC13</f>
        <v>0.003502428</v>
      </c>
      <c r="K42" s="501">
        <f>+L40*J42</f>
        <v>278620.8559842681</v>
      </c>
      <c r="L42" s="152"/>
      <c r="M42" s="263"/>
      <c r="S42" s="78"/>
      <c r="T42" s="78"/>
      <c r="U42" s="78"/>
      <c r="V42" s="7"/>
      <c r="X42" s="184"/>
      <c r="Y42" s="19" t="s">
        <v>175</v>
      </c>
      <c r="Z42" s="7"/>
      <c r="AA42" s="334"/>
      <c r="AB42" s="441"/>
      <c r="AC42" s="441"/>
      <c r="AD42" s="442"/>
      <c r="AH42" s="78"/>
      <c r="AK42" s="339"/>
      <c r="AL42" s="263"/>
      <c r="AM42" s="361"/>
      <c r="AN42" s="361"/>
      <c r="AO42" s="43"/>
      <c r="AP42" s="339"/>
      <c r="AQ42" s="334"/>
      <c r="AR42" s="263"/>
      <c r="AS42" s="339"/>
      <c r="AT42" s="7"/>
      <c r="AU42" s="339"/>
      <c r="AV42" s="263"/>
      <c r="AW42" s="360"/>
      <c r="AX42" s="360"/>
      <c r="AY42" s="43"/>
      <c r="AZ42" s="362"/>
      <c r="BA42" s="334"/>
      <c r="BB42" s="263"/>
      <c r="BC42" s="339"/>
      <c r="BR42" s="7">
        <f t="shared" si="48"/>
        <v>30</v>
      </c>
      <c r="BS42" s="8" t="s">
        <v>39</v>
      </c>
      <c r="BT42" s="152"/>
      <c r="BU42" s="287"/>
      <c r="BV42" s="216">
        <f>-BV39-BV40</f>
        <v>-2675906.0768257296</v>
      </c>
      <c r="BW42" s="43"/>
      <c r="CB42" s="130"/>
      <c r="CC42" s="326"/>
      <c r="CD42" s="325"/>
      <c r="CE42" s="325"/>
      <c r="CF42" s="325"/>
      <c r="CH42" s="326"/>
      <c r="CI42" s="326"/>
      <c r="CJ42" s="326"/>
      <c r="CK42" s="326"/>
      <c r="CU42" s="14"/>
      <c r="CV42" s="14"/>
      <c r="CW42" s="14"/>
      <c r="CX42" s="32" t="s">
        <v>174</v>
      </c>
      <c r="CY42" s="180"/>
      <c r="CZ42" s="7">
        <f t="shared" si="34"/>
        <v>30</v>
      </c>
      <c r="DA42" s="257"/>
      <c r="DB42" s="152"/>
      <c r="DC42" s="310"/>
      <c r="DR42" s="133"/>
      <c r="DS42" s="118"/>
      <c r="DT42" s="118"/>
      <c r="EF42" s="7"/>
      <c r="EG42" s="302"/>
      <c r="EH42" s="302"/>
      <c r="EI42" s="302"/>
      <c r="EJ42" s="302"/>
      <c r="EO42" s="7"/>
      <c r="ET42" s="7">
        <f t="shared" si="22"/>
        <v>30</v>
      </c>
      <c r="EU42" s="97" t="s">
        <v>143</v>
      </c>
      <c r="EV42" s="180">
        <v>79593401.44</v>
      </c>
      <c r="EZ42" s="7">
        <f t="shared" si="23"/>
        <v>30</v>
      </c>
      <c r="FA42" s="78" t="s">
        <v>98</v>
      </c>
      <c r="FB42" s="242">
        <f>SUM(FB35:FB41)</f>
        <v>243629980.47499996</v>
      </c>
      <c r="FC42" s="242">
        <f>SUM(FC35:FC41)</f>
        <v>174069776.09257054</v>
      </c>
      <c r="FD42" s="242">
        <f>SUM(FD35:FD41)</f>
        <v>-69560204.3824294</v>
      </c>
      <c r="FE42" s="7">
        <f t="shared" si="25"/>
        <v>30</v>
      </c>
      <c r="FF42" s="263" t="s">
        <v>322</v>
      </c>
      <c r="FG42" s="187"/>
      <c r="FH42" s="249"/>
      <c r="FI42" s="217">
        <f>SUM(FI40:FI41)</f>
        <v>3031365.042768875</v>
      </c>
      <c r="FJ42" s="7"/>
      <c r="FK42" s="302"/>
      <c r="FL42" s="302"/>
      <c r="FM42" s="302"/>
      <c r="FN42" s="302"/>
      <c r="FO42" s="7">
        <f t="shared" si="57"/>
        <v>30</v>
      </c>
      <c r="FP42" s="8" t="s">
        <v>594</v>
      </c>
      <c r="FQ42" s="66">
        <f>FC20</f>
        <v>2034455.46</v>
      </c>
      <c r="FR42" s="152">
        <f t="shared" si="54"/>
        <v>-67889.77870020003</v>
      </c>
      <c r="FS42" s="180">
        <f t="shared" si="55"/>
        <v>23761</v>
      </c>
      <c r="FY42" s="7">
        <f t="shared" si="56"/>
        <v>8</v>
      </c>
      <c r="FZ42" s="78" t="s">
        <v>111</v>
      </c>
      <c r="GA42" s="200">
        <f>GA37</f>
        <v>0.46</v>
      </c>
      <c r="GB42" s="201">
        <f>GB37</f>
        <v>0.1015</v>
      </c>
      <c r="GC42" s="188">
        <f>ROUND(GA42*GB42,4)</f>
        <v>0.0467</v>
      </c>
      <c r="GD42" s="7">
        <f t="shared" si="39"/>
        <v>27</v>
      </c>
      <c r="GE42" s="8" t="s">
        <v>168</v>
      </c>
      <c r="GF42" s="66">
        <v>-11616917.68</v>
      </c>
      <c r="GG42" s="66"/>
      <c r="GH42" s="66"/>
      <c r="GI42" s="66"/>
      <c r="GJ42" s="66"/>
      <c r="GK42" s="66"/>
      <c r="GL42" s="66"/>
      <c r="GM42" s="66"/>
      <c r="GN42" s="66"/>
      <c r="GO42" s="7">
        <f t="shared" si="40"/>
        <v>27</v>
      </c>
      <c r="GP42" s="8" t="s">
        <v>168</v>
      </c>
      <c r="GQ42" s="66"/>
      <c r="GR42" s="66"/>
      <c r="GS42" s="66"/>
      <c r="GT42" s="66"/>
      <c r="GU42" s="66"/>
      <c r="GV42" s="66">
        <f>+BV15+BV30+BV18</f>
        <v>-1009075.537432475</v>
      </c>
      <c r="GW42" s="66"/>
      <c r="GX42" s="66"/>
      <c r="GY42" s="66"/>
      <c r="GZ42" s="7">
        <f t="shared" si="41"/>
        <v>27</v>
      </c>
      <c r="HA42" s="8" t="s">
        <v>168</v>
      </c>
      <c r="HB42" s="66"/>
      <c r="HC42" s="66"/>
      <c r="HD42" s="66"/>
      <c r="HE42" s="66"/>
      <c r="HF42" s="66">
        <f>DF21</f>
        <v>-1138126.2514533338</v>
      </c>
      <c r="HG42" s="66"/>
      <c r="HH42" s="66"/>
      <c r="HI42" s="66"/>
      <c r="HJ42" s="66"/>
      <c r="HK42" s="66"/>
      <c r="HL42" s="7">
        <f t="shared" si="42"/>
        <v>27</v>
      </c>
      <c r="HM42" s="8" t="s">
        <v>168</v>
      </c>
      <c r="HN42" s="66"/>
      <c r="HO42" s="66"/>
      <c r="HP42" s="66">
        <f>ES19</f>
        <v>15005650.823725</v>
      </c>
      <c r="HQ42" s="66"/>
      <c r="HR42" s="66"/>
      <c r="HS42" s="66"/>
      <c r="HT42" s="66"/>
      <c r="HU42" s="482">
        <f>FR28</f>
        <v>0</v>
      </c>
      <c r="HV42" s="66"/>
      <c r="HW42" s="66">
        <f>SUM(GG42:HV42)-HL42-GZ42-GO42</f>
        <v>12858449.03483919</v>
      </c>
      <c r="HX42" s="66">
        <f t="shared" si="49"/>
        <v>1241531.3548391908</v>
      </c>
      <c r="HY42" s="7">
        <f t="shared" si="43"/>
        <v>27</v>
      </c>
      <c r="HZ42" s="8" t="s">
        <v>168</v>
      </c>
      <c r="IA42" s="152">
        <f t="shared" si="50"/>
        <v>-11616917.68</v>
      </c>
      <c r="IB42" s="192">
        <f t="shared" si="51"/>
        <v>12858449.03483919</v>
      </c>
      <c r="IC42" s="292">
        <f>SUM(IA42:IB42)</f>
        <v>1241531.3548391908</v>
      </c>
      <c r="ID42" s="292"/>
      <c r="IE42" s="292">
        <f>SUM(IC42:ID42)</f>
        <v>1241531.3548391908</v>
      </c>
      <c r="IF42" s="66"/>
      <c r="IG42" s="118"/>
      <c r="IH42" s="130"/>
      <c r="II42" s="130"/>
      <c r="IJ42" s="153"/>
    </row>
    <row r="43" spans="1:244" ht="15" customHeight="1" thickTop="1">
      <c r="A43" s="3">
        <v>31</v>
      </c>
      <c r="B43" s="53" t="s">
        <v>31</v>
      </c>
      <c r="C43" s="8"/>
      <c r="D43" s="8"/>
      <c r="E43" s="161"/>
      <c r="F43" s="156"/>
      <c r="G43" s="494">
        <f>SUM(F41:F42)</f>
        <v>-66156</v>
      </c>
      <c r="H43" s="3">
        <f t="shared" si="1"/>
        <v>31</v>
      </c>
      <c r="I43" s="8" t="s">
        <v>116</v>
      </c>
      <c r="J43" s="161">
        <f>+GC14</f>
        <v>0.002</v>
      </c>
      <c r="K43" s="502">
        <f>+L40*J43</f>
        <v>159101.54668947833</v>
      </c>
      <c r="L43" s="152"/>
      <c r="M43" s="7"/>
      <c r="N43" s="8"/>
      <c r="Q43" s="130"/>
      <c r="S43" s="78"/>
      <c r="T43" s="78"/>
      <c r="U43" s="78"/>
      <c r="X43" s="184"/>
      <c r="Y43" s="19" t="s">
        <v>175</v>
      </c>
      <c r="Z43" s="7"/>
      <c r="AA43" s="334"/>
      <c r="AB43" s="398"/>
      <c r="AC43" s="398"/>
      <c r="AD43" s="360"/>
      <c r="AE43" s="110"/>
      <c r="AH43" s="78"/>
      <c r="AK43" s="339"/>
      <c r="AL43" s="334"/>
      <c r="AM43" s="361"/>
      <c r="AN43" s="361"/>
      <c r="AO43" s="43"/>
      <c r="AP43" s="339"/>
      <c r="AQ43" s="334"/>
      <c r="AR43" s="334"/>
      <c r="AS43" s="339"/>
      <c r="AT43" s="7"/>
      <c r="AU43" s="339"/>
      <c r="AV43" s="268"/>
      <c r="AW43" s="353"/>
      <c r="AX43" s="353"/>
      <c r="AZ43" s="339"/>
      <c r="BA43" s="334"/>
      <c r="BB43" s="263"/>
      <c r="BC43" s="339"/>
      <c r="BR43" s="7">
        <f t="shared" si="48"/>
        <v>31</v>
      </c>
      <c r="BT43" s="131"/>
      <c r="CB43" s="130"/>
      <c r="CC43" s="326"/>
      <c r="CD43" s="326"/>
      <c r="CE43" s="326"/>
      <c r="CF43" s="326"/>
      <c r="CH43" s="326"/>
      <c r="CI43" s="326"/>
      <c r="CJ43" s="326"/>
      <c r="CK43" s="326"/>
      <c r="CU43" s="14"/>
      <c r="CV43" s="16"/>
      <c r="CW43" s="17"/>
      <c r="CX43" s="32" t="s">
        <v>174</v>
      </c>
      <c r="CY43" s="152"/>
      <c r="CZ43" s="7">
        <f t="shared" si="34"/>
        <v>31</v>
      </c>
      <c r="DA43" s="257" t="s">
        <v>563</v>
      </c>
      <c r="DB43" s="152"/>
      <c r="DC43" s="304">
        <f>DC17+DC22+DC32+DC40</f>
        <v>-202239</v>
      </c>
      <c r="DR43" s="133"/>
      <c r="DS43" s="133"/>
      <c r="DT43" s="133"/>
      <c r="EF43" s="7"/>
      <c r="EG43" s="302"/>
      <c r="EH43" s="302"/>
      <c r="EI43" s="302"/>
      <c r="EJ43" s="302"/>
      <c r="EO43" s="7"/>
      <c r="ET43" s="7">
        <f t="shared" si="22"/>
        <v>31</v>
      </c>
      <c r="EU43" s="78" t="s">
        <v>228</v>
      </c>
      <c r="EV43" s="183">
        <f>SUM(EV42)</f>
        <v>79593401.44</v>
      </c>
      <c r="EZ43" s="48"/>
      <c r="FE43" s="302"/>
      <c r="FF43" s="302"/>
      <c r="FG43" s="302"/>
      <c r="FH43" s="302"/>
      <c r="FI43" s="302"/>
      <c r="FJ43" s="7"/>
      <c r="FK43" s="302"/>
      <c r="FL43" s="302"/>
      <c r="FM43" s="302"/>
      <c r="FN43" s="302"/>
      <c r="FO43" s="7">
        <f t="shared" si="57"/>
        <v>31</v>
      </c>
      <c r="FP43" s="263" t="s">
        <v>17</v>
      </c>
      <c r="FQ43" s="66">
        <f>AD35</f>
        <v>-1451500</v>
      </c>
      <c r="FR43" s="152">
        <f t="shared" si="54"/>
        <v>48436.555000000015</v>
      </c>
      <c r="FS43" s="180">
        <f t="shared" si="55"/>
        <v>-16953</v>
      </c>
      <c r="FT43" s="159"/>
      <c r="FU43" s="159"/>
      <c r="FV43" s="159"/>
      <c r="FY43" s="7">
        <f t="shared" si="56"/>
        <v>9</v>
      </c>
      <c r="FZ43" s="78" t="s">
        <v>375</v>
      </c>
      <c r="GA43" s="202">
        <f>SUM(GA40:GA42)</f>
        <v>1</v>
      </c>
      <c r="GB43" s="188"/>
      <c r="GC43" s="202">
        <f>SUM(GC40:GC42)</f>
        <v>0.07</v>
      </c>
      <c r="GD43" s="7">
        <f t="shared" si="39"/>
        <v>28</v>
      </c>
      <c r="GE43" s="78" t="s">
        <v>20</v>
      </c>
      <c r="GF43" s="66">
        <v>887595</v>
      </c>
      <c r="GO43" s="7">
        <f t="shared" si="40"/>
        <v>28</v>
      </c>
      <c r="GP43" s="78" t="s">
        <v>20</v>
      </c>
      <c r="GZ43" s="7">
        <f t="shared" si="41"/>
        <v>28</v>
      </c>
      <c r="HA43" s="78" t="s">
        <v>20</v>
      </c>
      <c r="HD43" s="153">
        <f>CY13</f>
        <v>-887595</v>
      </c>
      <c r="HF43" s="476"/>
      <c r="HL43" s="7">
        <f t="shared" si="42"/>
        <v>28</v>
      </c>
      <c r="HM43" s="78" t="s">
        <v>20</v>
      </c>
      <c r="HU43" s="482"/>
      <c r="HW43" s="66">
        <f>SUM(GG43:HV43)-HL43-GZ43-GO43</f>
        <v>-887595</v>
      </c>
      <c r="HX43" s="473">
        <f t="shared" si="49"/>
        <v>0</v>
      </c>
      <c r="HY43" s="7">
        <f t="shared" si="43"/>
        <v>28</v>
      </c>
      <c r="HZ43" s="78" t="s">
        <v>20</v>
      </c>
      <c r="IA43" s="152">
        <f t="shared" si="50"/>
        <v>887595</v>
      </c>
      <c r="IB43" s="192">
        <f t="shared" si="51"/>
        <v>-887595</v>
      </c>
      <c r="IC43" s="292">
        <f>SUM(IA43:IB43)</f>
        <v>0</v>
      </c>
      <c r="ID43" s="292"/>
      <c r="IE43" s="292">
        <f>SUM(IC43:ID43)</f>
        <v>0</v>
      </c>
      <c r="IF43" s="66"/>
      <c r="IG43" s="118"/>
      <c r="IH43" s="130"/>
      <c r="II43" s="130"/>
      <c r="IJ43" s="153"/>
    </row>
    <row r="44" spans="1:245" ht="15" customHeight="1">
      <c r="A44" s="3">
        <f aca="true" t="shared" si="58" ref="A44:A51">+A43+1</f>
        <v>32</v>
      </c>
      <c r="B44" s="8"/>
      <c r="C44" s="8"/>
      <c r="D44" s="8"/>
      <c r="E44" s="161"/>
      <c r="F44" s="165"/>
      <c r="G44" s="152"/>
      <c r="H44" s="3">
        <f t="shared" si="1"/>
        <v>32</v>
      </c>
      <c r="I44" s="53" t="s">
        <v>31</v>
      </c>
      <c r="J44" s="161"/>
      <c r="K44" s="223"/>
      <c r="L44" s="180">
        <f>SUM(K42:K43)</f>
        <v>437722.40267374646</v>
      </c>
      <c r="M44" s="7"/>
      <c r="R44" s="43"/>
      <c r="S44" s="78"/>
      <c r="T44" s="78"/>
      <c r="U44" s="78"/>
      <c r="X44" s="184"/>
      <c r="Y44" s="19"/>
      <c r="Z44" s="7"/>
      <c r="AA44" s="396"/>
      <c r="AB44" s="397"/>
      <c r="AC44" s="398"/>
      <c r="AD44" s="443"/>
      <c r="AE44" s="110"/>
      <c r="AH44" s="78"/>
      <c r="AJ44" s="43"/>
      <c r="AK44" s="339"/>
      <c r="AL44" s="334"/>
      <c r="AM44" s="263"/>
      <c r="AN44" s="339"/>
      <c r="AO44" s="43"/>
      <c r="AP44" s="339"/>
      <c r="AQ44" s="334"/>
      <c r="AR44" s="263"/>
      <c r="AS44" s="339"/>
      <c r="AT44" s="7"/>
      <c r="AU44" s="339"/>
      <c r="AV44" s="268"/>
      <c r="AW44" s="343"/>
      <c r="AX44" s="343"/>
      <c r="AZ44" s="339"/>
      <c r="BA44" s="334"/>
      <c r="BB44" s="263"/>
      <c r="BC44" s="339"/>
      <c r="BJ44" s="43"/>
      <c r="BR44" s="7">
        <f t="shared" si="48"/>
        <v>32</v>
      </c>
      <c r="BS44" s="120" t="s">
        <v>120</v>
      </c>
      <c r="BT44" s="131"/>
      <c r="CB44" s="130"/>
      <c r="CC44" s="326"/>
      <c r="CD44" s="326"/>
      <c r="CE44" s="326"/>
      <c r="CF44" s="326"/>
      <c r="CH44" s="326"/>
      <c r="CI44" s="326"/>
      <c r="CJ44" s="326"/>
      <c r="CK44" s="326"/>
      <c r="CU44" s="18"/>
      <c r="CV44" s="16"/>
      <c r="CW44" s="17"/>
      <c r="CX44" s="121"/>
      <c r="CY44" s="152"/>
      <c r="CZ44" s="7">
        <f t="shared" si="34"/>
        <v>32</v>
      </c>
      <c r="DA44" s="314"/>
      <c r="DB44" s="152"/>
      <c r="DC44" s="317"/>
      <c r="DR44" s="133"/>
      <c r="DS44" s="434"/>
      <c r="DT44" s="434"/>
      <c r="EF44" s="7"/>
      <c r="EG44" s="302"/>
      <c r="EH44" s="302"/>
      <c r="EI44" s="302"/>
      <c r="EJ44" s="302"/>
      <c r="EO44" s="7"/>
      <c r="ET44" s="7">
        <f t="shared" si="22"/>
        <v>32</v>
      </c>
      <c r="EU44" s="249" t="s">
        <v>529</v>
      </c>
      <c r="EV44" s="249"/>
      <c r="EW44" s="165">
        <f>EV43/10</f>
        <v>7959340.143999999</v>
      </c>
      <c r="EY44" s="327"/>
      <c r="EZ44" s="263"/>
      <c r="FA44" s="77"/>
      <c r="FB44" s="179"/>
      <c r="FC44" s="179"/>
      <c r="FD44" s="179"/>
      <c r="FE44" s="302"/>
      <c r="FF44" s="302"/>
      <c r="FG44" s="302"/>
      <c r="FH44" s="454"/>
      <c r="FI44" s="157"/>
      <c r="FJ44" s="48"/>
      <c r="FK44" s="454"/>
      <c r="FL44" s="302"/>
      <c r="FM44" s="302"/>
      <c r="FN44" s="302"/>
      <c r="FO44" s="7">
        <f t="shared" si="57"/>
        <v>32</v>
      </c>
      <c r="FP44" s="263" t="s">
        <v>545</v>
      </c>
      <c r="FQ44" s="66">
        <f>ES15</f>
        <v>4162153.8237249996</v>
      </c>
      <c r="FR44" s="152">
        <f t="shared" si="54"/>
        <v>-138891.07309770328</v>
      </c>
      <c r="FS44" s="180">
        <f t="shared" si="55"/>
        <v>48612</v>
      </c>
      <c r="FT44" s="156"/>
      <c r="FU44" s="156"/>
      <c r="FV44" s="156"/>
      <c r="FY44" s="135"/>
      <c r="GC44" s="1" t="s">
        <v>544</v>
      </c>
      <c r="GD44" s="7">
        <f t="shared" si="39"/>
        <v>29</v>
      </c>
      <c r="GE44" s="8" t="s">
        <v>528</v>
      </c>
      <c r="GF44" s="66">
        <v>171491626.99418002</v>
      </c>
      <c r="GG44" s="66">
        <f>+G46</f>
        <v>-464019</v>
      </c>
      <c r="GH44" s="66">
        <f>+L48</f>
        <v>3070214.3667762014</v>
      </c>
      <c r="GI44" s="66">
        <f>Q37</f>
        <v>-23004.905049564928</v>
      </c>
      <c r="GJ44" s="66"/>
      <c r="GK44" s="66"/>
      <c r="GL44" s="66">
        <f>AD31</f>
        <v>38900</v>
      </c>
      <c r="GM44" s="192"/>
      <c r="GN44" s="192">
        <f>AN24</f>
        <v>-250359.8943833334</v>
      </c>
      <c r="GO44" s="7">
        <f t="shared" si="40"/>
        <v>29</v>
      </c>
      <c r="GP44" s="8" t="s">
        <v>528</v>
      </c>
      <c r="GQ44" s="192"/>
      <c r="GR44" s="192"/>
      <c r="GS44" s="192"/>
      <c r="GT44" s="192">
        <f>BH35+BH25+BH30</f>
        <v>-60450326.183254</v>
      </c>
      <c r="GU44" s="66"/>
      <c r="GV44" s="66">
        <f>BV35</f>
        <v>-2239.38098154</v>
      </c>
      <c r="GW44" s="66">
        <f>CB15</f>
        <v>3019087.169999998</v>
      </c>
      <c r="GX44" s="66">
        <f>CF15</f>
        <v>-588458</v>
      </c>
      <c r="GY44" s="66"/>
      <c r="GZ44" s="7">
        <f t="shared" si="41"/>
        <v>29</v>
      </c>
      <c r="HA44" s="8" t="s">
        <v>528</v>
      </c>
      <c r="HB44" s="66">
        <f>CP18</f>
        <v>82291.03049999988</v>
      </c>
      <c r="HC44" s="66"/>
      <c r="HD44" s="66"/>
      <c r="HE44" s="66"/>
      <c r="HF44" s="473"/>
      <c r="HG44" s="66"/>
      <c r="HH44" s="66"/>
      <c r="HI44" s="66">
        <f>+DU24</f>
        <v>246856</v>
      </c>
      <c r="HJ44" s="66"/>
      <c r="HK44" s="66"/>
      <c r="HL44" s="7">
        <f t="shared" si="42"/>
        <v>29</v>
      </c>
      <c r="HM44" s="8" t="s">
        <v>528</v>
      </c>
      <c r="HN44" s="192">
        <f>EJ24</f>
        <v>63403</v>
      </c>
      <c r="HO44" s="66"/>
      <c r="HP44" s="66"/>
      <c r="HQ44" s="66"/>
      <c r="HR44" s="192"/>
      <c r="HS44" s="192"/>
      <c r="HT44" s="192"/>
      <c r="HU44" s="292">
        <f>FR33</f>
        <v>-601986.8318246382</v>
      </c>
      <c r="HV44" s="66">
        <f>FX19</f>
        <v>4120.116</v>
      </c>
      <c r="HW44" s="66">
        <f>SUM(GG44:HV44)-HL44-GZ44-GO44</f>
        <v>-55855522.51221688</v>
      </c>
      <c r="HX44" s="66">
        <f t="shared" si="49"/>
        <v>115636104.48196314</v>
      </c>
      <c r="HY44" s="7">
        <f t="shared" si="43"/>
        <v>29</v>
      </c>
      <c r="HZ44" s="8" t="s">
        <v>528</v>
      </c>
      <c r="IA44" s="152">
        <f t="shared" si="50"/>
        <v>171491626.99418002</v>
      </c>
      <c r="IB44" s="192">
        <f t="shared" si="51"/>
        <v>-55855522.51221688</v>
      </c>
      <c r="IC44" s="292">
        <f>SUM(IA44:IB44)</f>
        <v>115636104.48196314</v>
      </c>
      <c r="ID44" s="292">
        <f>+GC64*GC15</f>
        <v>5028158.6697576</v>
      </c>
      <c r="IE44" s="292">
        <f>SUM(IC44:ID44)</f>
        <v>120664263.15172075</v>
      </c>
      <c r="IF44" s="66"/>
      <c r="IG44" s="118"/>
      <c r="IH44" s="130"/>
      <c r="II44" s="130"/>
      <c r="IJ44" s="153"/>
      <c r="IK44" s="156"/>
    </row>
    <row r="45" spans="1:245" ht="15" customHeight="1" thickBot="1">
      <c r="A45" s="3">
        <f t="shared" si="58"/>
        <v>33</v>
      </c>
      <c r="B45" s="8" t="s">
        <v>117</v>
      </c>
      <c r="C45" s="8"/>
      <c r="D45" s="8"/>
      <c r="E45" s="161">
        <f>+GC15</f>
        <v>0.0385944</v>
      </c>
      <c r="F45" s="495">
        <f>ROUND(G39*E45,0)</f>
        <v>-464019</v>
      </c>
      <c r="G45" s="152"/>
      <c r="H45" s="3">
        <f t="shared" si="1"/>
        <v>33</v>
      </c>
      <c r="I45" s="8"/>
      <c r="J45" s="161"/>
      <c r="K45" s="165"/>
      <c r="L45" s="152"/>
      <c r="M45" s="7"/>
      <c r="P45" s="153"/>
      <c r="Q45" s="153"/>
      <c r="R45" s="43"/>
      <c r="S45" s="78"/>
      <c r="T45" s="78"/>
      <c r="U45" s="78"/>
      <c r="X45" s="184"/>
      <c r="Y45" s="19"/>
      <c r="Z45" s="7"/>
      <c r="AA45" s="133"/>
      <c r="AB45" s="133"/>
      <c r="AC45" s="133"/>
      <c r="AD45" s="133"/>
      <c r="AE45" s="110"/>
      <c r="AH45" s="78"/>
      <c r="AJ45" s="43"/>
      <c r="AK45" s="339"/>
      <c r="AL45" s="334"/>
      <c r="AM45" s="334"/>
      <c r="AN45" s="339"/>
      <c r="AO45" s="43"/>
      <c r="AP45" s="362"/>
      <c r="AQ45" s="334"/>
      <c r="AR45" s="263"/>
      <c r="AS45" s="339"/>
      <c r="AU45" s="339"/>
      <c r="AV45" s="263"/>
      <c r="AW45" s="241"/>
      <c r="AX45" s="241"/>
      <c r="AZ45" s="339"/>
      <c r="BA45" s="334"/>
      <c r="BB45" s="263"/>
      <c r="BC45" s="339"/>
      <c r="BJ45" s="43"/>
      <c r="BR45" s="7">
        <f t="shared" si="48"/>
        <v>33</v>
      </c>
      <c r="CB45" s="130"/>
      <c r="CD45" s="326"/>
      <c r="CE45" s="326"/>
      <c r="CF45" s="326"/>
      <c r="CG45" s="43"/>
      <c r="CH45" s="326"/>
      <c r="CI45" s="326"/>
      <c r="CJ45" s="326"/>
      <c r="CK45" s="326"/>
      <c r="CU45" s="14"/>
      <c r="CV45" s="14"/>
      <c r="CW45" s="18"/>
      <c r="CX45" s="32" t="s">
        <v>174</v>
      </c>
      <c r="CY45" s="152"/>
      <c r="CZ45" s="7">
        <f t="shared" si="34"/>
        <v>33</v>
      </c>
      <c r="DA45" s="314" t="s">
        <v>27</v>
      </c>
      <c r="DB45" s="417">
        <v>0.35</v>
      </c>
      <c r="DC45" s="330">
        <f>-DC43*DB45</f>
        <v>70783.65</v>
      </c>
      <c r="DR45" s="133"/>
      <c r="DS45" s="133"/>
      <c r="DT45" s="133"/>
      <c r="EF45" s="7"/>
      <c r="EG45" s="302"/>
      <c r="EH45" s="302"/>
      <c r="EI45" s="302"/>
      <c r="EJ45" s="302"/>
      <c r="EO45" s="7"/>
      <c r="ET45" s="7">
        <f t="shared" si="22"/>
        <v>33</v>
      </c>
      <c r="EU45" s="249" t="s">
        <v>145</v>
      </c>
      <c r="EV45" s="249"/>
      <c r="EW45" s="424"/>
      <c r="EX45" s="178">
        <f>SUM(EW38:EW45)</f>
        <v>15087356.096499998</v>
      </c>
      <c r="EZ45" s="48"/>
      <c r="FA45" s="96"/>
      <c r="FB45" s="179"/>
      <c r="FC45" s="179"/>
      <c r="FD45" s="170"/>
      <c r="FE45" s="302"/>
      <c r="FF45" s="523"/>
      <c r="FG45" s="298"/>
      <c r="FH45" s="298"/>
      <c r="FI45" s="158"/>
      <c r="FJ45" s="7"/>
      <c r="FK45" s="302"/>
      <c r="FL45" s="302"/>
      <c r="FM45" s="302"/>
      <c r="FN45" s="302"/>
      <c r="FO45" s="7">
        <f t="shared" si="57"/>
        <v>33</v>
      </c>
      <c r="FP45" s="78" t="s">
        <v>2</v>
      </c>
      <c r="FQ45" s="498">
        <f>SUM(FQ36:FQ44)</f>
        <v>41708431.005796015</v>
      </c>
      <c r="FR45" s="498">
        <f>SUM(FR36:FR44)</f>
        <v>-1391810.3426634134</v>
      </c>
      <c r="FS45" s="498">
        <f>SUM(FS36:FS44)</f>
        <v>487133</v>
      </c>
      <c r="FT45" s="156"/>
      <c r="FU45" s="156"/>
      <c r="FV45" s="156"/>
      <c r="FY45" s="135"/>
      <c r="GC45" s="1" t="s">
        <v>506</v>
      </c>
      <c r="GD45" s="7">
        <f t="shared" si="39"/>
        <v>30</v>
      </c>
      <c r="GE45" s="8" t="s">
        <v>530</v>
      </c>
      <c r="GF45" s="66">
        <v>-5105994.145963246</v>
      </c>
      <c r="GG45" s="66">
        <f>G50</f>
        <v>-4022477</v>
      </c>
      <c r="GH45" s="66">
        <f>L52</f>
        <v>26614993</v>
      </c>
      <c r="GI45" s="66">
        <f>Q39</f>
        <v>-30595214.813821733</v>
      </c>
      <c r="GJ45" s="66">
        <f>U30</f>
        <v>-12251183.717604587</v>
      </c>
      <c r="GK45" s="66">
        <f>Y33</f>
        <v>4773389.359226449</v>
      </c>
      <c r="GL45" s="66">
        <f>AD40</f>
        <v>290876</v>
      </c>
      <c r="GM45" s="66">
        <f>AI26</f>
        <v>-1180195</v>
      </c>
      <c r="GN45" s="66">
        <f>'Att 2 + Adj pages'!AN29</f>
        <v>-556420</v>
      </c>
      <c r="GO45" s="7">
        <f t="shared" si="40"/>
        <v>30</v>
      </c>
      <c r="GP45" s="8" t="s">
        <v>530</v>
      </c>
      <c r="GQ45" s="66">
        <f>AS27</f>
        <v>-829602</v>
      </c>
      <c r="GR45" s="66">
        <f>AX33</f>
        <v>-797979</v>
      </c>
      <c r="GS45" s="66">
        <f>BC24</f>
        <v>-258303</v>
      </c>
      <c r="GT45" s="66">
        <f>BH39</f>
        <v>-524892.7225246886</v>
      </c>
      <c r="GU45" s="66">
        <f>BQ26</f>
        <v>-284255</v>
      </c>
      <c r="GV45" s="66">
        <f>+BV40</f>
        <v>-1440873</v>
      </c>
      <c r="GW45" s="66">
        <f>CB17</f>
        <v>-1056681</v>
      </c>
      <c r="GX45" s="66">
        <f>CF23</f>
        <v>244755</v>
      </c>
      <c r="GY45" s="66">
        <f>CK19</f>
        <v>10496.710465777142</v>
      </c>
      <c r="GZ45" s="7">
        <f t="shared" si="41"/>
        <v>30</v>
      </c>
      <c r="HA45" s="8" t="s">
        <v>530</v>
      </c>
      <c r="HB45" s="66">
        <f>CP20</f>
        <v>-28801.860674999956</v>
      </c>
      <c r="HC45" s="66"/>
      <c r="HD45" s="66"/>
      <c r="HE45" s="68">
        <f>DC45</f>
        <v>70783.65</v>
      </c>
      <c r="HF45" s="66">
        <f>DF23</f>
        <v>398344.1880086668</v>
      </c>
      <c r="HG45" s="66">
        <f>DK19</f>
        <v>-208972.25600931217</v>
      </c>
      <c r="HH45" s="66">
        <f>DP19</f>
        <v>244281.08879475752</v>
      </c>
      <c r="HI45" s="66">
        <f>+DU28</f>
        <v>-1538663.7</v>
      </c>
      <c r="HJ45" s="66">
        <f>DZ34</f>
        <v>-62000</v>
      </c>
      <c r="HK45" s="66">
        <f>EE22</f>
        <v>-530768</v>
      </c>
      <c r="HL45" s="7">
        <f t="shared" si="42"/>
        <v>30</v>
      </c>
      <c r="HM45" s="8" t="s">
        <v>530</v>
      </c>
      <c r="HN45" s="66">
        <f>EJ29</f>
        <v>-328698</v>
      </c>
      <c r="HO45" s="66">
        <f>EN25+EN27-EN24</f>
        <v>153801.04362233647</v>
      </c>
      <c r="HP45" s="66">
        <f>ES21</f>
        <v>-5251977.78830375</v>
      </c>
      <c r="HQ45" s="66">
        <f>EY52</f>
        <v>-2882283.5836083326</v>
      </c>
      <c r="HR45" s="66">
        <f>FD23</f>
        <v>-881559.4347248548</v>
      </c>
      <c r="HS45" s="473">
        <f>FI35</f>
        <v>0</v>
      </c>
      <c r="HT45" s="66">
        <f>FN28</f>
        <v>-435966.57649999997</v>
      </c>
      <c r="HU45" s="292">
        <f>FS47</f>
        <v>1295748.2842837907</v>
      </c>
      <c r="HV45" s="66">
        <f>FX26</f>
        <v>35807.4626578032</v>
      </c>
      <c r="HW45" s="66">
        <f>SUM(GG45:HV45)-HL45-GZ45-GO45</f>
        <v>-31814491.666712675</v>
      </c>
      <c r="HX45" s="66">
        <f t="shared" si="49"/>
        <v>-36920485.81267592</v>
      </c>
      <c r="HY45" s="7">
        <f t="shared" si="43"/>
        <v>30</v>
      </c>
      <c r="HZ45" s="8" t="s">
        <v>530</v>
      </c>
      <c r="IA45" s="152">
        <f t="shared" si="50"/>
        <v>-5105994.145963246</v>
      </c>
      <c r="IB45" s="192">
        <f t="shared" si="51"/>
        <v>-31814491.666712675</v>
      </c>
      <c r="IC45" s="292">
        <f>SUM(IA45:IB45)</f>
        <v>-36920485.81267592</v>
      </c>
      <c r="ID45" s="292">
        <f>+GC64*GC20</f>
        <v>43587967.0709219</v>
      </c>
      <c r="IE45" s="292">
        <f>SUM(IC45:ID45)</f>
        <v>6667481.258245975</v>
      </c>
      <c r="IF45" s="66"/>
      <c r="IG45" s="118"/>
      <c r="IH45" s="130"/>
      <c r="II45" s="130"/>
      <c r="IJ45" s="153"/>
      <c r="IK45" s="130"/>
    </row>
    <row r="46" spans="1:244" ht="15" customHeight="1" thickBot="1" thickTop="1">
      <c r="A46" s="3">
        <f t="shared" si="58"/>
        <v>34</v>
      </c>
      <c r="B46" s="53" t="s">
        <v>32</v>
      </c>
      <c r="C46" s="8"/>
      <c r="D46" s="8"/>
      <c r="F46" s="165"/>
      <c r="G46" s="496">
        <f>SUM(F45:F45)</f>
        <v>-464019</v>
      </c>
      <c r="H46" s="3">
        <f t="shared" si="1"/>
        <v>34</v>
      </c>
      <c r="I46" s="8" t="s">
        <v>117</v>
      </c>
      <c r="J46" s="161">
        <f>+GC15</f>
        <v>0.0385944</v>
      </c>
      <c r="K46" s="157">
        <f>+L40*J46</f>
        <v>3070214.3667762014</v>
      </c>
      <c r="L46" s="152"/>
      <c r="M46" s="43"/>
      <c r="R46" s="43"/>
      <c r="S46" s="78"/>
      <c r="T46" s="78"/>
      <c r="U46" s="78"/>
      <c r="V46" s="43"/>
      <c r="X46" s="184"/>
      <c r="Y46" s="19"/>
      <c r="Z46" s="7"/>
      <c r="AA46" s="6"/>
      <c r="AB46" s="6"/>
      <c r="AC46" s="6"/>
      <c r="AD46" s="6"/>
      <c r="AH46" s="78"/>
      <c r="AJ46" s="43"/>
      <c r="AK46" s="339"/>
      <c r="AL46" s="334"/>
      <c r="AM46" s="263"/>
      <c r="AN46" s="339"/>
      <c r="AP46" s="339"/>
      <c r="AQ46" s="334"/>
      <c r="AR46" s="263"/>
      <c r="AS46" s="339"/>
      <c r="AU46" s="339"/>
      <c r="AV46" s="263"/>
      <c r="AW46" s="361"/>
      <c r="AX46" s="361"/>
      <c r="AY46" s="110"/>
      <c r="AZ46" s="334"/>
      <c r="BA46" s="334"/>
      <c r="BB46" s="264"/>
      <c r="BC46" s="339"/>
      <c r="BJ46" s="43"/>
      <c r="BR46" s="7">
        <f t="shared" si="48"/>
        <v>34</v>
      </c>
      <c r="BS46" s="263" t="s">
        <v>542</v>
      </c>
      <c r="BT46" s="152">
        <v>122341</v>
      </c>
      <c r="BU46" s="152"/>
      <c r="BV46" s="179">
        <f>BU46-BT46</f>
        <v>-122341</v>
      </c>
      <c r="BW46" s="110"/>
      <c r="CB46" s="130"/>
      <c r="CD46" s="326"/>
      <c r="CE46" s="326"/>
      <c r="CF46" s="326"/>
      <c r="CG46" s="43"/>
      <c r="CH46" s="326"/>
      <c r="CI46" s="326"/>
      <c r="CJ46" s="326"/>
      <c r="CK46" s="326"/>
      <c r="CU46" s="14"/>
      <c r="CV46" s="14"/>
      <c r="CW46" s="18"/>
      <c r="CX46" s="32"/>
      <c r="CY46" s="152"/>
      <c r="CZ46" s="7">
        <f t="shared" si="34"/>
        <v>34</v>
      </c>
      <c r="DA46" s="314" t="s">
        <v>39</v>
      </c>
      <c r="DB46" s="152"/>
      <c r="DC46" s="331">
        <f>-DC43-DC45</f>
        <v>131455.35</v>
      </c>
      <c r="DR46" s="133"/>
      <c r="DS46" s="133"/>
      <c r="DT46" s="133"/>
      <c r="EF46" s="7"/>
      <c r="EG46" s="302"/>
      <c r="EH46" s="302"/>
      <c r="EI46" s="302"/>
      <c r="EJ46" s="302"/>
      <c r="EO46" s="7"/>
      <c r="ET46" s="7">
        <f t="shared" si="22"/>
        <v>34</v>
      </c>
      <c r="EU46" s="249" t="s">
        <v>512</v>
      </c>
      <c r="EV46" s="249"/>
      <c r="EW46" s="249"/>
      <c r="EX46" s="284">
        <v>3843257</v>
      </c>
      <c r="EZ46" s="48"/>
      <c r="FA46" s="96"/>
      <c r="FB46" s="180"/>
      <c r="FC46" s="180"/>
      <c r="FD46" s="179"/>
      <c r="FE46" s="302"/>
      <c r="FF46" s="298"/>
      <c r="FG46" s="298"/>
      <c r="FH46" s="298"/>
      <c r="FI46" s="298"/>
      <c r="FJ46" s="7"/>
      <c r="FK46" s="302"/>
      <c r="FL46" s="457"/>
      <c r="FM46" s="457"/>
      <c r="FN46" s="457"/>
      <c r="FO46" s="7">
        <f t="shared" si="57"/>
        <v>34</v>
      </c>
      <c r="FP46" s="8" t="s">
        <v>342</v>
      </c>
      <c r="FQ46" s="183"/>
      <c r="FR46" s="183">
        <f>FR33+FR27+FR22+FR17+FR45</f>
        <v>-4175518.3329741526</v>
      </c>
      <c r="FS46" s="183"/>
      <c r="FT46" s="159"/>
      <c r="FU46" s="159"/>
      <c r="FV46" s="159"/>
      <c r="FY46" s="204"/>
      <c r="FZ46" s="43"/>
      <c r="GA46" s="20"/>
      <c r="GB46" s="43"/>
      <c r="GC46" s="22" t="s">
        <v>598</v>
      </c>
      <c r="GD46" s="7">
        <f t="shared" si="39"/>
        <v>31</v>
      </c>
      <c r="GE46" s="78" t="s">
        <v>169</v>
      </c>
      <c r="GF46" s="5">
        <v>67629350.843</v>
      </c>
      <c r="GG46" s="5"/>
      <c r="GH46" s="5"/>
      <c r="GI46" s="5"/>
      <c r="GJ46" s="5">
        <f>U31</f>
        <v>22077426.156999998</v>
      </c>
      <c r="GK46" s="5"/>
      <c r="GL46" s="118"/>
      <c r="GM46" s="118"/>
      <c r="GN46" s="118"/>
      <c r="GO46" s="7">
        <f t="shared" si="40"/>
        <v>31</v>
      </c>
      <c r="GP46" s="8" t="s">
        <v>169</v>
      </c>
      <c r="GQ46" s="118"/>
      <c r="GR46" s="118"/>
      <c r="GS46" s="118"/>
      <c r="GT46" s="118"/>
      <c r="GU46" s="5"/>
      <c r="GV46" s="5"/>
      <c r="GW46" s="5"/>
      <c r="GX46" s="5"/>
      <c r="GY46" s="5"/>
      <c r="GZ46" s="7">
        <f t="shared" si="41"/>
        <v>31</v>
      </c>
      <c r="HA46" s="78" t="s">
        <v>169</v>
      </c>
      <c r="HB46" s="5"/>
      <c r="HC46" s="5"/>
      <c r="HD46" s="66">
        <f>CY19</f>
        <v>310658.25</v>
      </c>
      <c r="HE46" s="5"/>
      <c r="HF46" s="474"/>
      <c r="HG46" s="5"/>
      <c r="HH46" s="5"/>
      <c r="HI46" s="5"/>
      <c r="HJ46" s="5"/>
      <c r="HK46" s="5"/>
      <c r="HL46" s="7">
        <f t="shared" si="42"/>
        <v>31</v>
      </c>
      <c r="HM46" s="78" t="s">
        <v>169</v>
      </c>
      <c r="HN46" s="118"/>
      <c r="HO46" s="5"/>
      <c r="HP46" s="5"/>
      <c r="HQ46" s="5"/>
      <c r="HR46" s="118"/>
      <c r="HS46" s="475"/>
      <c r="HT46" s="118"/>
      <c r="HU46" s="291"/>
      <c r="HV46" s="118"/>
      <c r="HW46" s="5">
        <f>SUM(GG46:HV46)-HL46-GZ46-GO46</f>
        <v>22388084.406999998</v>
      </c>
      <c r="HX46" s="5">
        <f t="shared" si="49"/>
        <v>90017435.25</v>
      </c>
      <c r="HY46" s="7">
        <f t="shared" si="43"/>
        <v>31</v>
      </c>
      <c r="HZ46" s="78" t="s">
        <v>169</v>
      </c>
      <c r="IA46" s="152">
        <f t="shared" si="50"/>
        <v>67629350.843</v>
      </c>
      <c r="IB46" s="192">
        <f t="shared" si="51"/>
        <v>22388084.406999998</v>
      </c>
      <c r="IC46" s="292">
        <f>SUM(IA46:IB46)</f>
        <v>90017435.25</v>
      </c>
      <c r="ID46" s="292"/>
      <c r="IE46" s="292">
        <f>SUM(IC46:ID46)</f>
        <v>90017435.25</v>
      </c>
      <c r="IF46" s="158"/>
      <c r="IG46" s="158"/>
      <c r="IH46" s="130"/>
      <c r="II46" s="130"/>
      <c r="IJ46" s="153"/>
    </row>
    <row r="47" spans="1:244" ht="15" customHeight="1" thickTop="1">
      <c r="A47" s="3">
        <f t="shared" si="58"/>
        <v>35</v>
      </c>
      <c r="B47" s="8"/>
      <c r="C47" s="8"/>
      <c r="D47" s="8"/>
      <c r="G47" s="152"/>
      <c r="H47" s="3">
        <f t="shared" si="1"/>
        <v>35</v>
      </c>
      <c r="I47" s="53" t="s">
        <v>518</v>
      </c>
      <c r="K47" s="175"/>
      <c r="L47" s="152"/>
      <c r="M47" s="43"/>
      <c r="N47" s="197"/>
      <c r="R47" s="43"/>
      <c r="S47" s="78"/>
      <c r="T47" s="78"/>
      <c r="U47" s="78"/>
      <c r="V47" s="43"/>
      <c r="X47" s="184"/>
      <c r="Y47" s="19"/>
      <c r="Z47" s="7"/>
      <c r="AA47" s="65"/>
      <c r="AB47" s="65"/>
      <c r="AC47" s="65"/>
      <c r="AD47" s="65"/>
      <c r="AH47" s="78"/>
      <c r="AJ47" s="43"/>
      <c r="AK47" s="362"/>
      <c r="AL47" s="334"/>
      <c r="AM47" s="263"/>
      <c r="AN47" s="339"/>
      <c r="AP47" s="339"/>
      <c r="AQ47" s="334"/>
      <c r="AR47" s="263"/>
      <c r="AS47" s="339"/>
      <c r="AU47" s="339"/>
      <c r="AV47" s="334"/>
      <c r="AW47" s="361"/>
      <c r="AX47" s="361"/>
      <c r="AY47" s="110"/>
      <c r="BJ47" s="43"/>
      <c r="BR47" s="7">
        <f t="shared" si="48"/>
        <v>35</v>
      </c>
      <c r="BS47" s="78" t="s">
        <v>299</v>
      </c>
      <c r="BU47" s="175">
        <v>3245319.010613334</v>
      </c>
      <c r="BV47" s="164">
        <f>BU47-BT47</f>
        <v>3245319.010613334</v>
      </c>
      <c r="BW47" s="110"/>
      <c r="CB47" s="130"/>
      <c r="CD47" s="326"/>
      <c r="CE47" s="326"/>
      <c r="CF47" s="326"/>
      <c r="CG47" s="43"/>
      <c r="CU47" s="121"/>
      <c r="CV47" s="32" t="s">
        <v>174</v>
      </c>
      <c r="CW47" s="121"/>
      <c r="CX47" s="32"/>
      <c r="CY47" s="152"/>
      <c r="CZ47" s="7"/>
      <c r="DR47" s="133"/>
      <c r="DS47" s="133"/>
      <c r="DT47" s="133"/>
      <c r="EF47" s="7"/>
      <c r="EG47" s="302"/>
      <c r="EH47" s="302"/>
      <c r="EI47" s="302"/>
      <c r="EJ47" s="302"/>
      <c r="EO47" s="7"/>
      <c r="ET47" s="7">
        <f t="shared" si="22"/>
        <v>35</v>
      </c>
      <c r="EW47" s="249"/>
      <c r="EX47" s="249"/>
      <c r="EZ47" s="48"/>
      <c r="FA47" s="316"/>
      <c r="FB47" s="180"/>
      <c r="FC47" s="180"/>
      <c r="FD47" s="179"/>
      <c r="FE47" s="302"/>
      <c r="FF47" s="298"/>
      <c r="FG47" s="298"/>
      <c r="FH47" s="298"/>
      <c r="FI47" s="524"/>
      <c r="FK47" s="454"/>
      <c r="FL47" s="458"/>
      <c r="FM47" s="458"/>
      <c r="FN47" s="458"/>
      <c r="FO47" s="7">
        <f t="shared" si="57"/>
        <v>35</v>
      </c>
      <c r="FP47" s="8" t="s">
        <v>90</v>
      </c>
      <c r="FQ47" s="152"/>
      <c r="FR47" s="152"/>
      <c r="FS47" s="152">
        <f>+FS17+FS22+FS27+FS33+FS45</f>
        <v>1295748.2842837907</v>
      </c>
      <c r="FY47" s="21" t="s">
        <v>334</v>
      </c>
      <c r="FZ47" s="43"/>
      <c r="GA47" s="20"/>
      <c r="GB47" s="43"/>
      <c r="GC47" s="42"/>
      <c r="GD47" s="7">
        <f t="shared" si="39"/>
        <v>32</v>
      </c>
      <c r="GE47" s="8" t="s">
        <v>170</v>
      </c>
      <c r="GF47" s="182">
        <f>SUM(GF30:GF46)</f>
        <v>1845823459.3377128</v>
      </c>
      <c r="GG47" s="182">
        <f>SUM(GG30:GG46)</f>
        <v>-4552652</v>
      </c>
      <c r="GH47" s="182">
        <f>SUM(GH30:GH46)</f>
        <v>30122929.76944995</v>
      </c>
      <c r="GI47" s="182">
        <f>SUM(GI30:GI46)</f>
        <v>-201766394.29627836</v>
      </c>
      <c r="GJ47" s="182">
        <f>SUM(GJ30:GJ46)</f>
        <v>9826242.439395411</v>
      </c>
      <c r="GK47" s="182">
        <f>SUM(GK30:GK46)</f>
        <v>4773389.359226449</v>
      </c>
      <c r="GL47" s="182">
        <f>SUM(GL30:GL46)</f>
        <v>-540198.2659999445</v>
      </c>
      <c r="GM47" s="182">
        <f>SUM(GM30:GM46)</f>
        <v>2191792</v>
      </c>
      <c r="GN47" s="182">
        <f>SUM(GN30:GN46)</f>
        <v>1033352.2592890412</v>
      </c>
      <c r="GO47" s="7">
        <f t="shared" si="40"/>
        <v>32</v>
      </c>
      <c r="GP47" s="8" t="s">
        <v>170</v>
      </c>
      <c r="GQ47" s="182">
        <f>SUM(GQ30:GQ46)</f>
        <v>1540690.2661269144</v>
      </c>
      <c r="GR47" s="182">
        <f>SUM(GR30:GR46)</f>
        <v>1481961</v>
      </c>
      <c r="GS47" s="182">
        <f>SUM(GS30:GS46)</f>
        <v>479705.73045599984</v>
      </c>
      <c r="GT47" s="182">
        <f>SUM(GT30:GT46)</f>
        <v>-16584582.799597003</v>
      </c>
      <c r="GU47" s="182">
        <f>SUM(GU30:GU46)</f>
        <v>527902</v>
      </c>
      <c r="GV47" s="182">
        <f>SUM(GV30:GV46)</f>
        <v>2675906.07682573</v>
      </c>
      <c r="GW47" s="182">
        <f>SUM(GW30:GW46)</f>
        <v>1962406.169999998</v>
      </c>
      <c r="GX47" s="182">
        <f>SUM(GX30:GX46)</f>
        <v>-454544</v>
      </c>
      <c r="GY47" s="182">
        <f>SUM(GY30:GY46)</f>
        <v>-19493.89086501469</v>
      </c>
      <c r="GZ47" s="7">
        <f t="shared" si="41"/>
        <v>32</v>
      </c>
      <c r="HA47" s="8" t="s">
        <v>170</v>
      </c>
      <c r="HB47" s="182">
        <f>SUM(HB30:HB46)</f>
        <v>53489.16982499992</v>
      </c>
      <c r="HC47" s="182">
        <f>SUM(HC30:HC46)</f>
        <v>350242</v>
      </c>
      <c r="HD47" s="182">
        <f>SUM(HD30:HD46)</f>
        <v>-576936.75</v>
      </c>
      <c r="HE47" s="182">
        <f>SUM(HE30:HE46)</f>
        <v>-131455.35</v>
      </c>
      <c r="HF47" s="182">
        <f>SUM(HF30:HF46)</f>
        <v>-739782.063444667</v>
      </c>
      <c r="HG47" s="182">
        <f>SUM(HG30:HG46)</f>
        <v>388091.33258872264</v>
      </c>
      <c r="HH47" s="182">
        <f>SUM(HH30:HH46)</f>
        <v>-453664.87919026404</v>
      </c>
      <c r="HI47" s="182">
        <f>SUM(HI30:HI46)</f>
        <v>2857518.3</v>
      </c>
      <c r="HJ47" s="182">
        <f>SUM(HJ30:HJ46)</f>
        <v>115141.7910141605</v>
      </c>
      <c r="HK47" s="182">
        <f>SUM(HK30:HK46)</f>
        <v>985713.0800000001</v>
      </c>
      <c r="HL47" s="7">
        <f t="shared" si="42"/>
        <v>32</v>
      </c>
      <c r="HM47" s="8" t="s">
        <v>170</v>
      </c>
      <c r="HN47" s="182">
        <f>SUM(HN30:HN46)</f>
        <v>610439</v>
      </c>
      <c r="HO47" s="182">
        <f>SUM(HO30:HO46)</f>
        <v>153801.04362233647</v>
      </c>
      <c r="HP47" s="182">
        <f>SUM(HP30:HP46)</f>
        <v>9753673.03542125</v>
      </c>
      <c r="HQ47" s="182">
        <f>SUM(HQ30:HQ46)</f>
        <v>5352812.3695583325</v>
      </c>
      <c r="HR47" s="182">
        <f>SUM(HR30:HR46)</f>
        <v>8718601.085275145</v>
      </c>
      <c r="HS47" s="182">
        <f>SUM(HS30:HS46)</f>
        <v>-6062730.08553775</v>
      </c>
      <c r="HT47" s="182">
        <f>SUM(HT30:HT46)</f>
        <v>809652.2135000001</v>
      </c>
      <c r="HU47" s="182">
        <f>SUM(HU30:HU46)</f>
        <v>-2879770.048690362</v>
      </c>
      <c r="HV47" s="182">
        <f>SUM(HV30:HV46)</f>
        <v>40516.4264926512</v>
      </c>
      <c r="HW47" s="182">
        <f>SUM(GG47:HV47)-HL47-GZ47-GO47</f>
        <v>-147956236.51153627</v>
      </c>
      <c r="HX47" s="182">
        <f>SUM(HX30:HX46)</f>
        <v>1697867222.8261764</v>
      </c>
      <c r="HY47" s="7">
        <f t="shared" si="43"/>
        <v>32</v>
      </c>
      <c r="HZ47" s="8" t="s">
        <v>170</v>
      </c>
      <c r="IA47" s="182">
        <f>SUM(IA30:IA46)</f>
        <v>1845823459.3377128</v>
      </c>
      <c r="IB47" s="182">
        <f>SUM(IB30:IB46)</f>
        <v>-147956236.5115362</v>
      </c>
      <c r="IC47" s="182">
        <f>SUM(IC30:IC46)</f>
        <v>1697867222.8261764</v>
      </c>
      <c r="ID47" s="182">
        <f>SUM(ID30:ID46)</f>
        <v>49332993.50006731</v>
      </c>
      <c r="IE47" s="182">
        <f>SUM(IE30:IE46)</f>
        <v>1747200216.3262436</v>
      </c>
      <c r="IF47" s="153"/>
      <c r="IG47" s="158"/>
      <c r="IH47" s="130"/>
      <c r="II47" s="130"/>
      <c r="IJ47" s="153"/>
    </row>
    <row r="48" spans="1:244" ht="15" customHeight="1" thickBot="1">
      <c r="A48" s="3">
        <f t="shared" si="58"/>
        <v>36</v>
      </c>
      <c r="B48" s="8" t="s">
        <v>41</v>
      </c>
      <c r="C48" s="8"/>
      <c r="D48" s="8"/>
      <c r="F48" s="156"/>
      <c r="G48" s="203">
        <f>G39-G43-G46</f>
        <v>-11492792</v>
      </c>
      <c r="H48" s="3">
        <f t="shared" si="1"/>
        <v>36</v>
      </c>
      <c r="I48" s="53" t="s">
        <v>32</v>
      </c>
      <c r="K48" s="165"/>
      <c r="L48" s="203">
        <f>SUM(K46:K47)</f>
        <v>3070214.3667762014</v>
      </c>
      <c r="M48" s="43"/>
      <c r="S48" s="78"/>
      <c r="T48" s="78"/>
      <c r="U48" s="78"/>
      <c r="V48" s="43"/>
      <c r="X48" s="184"/>
      <c r="Y48" s="19"/>
      <c r="Z48" s="7"/>
      <c r="AA48" s="152"/>
      <c r="AB48" s="152"/>
      <c r="AC48" s="152"/>
      <c r="AD48" s="152"/>
      <c r="AH48" s="78"/>
      <c r="AK48" s="339"/>
      <c r="AL48" s="334"/>
      <c r="AM48" s="263"/>
      <c r="AN48" s="339"/>
      <c r="AP48" s="339"/>
      <c r="AQ48" s="334"/>
      <c r="AR48" s="263"/>
      <c r="AS48" s="339"/>
      <c r="AT48" s="43"/>
      <c r="AU48" s="339"/>
      <c r="AV48" s="334"/>
      <c r="AW48" s="263"/>
      <c r="AX48" s="339"/>
      <c r="AY48" s="110"/>
      <c r="BR48" s="7">
        <f t="shared" si="48"/>
        <v>36</v>
      </c>
      <c r="BT48" s="189"/>
      <c r="BW48" s="110"/>
      <c r="CB48" s="130"/>
      <c r="CD48" s="326"/>
      <c r="CE48" s="326"/>
      <c r="CF48" s="326"/>
      <c r="CG48" s="43"/>
      <c r="CU48" s="121"/>
      <c r="CV48" s="32" t="s">
        <v>174</v>
      </c>
      <c r="CW48" s="121"/>
      <c r="CX48" s="32"/>
      <c r="CY48" s="152"/>
      <c r="CZ48" s="7"/>
      <c r="DA48" s="152"/>
      <c r="DB48" s="152"/>
      <c r="EF48" s="7"/>
      <c r="EG48" s="302"/>
      <c r="EH48" s="302"/>
      <c r="EI48" s="302"/>
      <c r="EJ48" s="302"/>
      <c r="EO48" s="7"/>
      <c r="ET48" s="7">
        <f t="shared" si="22"/>
        <v>36</v>
      </c>
      <c r="EU48" s="57" t="s">
        <v>155</v>
      </c>
      <c r="EV48" s="57"/>
      <c r="EW48" s="249"/>
      <c r="EX48" s="249"/>
      <c r="EY48" s="284">
        <f>EW38+EW44-EX46</f>
        <v>11244099.096499998</v>
      </c>
      <c r="EZ48" s="48"/>
      <c r="FA48" s="316"/>
      <c r="FB48" s="179"/>
      <c r="FC48" s="179"/>
      <c r="FD48" s="179"/>
      <c r="FE48" s="302"/>
      <c r="FF48" s="298"/>
      <c r="FG48" s="298"/>
      <c r="FH48" s="298"/>
      <c r="FI48" s="298"/>
      <c r="FK48" s="454"/>
      <c r="FL48" s="454"/>
      <c r="FM48" s="454"/>
      <c r="FN48" s="454"/>
      <c r="FO48" s="7">
        <f t="shared" si="57"/>
        <v>36</v>
      </c>
      <c r="FP48" s="8" t="s">
        <v>39</v>
      </c>
      <c r="FQ48" s="152"/>
      <c r="FR48" s="152"/>
      <c r="FS48" s="185">
        <f>-FR46-FS47</f>
        <v>2879770.048690362</v>
      </c>
      <c r="FY48" s="21" t="s">
        <v>119</v>
      </c>
      <c r="FZ48" s="43"/>
      <c r="GA48" s="20"/>
      <c r="GB48" s="43"/>
      <c r="GC48" s="43"/>
      <c r="GD48" s="7">
        <f t="shared" si="39"/>
        <v>33</v>
      </c>
      <c r="GF48" s="153"/>
      <c r="GG48" s="153" t="s">
        <v>175</v>
      </c>
      <c r="GH48" s="153" t="s">
        <v>175</v>
      </c>
      <c r="GI48" s="153" t="s">
        <v>175</v>
      </c>
      <c r="GJ48" s="153" t="s">
        <v>175</v>
      </c>
      <c r="GK48" s="153" t="s">
        <v>175</v>
      </c>
      <c r="GL48" s="153" t="s">
        <v>175</v>
      </c>
      <c r="GM48" s="153"/>
      <c r="GN48" s="153"/>
      <c r="GO48" s="7">
        <f t="shared" si="40"/>
        <v>33</v>
      </c>
      <c r="GP48" s="8"/>
      <c r="GQ48" s="153"/>
      <c r="GR48" s="153"/>
      <c r="GS48" s="153"/>
      <c r="GT48" s="153"/>
      <c r="GU48" s="153" t="s">
        <v>175</v>
      </c>
      <c r="GV48" s="153" t="s">
        <v>175</v>
      </c>
      <c r="GW48" s="153" t="s">
        <v>175</v>
      </c>
      <c r="GX48" s="153" t="s">
        <v>175</v>
      </c>
      <c r="GY48" s="153"/>
      <c r="GZ48" s="7">
        <f t="shared" si="41"/>
        <v>33</v>
      </c>
      <c r="HB48" s="153" t="s">
        <v>175</v>
      </c>
      <c r="HC48" s="153" t="s">
        <v>175</v>
      </c>
      <c r="HD48" s="153"/>
      <c r="HE48" s="153" t="s">
        <v>175</v>
      </c>
      <c r="HF48" s="470" t="s">
        <v>175</v>
      </c>
      <c r="HG48" s="153"/>
      <c r="HH48" s="153"/>
      <c r="HI48" s="153" t="s">
        <v>175</v>
      </c>
      <c r="HJ48" s="153" t="s">
        <v>175</v>
      </c>
      <c r="HK48" s="153" t="s">
        <v>175</v>
      </c>
      <c r="HL48" s="7">
        <f t="shared" si="42"/>
        <v>33</v>
      </c>
      <c r="HN48" s="153"/>
      <c r="HO48" s="153" t="s">
        <v>175</v>
      </c>
      <c r="HP48" s="153" t="s">
        <v>175</v>
      </c>
      <c r="HQ48" s="153" t="s">
        <v>175</v>
      </c>
      <c r="HR48" s="153"/>
      <c r="HS48" s="153"/>
      <c r="HT48" s="153"/>
      <c r="HU48" s="192" t="s">
        <v>175</v>
      </c>
      <c r="HV48" s="153"/>
      <c r="HW48" s="153"/>
      <c r="HX48" s="153"/>
      <c r="HY48" s="7">
        <f t="shared" si="43"/>
        <v>33</v>
      </c>
      <c r="IA48" s="153"/>
      <c r="IB48" s="192"/>
      <c r="IC48" s="192"/>
      <c r="ID48" s="192"/>
      <c r="IE48" s="192"/>
      <c r="IF48" s="68"/>
      <c r="IG48" s="6"/>
      <c r="IH48" s="130"/>
      <c r="II48" s="130"/>
      <c r="IJ48" s="153"/>
    </row>
    <row r="49" spans="1:244" ht="15" customHeight="1" thickBot="1" thickTop="1">
      <c r="A49" s="3">
        <f t="shared" si="58"/>
        <v>37</v>
      </c>
      <c r="B49" s="8"/>
      <c r="C49" s="8"/>
      <c r="D49" s="8"/>
      <c r="F49" s="156"/>
      <c r="G49" s="156"/>
      <c r="H49" s="3">
        <f t="shared" si="1"/>
        <v>37</v>
      </c>
      <c r="I49" s="8"/>
      <c r="L49" s="183"/>
      <c r="M49" s="43"/>
      <c r="S49" s="78"/>
      <c r="T49" s="78"/>
      <c r="U49" s="78"/>
      <c r="V49" s="43"/>
      <c r="X49" s="184"/>
      <c r="Y49" s="19"/>
      <c r="Z49" s="7"/>
      <c r="AA49" s="391"/>
      <c r="AB49" s="391"/>
      <c r="AC49" s="391"/>
      <c r="AD49" s="391"/>
      <c r="AH49" s="78"/>
      <c r="AK49" s="339"/>
      <c r="AL49" s="334"/>
      <c r="AM49" s="263"/>
      <c r="AN49" s="339"/>
      <c r="AO49" s="110"/>
      <c r="AP49" s="334"/>
      <c r="AQ49" s="334"/>
      <c r="AR49" s="264"/>
      <c r="AS49" s="339"/>
      <c r="AT49" s="43"/>
      <c r="AU49" s="339"/>
      <c r="AV49" s="334"/>
      <c r="AW49" s="334"/>
      <c r="AX49" s="339"/>
      <c r="BR49" s="7">
        <f t="shared" si="48"/>
        <v>37</v>
      </c>
      <c r="BS49" s="78" t="s">
        <v>287</v>
      </c>
      <c r="BT49" s="152"/>
      <c r="BU49" s="152"/>
      <c r="BV49" s="216">
        <f>SUM(BV46:BV47)</f>
        <v>3122978.010613334</v>
      </c>
      <c r="CB49" s="130"/>
      <c r="CU49" s="32" t="s">
        <v>174</v>
      </c>
      <c r="CV49" s="32" t="s">
        <v>174</v>
      </c>
      <c r="CW49" s="32" t="s">
        <v>174</v>
      </c>
      <c r="CX49" s="32" t="s">
        <v>174</v>
      </c>
      <c r="CY49" s="152"/>
      <c r="CZ49" s="7"/>
      <c r="EF49" s="7"/>
      <c r="EG49" s="302"/>
      <c r="EH49" s="302"/>
      <c r="EI49" s="302"/>
      <c r="EJ49" s="302"/>
      <c r="EO49" s="263"/>
      <c r="ET49" s="7">
        <f t="shared" si="22"/>
        <v>37</v>
      </c>
      <c r="EU49" s="249"/>
      <c r="EV49" s="249"/>
      <c r="EW49" s="305"/>
      <c r="EX49" s="305"/>
      <c r="EZ49" s="48"/>
      <c r="FA49" s="316"/>
      <c r="FB49" s="158"/>
      <c r="FC49" s="158"/>
      <c r="FD49" s="179"/>
      <c r="FE49" s="302"/>
      <c r="FF49" s="523"/>
      <c r="FG49" s="298"/>
      <c r="FH49" s="298"/>
      <c r="FI49" s="157"/>
      <c r="FK49" s="454"/>
      <c r="FL49" s="459"/>
      <c r="FM49" s="459"/>
      <c r="FN49" s="460"/>
      <c r="FO49" s="7">
        <f t="shared" si="57"/>
        <v>37</v>
      </c>
      <c r="FQ49" s="152"/>
      <c r="FR49" s="152"/>
      <c r="FY49" s="20" t="str">
        <f>TESTYEAR</f>
        <v>FOR THE TWELVE MONTHS ENDED SEPTEMBER 30, 2007</v>
      </c>
      <c r="FZ49" s="43"/>
      <c r="GA49" s="20"/>
      <c r="GB49" s="43"/>
      <c r="GC49" s="43"/>
      <c r="GD49" s="7">
        <f t="shared" si="39"/>
        <v>34</v>
      </c>
      <c r="GE49" s="8" t="s">
        <v>171</v>
      </c>
      <c r="GF49" s="68">
        <f aca="true" t="shared" si="59" ref="GF49:GN49">GF21-GF47</f>
        <v>252150130.8322873</v>
      </c>
      <c r="GG49" s="68">
        <f t="shared" si="59"/>
        <v>-7470315</v>
      </c>
      <c r="GH49" s="68">
        <f t="shared" si="59"/>
        <v>49427843.57528922</v>
      </c>
      <c r="GI49" s="68">
        <f t="shared" si="59"/>
        <v>-56819684.65424037</v>
      </c>
      <c r="GJ49" s="68">
        <f t="shared" si="59"/>
        <v>-9826242.439395411</v>
      </c>
      <c r="GK49" s="68">
        <f t="shared" si="59"/>
        <v>-4773389.359226449</v>
      </c>
      <c r="GL49" s="68">
        <f t="shared" si="59"/>
        <v>540198.2659999445</v>
      </c>
      <c r="GM49" s="68">
        <f t="shared" si="59"/>
        <v>-2191792</v>
      </c>
      <c r="GN49" s="68">
        <f t="shared" si="59"/>
        <v>-1033352.2592890412</v>
      </c>
      <c r="GO49" s="7">
        <f t="shared" si="40"/>
        <v>34</v>
      </c>
      <c r="GP49" s="8" t="s">
        <v>171</v>
      </c>
      <c r="GQ49" s="68">
        <f aca="true" t="shared" si="60" ref="GQ49:GY49">GQ21-GQ47</f>
        <v>-1540690.2661269144</v>
      </c>
      <c r="GR49" s="68">
        <f t="shared" si="60"/>
        <v>-1481961</v>
      </c>
      <c r="GS49" s="68">
        <f t="shared" si="60"/>
        <v>-479705.73045599984</v>
      </c>
      <c r="GT49" s="68">
        <f t="shared" si="60"/>
        <v>-974800.7704029977</v>
      </c>
      <c r="GU49" s="68">
        <f t="shared" si="60"/>
        <v>-527902</v>
      </c>
      <c r="GV49" s="68">
        <f t="shared" si="60"/>
        <v>-2675906.07682573</v>
      </c>
      <c r="GW49" s="68">
        <f t="shared" si="60"/>
        <v>-1962406.169999998</v>
      </c>
      <c r="GX49" s="68">
        <f t="shared" si="60"/>
        <v>454544</v>
      </c>
      <c r="GY49" s="68">
        <f t="shared" si="60"/>
        <v>19493.89086501469</v>
      </c>
      <c r="GZ49" s="7">
        <f t="shared" si="41"/>
        <v>34</v>
      </c>
      <c r="HA49" s="8" t="s">
        <v>171</v>
      </c>
      <c r="HB49" s="68">
        <f aca="true" t="shared" si="61" ref="HB49:HK49">HB21-HB47</f>
        <v>-53489.16982499992</v>
      </c>
      <c r="HC49" s="68">
        <f t="shared" si="61"/>
        <v>-350242</v>
      </c>
      <c r="HD49" s="68">
        <f t="shared" si="61"/>
        <v>576936.75</v>
      </c>
      <c r="HE49" s="68">
        <f t="shared" si="61"/>
        <v>131455.35</v>
      </c>
      <c r="HF49" s="68">
        <f t="shared" si="61"/>
        <v>739782.063444667</v>
      </c>
      <c r="HG49" s="68">
        <f t="shared" si="61"/>
        <v>-388091.33258872264</v>
      </c>
      <c r="HH49" s="68">
        <f t="shared" si="61"/>
        <v>453664.87919026404</v>
      </c>
      <c r="HI49" s="68">
        <f t="shared" si="61"/>
        <v>-2857518.3</v>
      </c>
      <c r="HJ49" s="68">
        <f t="shared" si="61"/>
        <v>-115141.7910141605</v>
      </c>
      <c r="HK49" s="68">
        <f t="shared" si="61"/>
        <v>-985713.0800000001</v>
      </c>
      <c r="HL49" s="7">
        <f t="shared" si="42"/>
        <v>34</v>
      </c>
      <c r="HM49" s="8" t="s">
        <v>171</v>
      </c>
      <c r="HN49" s="68">
        <f aca="true" t="shared" si="62" ref="HN49:HX49">HN21-HN47</f>
        <v>-610439</v>
      </c>
      <c r="HO49" s="68">
        <f t="shared" si="62"/>
        <v>-153801.04362233647</v>
      </c>
      <c r="HP49" s="68">
        <f t="shared" si="62"/>
        <v>-9753673.03542125</v>
      </c>
      <c r="HQ49" s="68">
        <f t="shared" si="62"/>
        <v>-5352812.3695583325</v>
      </c>
      <c r="HR49" s="68">
        <f t="shared" si="62"/>
        <v>-8718601.085275145</v>
      </c>
      <c r="HS49" s="68">
        <f t="shared" si="62"/>
        <v>6062730.08553775</v>
      </c>
      <c r="HT49" s="68">
        <f t="shared" si="62"/>
        <v>-809652.2135000001</v>
      </c>
      <c r="HU49" s="292">
        <f>HU21-HU47</f>
        <v>2879770.048690362</v>
      </c>
      <c r="HV49" s="68">
        <f>HV21-HV47</f>
        <v>66499.5735073488</v>
      </c>
      <c r="HW49" s="68">
        <f t="shared" si="62"/>
        <v>-60554403.66424328</v>
      </c>
      <c r="HX49" s="68">
        <f t="shared" si="62"/>
        <v>191595727.1680441</v>
      </c>
      <c r="HY49" s="7">
        <f t="shared" si="43"/>
        <v>34</v>
      </c>
      <c r="HZ49" s="78" t="str">
        <f>GE49</f>
        <v>NET OPERATING INCOME</v>
      </c>
      <c r="IA49" s="68">
        <f>IA21-IA47</f>
        <v>252150130.8322873</v>
      </c>
      <c r="IB49" s="292">
        <f>IB21-IB47</f>
        <v>-60554403.66424334</v>
      </c>
      <c r="IC49" s="292">
        <f>IC21-IC47</f>
        <v>191595727.1680441</v>
      </c>
      <c r="ID49" s="292">
        <f>ID21-ID47</f>
        <v>80949085.49993269</v>
      </c>
      <c r="IE49" s="292">
        <f>IE21-IE47</f>
        <v>272544812.66797686</v>
      </c>
      <c r="IF49" s="33"/>
      <c r="IG49" s="225"/>
      <c r="IH49" s="130"/>
      <c r="II49" s="130"/>
      <c r="IJ49" s="153"/>
    </row>
    <row r="50" spans="1:244" ht="15" customHeight="1" thickTop="1">
      <c r="A50" s="3">
        <f t="shared" si="58"/>
        <v>38</v>
      </c>
      <c r="B50" s="8" t="s">
        <v>37</v>
      </c>
      <c r="C50" s="8"/>
      <c r="D50" s="8"/>
      <c r="E50" s="55">
        <f>FIT</f>
        <v>0.35</v>
      </c>
      <c r="F50" s="156"/>
      <c r="G50" s="180">
        <f>ROUND(G48*E50,0)</f>
        <v>-4022477</v>
      </c>
      <c r="H50" s="3">
        <f t="shared" si="1"/>
        <v>38</v>
      </c>
      <c r="I50" s="8" t="s">
        <v>41</v>
      </c>
      <c r="K50" s="156"/>
      <c r="L50" s="203">
        <f>L40-L44-L48</f>
        <v>76042836.57528922</v>
      </c>
      <c r="S50" s="78"/>
      <c r="T50" s="78"/>
      <c r="U50" s="78"/>
      <c r="X50" s="184"/>
      <c r="Y50" s="19"/>
      <c r="Z50" s="7"/>
      <c r="AH50" s="78"/>
      <c r="AK50" s="339"/>
      <c r="AL50" s="334"/>
      <c r="AM50" s="263"/>
      <c r="AN50" s="339"/>
      <c r="AO50" s="110"/>
      <c r="AT50" s="43"/>
      <c r="AU50" s="339"/>
      <c r="AV50" s="334"/>
      <c r="AW50" s="263"/>
      <c r="AX50" s="339"/>
      <c r="BR50" s="7"/>
      <c r="BX50" s="128"/>
      <c r="CB50" s="130"/>
      <c r="CU50" s="32" t="s">
        <v>174</v>
      </c>
      <c r="CV50" s="32" t="s">
        <v>174</v>
      </c>
      <c r="CW50" s="32" t="s">
        <v>174</v>
      </c>
      <c r="CX50" s="32" t="s">
        <v>174</v>
      </c>
      <c r="CY50" s="152"/>
      <c r="CZ50" s="7"/>
      <c r="EF50" s="7"/>
      <c r="EG50" s="302"/>
      <c r="EH50" s="302"/>
      <c r="EI50" s="302"/>
      <c r="EJ50" s="302"/>
      <c r="EO50" s="7"/>
      <c r="ET50" s="7">
        <f t="shared" si="22"/>
        <v>38</v>
      </c>
      <c r="EU50" s="263" t="s">
        <v>156</v>
      </c>
      <c r="EV50" s="263"/>
      <c r="EW50" s="546"/>
      <c r="EX50" s="546"/>
      <c r="EY50" s="255">
        <f>EY28+EY48</f>
        <v>8235095.953166665</v>
      </c>
      <c r="EZ50" s="48"/>
      <c r="FA50" s="316"/>
      <c r="FB50" s="118"/>
      <c r="FC50" s="118"/>
      <c r="FD50" s="179"/>
      <c r="FE50" s="302"/>
      <c r="FF50" s="298"/>
      <c r="FG50" s="298"/>
      <c r="FH50" s="298"/>
      <c r="FI50" s="298"/>
      <c r="FK50" s="454"/>
      <c r="FL50" s="461"/>
      <c r="FM50" s="459"/>
      <c r="FN50" s="460"/>
      <c r="FO50" s="7">
        <f t="shared" si="57"/>
        <v>38</v>
      </c>
      <c r="FP50" s="151" t="s">
        <v>592</v>
      </c>
      <c r="FQ50" s="152"/>
      <c r="FR50" s="152"/>
      <c r="FS50" s="152"/>
      <c r="FY50" s="21" t="s">
        <v>119</v>
      </c>
      <c r="FZ50" s="122"/>
      <c r="GA50" s="43"/>
      <c r="GB50" s="43"/>
      <c r="GC50" s="43"/>
      <c r="GD50" s="7">
        <f>GD49+1</f>
        <v>35</v>
      </c>
      <c r="GF50" s="33"/>
      <c r="GG50" s="33"/>
      <c r="GH50" s="33"/>
      <c r="GI50" s="33"/>
      <c r="GJ50" s="33"/>
      <c r="GK50" s="33"/>
      <c r="GL50" s="33"/>
      <c r="GM50" s="33"/>
      <c r="GN50" s="33"/>
      <c r="GO50" s="7">
        <f>GO49+1</f>
        <v>35</v>
      </c>
      <c r="GP50" s="8"/>
      <c r="GQ50" s="33"/>
      <c r="GR50" s="33"/>
      <c r="GS50" s="33"/>
      <c r="GT50" s="33"/>
      <c r="GU50" s="33"/>
      <c r="GV50" s="33"/>
      <c r="GW50" s="33"/>
      <c r="GX50" s="33"/>
      <c r="GY50" s="33"/>
      <c r="GZ50" s="7">
        <f>GZ49+1</f>
        <v>35</v>
      </c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7">
        <f>HL49+1</f>
        <v>35</v>
      </c>
      <c r="HN50" s="33"/>
      <c r="HO50" s="33"/>
      <c r="HP50" s="33"/>
      <c r="HQ50" s="33"/>
      <c r="HR50" s="33"/>
      <c r="HS50" s="33"/>
      <c r="HT50" s="33"/>
      <c r="HU50" s="294"/>
      <c r="HV50" s="33"/>
      <c r="HW50" s="33"/>
      <c r="HX50" s="33"/>
      <c r="HY50" s="7">
        <f>HY49+1</f>
        <v>35</v>
      </c>
      <c r="HZ50" s="8"/>
      <c r="IA50" s="33"/>
      <c r="IB50" s="294"/>
      <c r="IC50" s="294" t="s">
        <v>175</v>
      </c>
      <c r="ID50" s="294"/>
      <c r="IE50" s="294" t="s">
        <v>175</v>
      </c>
      <c r="IF50" s="153"/>
      <c r="IG50" s="158"/>
      <c r="IH50" s="130"/>
      <c r="II50" s="130"/>
      <c r="IJ50" s="153"/>
    </row>
    <row r="51" spans="1:243" ht="15" customHeight="1" thickBot="1">
      <c r="A51" s="3">
        <f t="shared" si="58"/>
        <v>39</v>
      </c>
      <c r="B51" s="8" t="s">
        <v>265</v>
      </c>
      <c r="C51" s="8"/>
      <c r="D51" s="8"/>
      <c r="F51" s="156"/>
      <c r="G51" s="217">
        <f>G48-G50</f>
        <v>-7470315</v>
      </c>
      <c r="H51" s="3">
        <f t="shared" si="1"/>
        <v>39</v>
      </c>
      <c r="I51" s="8"/>
      <c r="K51" s="156"/>
      <c r="L51" s="156"/>
      <c r="R51" s="110"/>
      <c r="S51" s="78"/>
      <c r="T51" s="78"/>
      <c r="U51" s="78"/>
      <c r="X51" s="184"/>
      <c r="Y51" s="19"/>
      <c r="Z51" s="7"/>
      <c r="AA51" s="19"/>
      <c r="AB51" s="19"/>
      <c r="AC51" s="19"/>
      <c r="AD51" s="19"/>
      <c r="AH51" s="78"/>
      <c r="AJ51" s="110"/>
      <c r="AK51" s="334"/>
      <c r="AL51" s="334"/>
      <c r="AM51" s="264"/>
      <c r="AN51" s="339"/>
      <c r="AO51" s="110"/>
      <c r="AT51" s="43"/>
      <c r="AU51" s="362"/>
      <c r="AV51" s="334"/>
      <c r="AW51" s="263"/>
      <c r="AX51" s="339"/>
      <c r="BJ51" s="110"/>
      <c r="BR51" s="7"/>
      <c r="CB51" s="130"/>
      <c r="CU51" s="32" t="s">
        <v>174</v>
      </c>
      <c r="CV51" s="32" t="s">
        <v>174</v>
      </c>
      <c r="CW51" s="32" t="s">
        <v>174</v>
      </c>
      <c r="CX51" s="32" t="s">
        <v>174</v>
      </c>
      <c r="CY51" s="152"/>
      <c r="CZ51" s="7"/>
      <c r="DA51" s="152"/>
      <c r="DB51" s="152"/>
      <c r="DC51" s="152"/>
      <c r="EF51" s="7"/>
      <c r="EG51" s="302"/>
      <c r="EH51" s="302"/>
      <c r="EI51" s="302"/>
      <c r="EJ51" s="302"/>
      <c r="EO51" s="7"/>
      <c r="ET51" s="7">
        <f>ET50+1</f>
        <v>39</v>
      </c>
      <c r="EU51" s="305"/>
      <c r="EV51" s="305"/>
      <c r="EW51" s="305"/>
      <c r="EX51" s="305"/>
      <c r="EY51" s="305"/>
      <c r="EZ51" s="7"/>
      <c r="FA51" s="96"/>
      <c r="FB51" s="159"/>
      <c r="FC51" s="159"/>
      <c r="FD51" s="159"/>
      <c r="FE51" s="302"/>
      <c r="FF51" s="298"/>
      <c r="FG51" s="298"/>
      <c r="FH51" s="298"/>
      <c r="FI51" s="524"/>
      <c r="FK51" s="454"/>
      <c r="FL51" s="459"/>
      <c r="FM51" s="459"/>
      <c r="FN51" s="462"/>
      <c r="FO51" s="7">
        <f t="shared" si="57"/>
        <v>39</v>
      </c>
      <c r="FP51" s="8" t="s">
        <v>422</v>
      </c>
      <c r="FQ51" s="68">
        <v>2121905425.9233336</v>
      </c>
      <c r="FR51" s="153">
        <f aca="true" t="shared" si="63" ref="FR51:FR57">-ROUND(FQ51*$FR$11,0)</f>
        <v>-70807984</v>
      </c>
      <c r="FS51" s="152"/>
      <c r="GD51" s="7">
        <f t="shared" si="39"/>
        <v>36</v>
      </c>
      <c r="GE51" s="8" t="s">
        <v>172</v>
      </c>
      <c r="GF51" s="153">
        <f>GF62</f>
        <v>3189766299.4352174</v>
      </c>
      <c r="GG51" s="153"/>
      <c r="GH51" s="153"/>
      <c r="GI51" s="153"/>
      <c r="GJ51" s="153"/>
      <c r="GK51" s="153"/>
      <c r="GL51" s="153">
        <f>AD26</f>
        <v>10325849.879999999</v>
      </c>
      <c r="GM51" s="153">
        <f>AI18</f>
        <v>62547669</v>
      </c>
      <c r="GN51" s="153">
        <f>AN18</f>
        <v>48370960.566730045</v>
      </c>
      <c r="GO51" s="7">
        <f t="shared" si="40"/>
        <v>36</v>
      </c>
      <c r="GP51" s="8" t="s">
        <v>172</v>
      </c>
      <c r="GQ51" s="153">
        <f>AS17</f>
        <v>24744720.760031186</v>
      </c>
      <c r="GR51" s="153">
        <f>AX24</f>
        <v>15270981.666666668</v>
      </c>
      <c r="GS51" s="153">
        <f>BC16</f>
        <v>32595385.595139995</v>
      </c>
      <c r="GT51" s="153"/>
      <c r="GU51" s="153"/>
      <c r="GV51" s="153">
        <f>BV49</f>
        <v>3122978.010613334</v>
      </c>
      <c r="GW51" s="153"/>
      <c r="GX51" s="153"/>
      <c r="GY51" s="153"/>
      <c r="GZ51" s="7">
        <f t="shared" si="41"/>
        <v>36</v>
      </c>
      <c r="HA51" s="8" t="s">
        <v>172</v>
      </c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7">
        <f t="shared" si="42"/>
        <v>36</v>
      </c>
      <c r="HM51" s="8" t="s">
        <v>172</v>
      </c>
      <c r="HN51" s="153"/>
      <c r="HO51" s="153"/>
      <c r="HP51" s="153">
        <f>HP62</f>
        <v>6763253.380746877</v>
      </c>
      <c r="HQ51" s="153"/>
      <c r="HR51" s="153">
        <f>FD42</f>
        <v>-69560204.3824294</v>
      </c>
      <c r="HS51" s="153">
        <f>HS62</f>
        <v>3031365.042768875</v>
      </c>
      <c r="HT51" s="153">
        <f>FN18</f>
        <v>19640178.634583335</v>
      </c>
      <c r="HU51" s="192">
        <f>FR78+FR65</f>
        <v>-43045904</v>
      </c>
      <c r="HV51" s="153"/>
      <c r="HW51" s="153">
        <f>SUM(GG51:HV51)-HL51-GZ51-GO51</f>
        <v>113807234.1548509</v>
      </c>
      <c r="HX51" s="153">
        <f>HW51+GF51</f>
        <v>3303573533.5900683</v>
      </c>
      <c r="HY51" s="7">
        <f t="shared" si="43"/>
        <v>36</v>
      </c>
      <c r="HZ51" s="78" t="str">
        <f>GE51</f>
        <v>RATE BASE </v>
      </c>
      <c r="IA51" s="153">
        <f>+GF51</f>
        <v>3189766299.4352174</v>
      </c>
      <c r="IB51" s="153">
        <f>+HW51</f>
        <v>113807234.1548509</v>
      </c>
      <c r="IC51" s="153">
        <f>HX51</f>
        <v>3303573533.5900683</v>
      </c>
      <c r="ID51" s="192">
        <v>0</v>
      </c>
      <c r="IE51" s="153">
        <f>SUM(IC51:ID51)</f>
        <v>3303573533.5900683</v>
      </c>
      <c r="IH51" s="130"/>
      <c r="II51" s="130"/>
    </row>
    <row r="52" spans="1:244" ht="15" customHeight="1" thickTop="1">
      <c r="A52" s="3"/>
      <c r="H52" s="3">
        <f t="shared" si="1"/>
        <v>40</v>
      </c>
      <c r="I52" s="8" t="s">
        <v>37</v>
      </c>
      <c r="J52" s="55">
        <f>FIT</f>
        <v>0.35</v>
      </c>
      <c r="K52" s="156"/>
      <c r="L52" s="180">
        <f>ROUND(L50*J52,0)</f>
        <v>26614993</v>
      </c>
      <c r="R52" s="110"/>
      <c r="S52" s="78"/>
      <c r="T52" s="78"/>
      <c r="U52" s="78"/>
      <c r="X52" s="184"/>
      <c r="Y52" s="19"/>
      <c r="Z52" s="263"/>
      <c r="AA52" s="299"/>
      <c r="AB52" s="299"/>
      <c r="AC52" s="299"/>
      <c r="AD52" s="299"/>
      <c r="AH52" s="78"/>
      <c r="AJ52" s="110"/>
      <c r="AU52" s="339"/>
      <c r="AV52" s="334"/>
      <c r="AW52" s="263"/>
      <c r="AX52" s="339"/>
      <c r="BJ52" s="110"/>
      <c r="CB52" s="130"/>
      <c r="CG52" s="110"/>
      <c r="CU52" s="32" t="s">
        <v>174</v>
      </c>
      <c r="CV52" s="206"/>
      <c r="CW52" s="32"/>
      <c r="CX52" s="32" t="s">
        <v>174</v>
      </c>
      <c r="CY52" s="152"/>
      <c r="CZ52" s="7"/>
      <c r="DA52" s="152"/>
      <c r="DB52" s="152"/>
      <c r="DC52" s="152"/>
      <c r="EF52" s="7"/>
      <c r="EG52" s="302"/>
      <c r="EH52" s="302"/>
      <c r="EI52" s="302"/>
      <c r="EJ52" s="302"/>
      <c r="EO52" s="7"/>
      <c r="ET52" s="7">
        <f t="shared" si="22"/>
        <v>40</v>
      </c>
      <c r="EU52" s="305" t="s">
        <v>157</v>
      </c>
      <c r="EV52" s="305"/>
      <c r="EW52" s="133"/>
      <c r="EX52" s="133"/>
      <c r="EY52" s="284">
        <f>-EY50*0.35</f>
        <v>-2882283.5836083326</v>
      </c>
      <c r="EZ52" s="7"/>
      <c r="FA52" s="156"/>
      <c r="FB52" s="156"/>
      <c r="FC52" s="156"/>
      <c r="FD52" s="156"/>
      <c r="FE52" s="302"/>
      <c r="FF52" s="298"/>
      <c r="FG52" s="298"/>
      <c r="FH52" s="298"/>
      <c r="FI52" s="298"/>
      <c r="FK52" s="454"/>
      <c r="FL52" s="459"/>
      <c r="FM52" s="459"/>
      <c r="FN52" s="459"/>
      <c r="FO52" s="7">
        <f t="shared" si="57"/>
        <v>40</v>
      </c>
      <c r="FP52" s="8" t="s">
        <v>415</v>
      </c>
      <c r="FQ52" s="118">
        <v>-989158908.5247107</v>
      </c>
      <c r="FR52" s="180">
        <f t="shared" si="63"/>
        <v>33008233</v>
      </c>
      <c r="FY52" s="4" t="s">
        <v>190</v>
      </c>
      <c r="GC52" s="7" t="s">
        <v>175</v>
      </c>
      <c r="GD52" s="7">
        <f>GD51+1</f>
        <v>37</v>
      </c>
      <c r="GF52" s="149"/>
      <c r="GI52" s="149"/>
      <c r="GO52" s="7">
        <f>GO51+1</f>
        <v>37</v>
      </c>
      <c r="GP52" s="8"/>
      <c r="GZ52" s="7">
        <f>GZ51+1</f>
        <v>37</v>
      </c>
      <c r="HD52" s="8"/>
      <c r="HL52" s="7">
        <f>HL51+1</f>
        <v>37</v>
      </c>
      <c r="HU52" s="192"/>
      <c r="HX52" s="131"/>
      <c r="HY52" s="7">
        <f>HY51+1</f>
        <v>37</v>
      </c>
      <c r="IA52" s="153"/>
      <c r="IB52" s="192"/>
      <c r="IC52" s="192"/>
      <c r="ID52" s="192"/>
      <c r="IE52" s="192"/>
      <c r="IF52" s="188"/>
      <c r="IG52" s="200"/>
      <c r="IH52" s="130"/>
      <c r="II52" s="130"/>
      <c r="IJ52" s="130"/>
    </row>
    <row r="53" spans="1:242" ht="15" customHeight="1" thickBot="1">
      <c r="A53" s="263"/>
      <c r="H53" s="3">
        <f t="shared" si="1"/>
        <v>41</v>
      </c>
      <c r="I53" s="8" t="s">
        <v>265</v>
      </c>
      <c r="K53" s="156"/>
      <c r="L53" s="217">
        <f>L50-L52</f>
        <v>49427843.57528922</v>
      </c>
      <c r="M53" s="110" t="s">
        <v>175</v>
      </c>
      <c r="Q53" s="46"/>
      <c r="R53" s="110"/>
      <c r="S53" s="78"/>
      <c r="T53" s="78"/>
      <c r="U53" s="78"/>
      <c r="V53" s="110"/>
      <c r="X53" s="184"/>
      <c r="Y53" s="19"/>
      <c r="Z53" s="144"/>
      <c r="AA53" s="19"/>
      <c r="AB53" s="19"/>
      <c r="AC53" s="19"/>
      <c r="AD53" s="19"/>
      <c r="AH53" s="299"/>
      <c r="AJ53" s="110"/>
      <c r="AU53" s="339"/>
      <c r="AV53" s="334"/>
      <c r="AW53" s="263"/>
      <c r="AX53" s="339"/>
      <c r="BJ53" s="110"/>
      <c r="CB53" s="130"/>
      <c r="CG53" s="110"/>
      <c r="CK53" s="46"/>
      <c r="CU53" s="32" t="s">
        <v>174</v>
      </c>
      <c r="CV53" s="206"/>
      <c r="CW53" s="32"/>
      <c r="CX53" s="32" t="s">
        <v>174</v>
      </c>
      <c r="CY53" s="152"/>
      <c r="CZ53" s="152"/>
      <c r="DA53" s="152"/>
      <c r="DB53" s="152"/>
      <c r="DC53" s="152"/>
      <c r="EF53" s="7"/>
      <c r="EG53" s="302"/>
      <c r="EH53" s="302"/>
      <c r="EI53" s="302"/>
      <c r="EJ53" s="302"/>
      <c r="EO53" s="7"/>
      <c r="ET53" s="7">
        <f t="shared" si="22"/>
        <v>41</v>
      </c>
      <c r="EU53" s="305"/>
      <c r="EV53" s="305"/>
      <c r="EW53" s="180"/>
      <c r="EX53" s="180"/>
      <c r="EY53" s="305"/>
      <c r="EZ53" s="7"/>
      <c r="FA53" s="156"/>
      <c r="FB53" s="156"/>
      <c r="FC53" s="156"/>
      <c r="FD53" s="156"/>
      <c r="FE53" s="302"/>
      <c r="FF53" s="302"/>
      <c r="FG53" s="302"/>
      <c r="FH53" s="302"/>
      <c r="FI53" s="302"/>
      <c r="FK53" s="454"/>
      <c r="FL53" s="459"/>
      <c r="FM53" s="459"/>
      <c r="FN53" s="459"/>
      <c r="FO53" s="7">
        <f t="shared" si="57"/>
        <v>41</v>
      </c>
      <c r="FP53" s="8" t="s">
        <v>423</v>
      </c>
      <c r="FQ53" s="118">
        <v>80465857.10051998</v>
      </c>
      <c r="FR53" s="180">
        <f t="shared" si="63"/>
        <v>-2685146</v>
      </c>
      <c r="FY53" s="10" t="s">
        <v>215</v>
      </c>
      <c r="FZ53" s="26" t="s">
        <v>216</v>
      </c>
      <c r="GA53" s="148"/>
      <c r="GB53" s="148"/>
      <c r="GC53" s="44" t="s">
        <v>175</v>
      </c>
      <c r="GD53" s="7">
        <f t="shared" si="39"/>
        <v>38</v>
      </c>
      <c r="GE53" s="8" t="s">
        <v>173</v>
      </c>
      <c r="GF53" s="547">
        <f>GF49/GF51</f>
        <v>0.07904971937189668</v>
      </c>
      <c r="GI53" s="149"/>
      <c r="GO53" s="7">
        <f t="shared" si="40"/>
        <v>38</v>
      </c>
      <c r="GP53" s="8" t="s">
        <v>173</v>
      </c>
      <c r="GV53" s="38"/>
      <c r="GZ53" s="7">
        <f t="shared" si="41"/>
        <v>38</v>
      </c>
      <c r="HA53" s="8" t="s">
        <v>173</v>
      </c>
      <c r="HD53" s="8"/>
      <c r="HL53" s="7">
        <f t="shared" si="42"/>
        <v>38</v>
      </c>
      <c r="HM53" s="8" t="s">
        <v>173</v>
      </c>
      <c r="HU53" s="192"/>
      <c r="HX53" s="547">
        <f>HX49/HX51</f>
        <v>0.05799650748498177</v>
      </c>
      <c r="HY53" s="7">
        <f t="shared" si="43"/>
        <v>38</v>
      </c>
      <c r="HZ53" s="78" t="str">
        <f>GE53</f>
        <v>RATE OF RETURN</v>
      </c>
      <c r="IA53" s="188">
        <f>IA49/IA51</f>
        <v>0.07904971937189668</v>
      </c>
      <c r="IB53" s="192"/>
      <c r="IC53" s="188">
        <f>IC49/IC51</f>
        <v>0.05799650748498177</v>
      </c>
      <c r="ID53" s="192"/>
      <c r="IE53" s="188">
        <f>IE49/IE51</f>
        <v>0.08249999883362555</v>
      </c>
      <c r="IH53" s="130"/>
    </row>
    <row r="54" spans="1:239" ht="15" customHeight="1" thickBot="1" thickTop="1">
      <c r="A54" s="3"/>
      <c r="H54" s="3"/>
      <c r="M54" s="110" t="s">
        <v>175</v>
      </c>
      <c r="S54" s="78"/>
      <c r="T54" s="78"/>
      <c r="U54" s="78"/>
      <c r="V54" s="110"/>
      <c r="X54" s="184"/>
      <c r="Y54" s="19"/>
      <c r="Z54" s="133"/>
      <c r="AA54" s="19"/>
      <c r="AB54" s="19"/>
      <c r="AC54" s="19"/>
      <c r="AD54" s="19"/>
      <c r="AH54" s="299"/>
      <c r="AU54" s="339"/>
      <c r="AV54" s="334"/>
      <c r="AW54" s="263"/>
      <c r="AX54" s="339"/>
      <c r="CB54" s="130"/>
      <c r="CG54" s="110"/>
      <c r="CW54" s="152"/>
      <c r="CX54" s="152"/>
      <c r="CY54" s="152"/>
      <c r="CZ54" s="263"/>
      <c r="DA54" s="152"/>
      <c r="DB54" s="152"/>
      <c r="DC54" s="152"/>
      <c r="EF54" s="7"/>
      <c r="EG54" s="302"/>
      <c r="EH54" s="302"/>
      <c r="EI54" s="302"/>
      <c r="EJ54" s="302"/>
      <c r="EN54" s="46"/>
      <c r="EO54" s="7"/>
      <c r="ET54" s="7">
        <f t="shared" si="22"/>
        <v>42</v>
      </c>
      <c r="EU54" s="305" t="s">
        <v>265</v>
      </c>
      <c r="EV54" s="305"/>
      <c r="EW54" s="180"/>
      <c r="EX54" s="180"/>
      <c r="EY54" s="216">
        <f>-(EY50+EY52)</f>
        <v>-5352812.3695583325</v>
      </c>
      <c r="EZ54" s="7"/>
      <c r="FA54" s="156"/>
      <c r="FB54" s="156"/>
      <c r="FC54" s="156"/>
      <c r="FD54" s="156"/>
      <c r="FE54" s="302"/>
      <c r="FF54" s="302"/>
      <c r="FG54" s="302"/>
      <c r="FH54" s="302"/>
      <c r="FI54" s="302"/>
      <c r="FK54" s="454"/>
      <c r="FL54" s="459"/>
      <c r="FM54" s="459"/>
      <c r="FN54" s="459"/>
      <c r="FO54" s="7">
        <f t="shared" si="57"/>
        <v>42</v>
      </c>
      <c r="FP54" s="8" t="s">
        <v>416</v>
      </c>
      <c r="FQ54" s="118">
        <v>-4422650.30538</v>
      </c>
      <c r="FR54" s="180">
        <f t="shared" si="63"/>
        <v>147584</v>
      </c>
      <c r="GD54" s="7">
        <f t="shared" si="39"/>
        <v>39</v>
      </c>
      <c r="GO54" s="7">
        <f t="shared" si="40"/>
        <v>39</v>
      </c>
      <c r="GP54" s="8"/>
      <c r="GZ54" s="7">
        <f t="shared" si="41"/>
        <v>39</v>
      </c>
      <c r="HL54" s="7">
        <f t="shared" si="42"/>
        <v>39</v>
      </c>
      <c r="HU54" s="192"/>
      <c r="HY54" s="7">
        <f t="shared" si="43"/>
        <v>39</v>
      </c>
      <c r="IB54" s="192"/>
      <c r="IC54" s="192"/>
      <c r="ID54" s="192" t="s">
        <v>175</v>
      </c>
      <c r="IE54" s="192"/>
    </row>
    <row r="55" spans="1:241" ht="15" customHeight="1" thickTop="1">
      <c r="A55" s="3"/>
      <c r="H55" s="3"/>
      <c r="I55" s="8"/>
      <c r="M55" s="110" t="s">
        <v>175</v>
      </c>
      <c r="S55" s="78"/>
      <c r="T55" s="78"/>
      <c r="U55" s="78"/>
      <c r="V55" s="110"/>
      <c r="X55" s="184"/>
      <c r="Y55" s="46"/>
      <c r="Z55" s="144"/>
      <c r="AA55" s="19"/>
      <c r="AB55" s="19"/>
      <c r="AC55" s="19"/>
      <c r="AD55" s="19"/>
      <c r="AH55" s="299"/>
      <c r="AT55" s="110"/>
      <c r="AU55" s="334"/>
      <c r="AV55" s="334"/>
      <c r="AW55" s="264"/>
      <c r="AX55" s="339"/>
      <c r="BR55" s="7"/>
      <c r="CB55" s="130"/>
      <c r="CW55" s="152"/>
      <c r="CX55" s="152"/>
      <c r="CY55" s="152"/>
      <c r="CZ55" s="152"/>
      <c r="EF55" s="7"/>
      <c r="EG55" s="302"/>
      <c r="EH55" s="302"/>
      <c r="EI55" s="302"/>
      <c r="EJ55" s="302"/>
      <c r="EO55" s="7"/>
      <c r="ET55" s="7"/>
      <c r="EU55" s="281"/>
      <c r="EV55" s="281"/>
      <c r="EW55" s="282"/>
      <c r="EX55" s="282"/>
      <c r="EY55" s="180"/>
      <c r="EZ55" s="7"/>
      <c r="FA55" s="156"/>
      <c r="FB55" s="156"/>
      <c r="FC55" s="156"/>
      <c r="FD55" s="156"/>
      <c r="FE55" s="302"/>
      <c r="FF55" s="302"/>
      <c r="FG55" s="302"/>
      <c r="FH55" s="302"/>
      <c r="FI55" s="302"/>
      <c r="FK55" s="454"/>
      <c r="FL55" s="459"/>
      <c r="FM55" s="459"/>
      <c r="FN55" s="459"/>
      <c r="FO55" s="7">
        <f t="shared" si="57"/>
        <v>43</v>
      </c>
      <c r="FP55" s="8" t="s">
        <v>412</v>
      </c>
      <c r="FQ55" s="66">
        <v>6100301.3199999435</v>
      </c>
      <c r="FR55" s="152">
        <f t="shared" si="63"/>
        <v>-203567</v>
      </c>
      <c r="FS55" s="152"/>
      <c r="FY55" s="7">
        <v>1</v>
      </c>
      <c r="FZ55" s="78" t="s">
        <v>261</v>
      </c>
      <c r="GC55" s="58">
        <f>IC51</f>
        <v>3303573533.5900683</v>
      </c>
      <c r="GD55" s="7">
        <f t="shared" si="39"/>
        <v>40</v>
      </c>
      <c r="GE55" s="78" t="s">
        <v>94</v>
      </c>
      <c r="GO55" s="7">
        <f t="shared" si="40"/>
        <v>40</v>
      </c>
      <c r="GP55" s="8" t="s">
        <v>94</v>
      </c>
      <c r="GZ55" s="7">
        <f t="shared" si="41"/>
        <v>40</v>
      </c>
      <c r="HA55" s="78" t="s">
        <v>94</v>
      </c>
      <c r="HL55" s="7">
        <f t="shared" si="42"/>
        <v>40</v>
      </c>
      <c r="HM55" s="78" t="s">
        <v>94</v>
      </c>
      <c r="HU55" s="192"/>
      <c r="HY55" s="7">
        <f t="shared" si="43"/>
        <v>40</v>
      </c>
      <c r="HZ55" s="78" t="s">
        <v>94</v>
      </c>
      <c r="IB55" s="192"/>
      <c r="IC55" s="192"/>
      <c r="ID55" s="192" t="s">
        <v>175</v>
      </c>
      <c r="IE55" s="192"/>
      <c r="IF55" s="153"/>
      <c r="IG55" s="158"/>
    </row>
    <row r="56" spans="1:241" ht="15" customHeight="1">
      <c r="A56" s="3"/>
      <c r="H56" s="263"/>
      <c r="I56" s="152"/>
      <c r="J56" s="156"/>
      <c r="K56" s="156"/>
      <c r="L56" s="156"/>
      <c r="S56" s="78"/>
      <c r="T56" s="78"/>
      <c r="U56" s="78"/>
      <c r="X56" s="184"/>
      <c r="Y56" s="19"/>
      <c r="Z56" s="21"/>
      <c r="AA56" s="19"/>
      <c r="AB56" s="19"/>
      <c r="AC56" s="19"/>
      <c r="AD56" s="19"/>
      <c r="AH56" s="299"/>
      <c r="AT56" s="110"/>
      <c r="BR56" s="7"/>
      <c r="CB56" s="130"/>
      <c r="CF56" s="46"/>
      <c r="CW56" s="152"/>
      <c r="CX56" s="152"/>
      <c r="CY56" s="152"/>
      <c r="CZ56" s="152"/>
      <c r="EF56" s="7"/>
      <c r="EG56" s="302"/>
      <c r="EH56" s="302"/>
      <c r="EI56" s="302"/>
      <c r="EJ56" s="302"/>
      <c r="EO56" s="7"/>
      <c r="ET56" s="7"/>
      <c r="EU56" s="133"/>
      <c r="EV56" s="133"/>
      <c r="EW56" s="180"/>
      <c r="EX56" s="180"/>
      <c r="EY56" s="180"/>
      <c r="EZ56" s="7"/>
      <c r="FE56" s="302"/>
      <c r="FF56" s="302"/>
      <c r="FG56" s="302"/>
      <c r="FH56" s="302"/>
      <c r="FI56" s="302"/>
      <c r="FK56" s="454"/>
      <c r="FL56" s="459"/>
      <c r="FM56" s="459"/>
      <c r="FN56" s="459"/>
      <c r="FO56" s="7">
        <f t="shared" si="57"/>
        <v>44</v>
      </c>
      <c r="FP56" s="8" t="s">
        <v>413</v>
      </c>
      <c r="FQ56" s="66">
        <v>1797723.27</v>
      </c>
      <c r="FR56" s="152">
        <f t="shared" si="63"/>
        <v>-59990</v>
      </c>
      <c r="FS56" s="152"/>
      <c r="FY56" s="7">
        <f aca="true" t="shared" si="64" ref="FY56:FY67">FY55+1</f>
        <v>2</v>
      </c>
      <c r="FZ56" s="8" t="s">
        <v>173</v>
      </c>
      <c r="GC56" s="201">
        <f>GC38</f>
        <v>0.08249999999999999</v>
      </c>
      <c r="GD56" s="7">
        <f t="shared" si="39"/>
        <v>41</v>
      </c>
      <c r="GE56" s="123" t="s">
        <v>335</v>
      </c>
      <c r="GF56" s="153">
        <v>5564169426.810254</v>
      </c>
      <c r="GG56" s="153">
        <v>0</v>
      </c>
      <c r="GH56" s="153">
        <v>0</v>
      </c>
      <c r="GI56" s="153">
        <v>0</v>
      </c>
      <c r="GJ56" s="153">
        <v>0</v>
      </c>
      <c r="GL56" s="153">
        <f>AD15</f>
        <v>13240284.93</v>
      </c>
      <c r="GM56" s="153">
        <f>AI14</f>
        <v>76704231</v>
      </c>
      <c r="GN56" s="153">
        <f>AN14</f>
        <v>132414991.26416674</v>
      </c>
      <c r="GO56" s="7">
        <f t="shared" si="40"/>
        <v>41</v>
      </c>
      <c r="GP56" s="123" t="s">
        <v>335</v>
      </c>
      <c r="GQ56" s="153">
        <f>AS14</f>
        <v>99273738</v>
      </c>
      <c r="GR56" s="153">
        <f>AX14+AX19</f>
        <v>31821166.666666668</v>
      </c>
      <c r="GS56" s="153">
        <f>BC14</f>
        <v>33210392.870519996</v>
      </c>
      <c r="GT56" s="153"/>
      <c r="GU56" s="153">
        <v>0</v>
      </c>
      <c r="GV56" s="153">
        <f>GV51-GV57</f>
        <v>3122978.010613334</v>
      </c>
      <c r="GW56" s="153">
        <v>0</v>
      </c>
      <c r="GX56" s="153">
        <v>0</v>
      </c>
      <c r="GY56" s="153">
        <v>0</v>
      </c>
      <c r="GZ56" s="7">
        <f t="shared" si="41"/>
        <v>41</v>
      </c>
      <c r="HA56" s="123" t="s">
        <v>335</v>
      </c>
      <c r="HB56" s="153">
        <v>0</v>
      </c>
      <c r="HC56" s="153">
        <v>0</v>
      </c>
      <c r="HD56" s="153">
        <v>0</v>
      </c>
      <c r="HE56" s="153">
        <v>0</v>
      </c>
      <c r="HF56" s="153">
        <f>+HF51</f>
        <v>0</v>
      </c>
      <c r="HG56" s="153">
        <v>0</v>
      </c>
      <c r="HH56" s="153">
        <v>0</v>
      </c>
      <c r="HI56" s="153">
        <v>0</v>
      </c>
      <c r="HJ56" s="153">
        <v>0</v>
      </c>
      <c r="HK56" s="153">
        <v>0</v>
      </c>
      <c r="HL56" s="7">
        <f t="shared" si="42"/>
        <v>41</v>
      </c>
      <c r="HM56" s="123" t="s">
        <v>335</v>
      </c>
      <c r="HN56" s="153"/>
      <c r="HO56" s="153">
        <v>0</v>
      </c>
      <c r="HP56" s="153"/>
      <c r="HQ56" s="153">
        <v>0</v>
      </c>
      <c r="HR56" s="153"/>
      <c r="HS56" s="153"/>
      <c r="HT56" s="152">
        <f>FN15</f>
        <v>20948405.8425</v>
      </c>
      <c r="HU56" s="192">
        <f>HU51-HU59-HU58-HU57</f>
        <v>-74872680</v>
      </c>
      <c r="HV56" s="152"/>
      <c r="HW56" s="153">
        <f>SUM(GG56:HV56)-HL56-GZ56-GO56</f>
        <v>335863508.5844668</v>
      </c>
      <c r="HX56" s="153">
        <f aca="true" t="shared" si="65" ref="HX56:HX61">+HW56+GF56</f>
        <v>5900032935.394721</v>
      </c>
      <c r="HY56" s="7">
        <f t="shared" si="43"/>
        <v>41</v>
      </c>
      <c r="HZ56" s="123" t="s">
        <v>335</v>
      </c>
      <c r="IA56" s="153">
        <f aca="true" t="shared" si="66" ref="IA56:IA61">GF56</f>
        <v>5564169426.810254</v>
      </c>
      <c r="IB56" s="153">
        <f aca="true" t="shared" si="67" ref="IB56:IB61">+HW56</f>
        <v>335863508.5844668</v>
      </c>
      <c r="IC56" s="153">
        <f aca="true" t="shared" si="68" ref="IC56:IC61">+IB56+IA56</f>
        <v>5900032935.394721</v>
      </c>
      <c r="ID56" s="222"/>
      <c r="IE56" s="192"/>
      <c r="IF56" s="153"/>
      <c r="IG56" s="158"/>
    </row>
    <row r="57" spans="1:241" ht="15" customHeight="1">
      <c r="A57" s="3"/>
      <c r="H57" s="3"/>
      <c r="S57" s="78"/>
      <c r="T57" s="78"/>
      <c r="U57" s="78"/>
      <c r="Z57" s="20"/>
      <c r="AA57" s="19"/>
      <c r="AB57" s="19"/>
      <c r="AC57" s="19"/>
      <c r="AD57" s="19"/>
      <c r="AH57" s="299"/>
      <c r="AT57" s="110"/>
      <c r="CB57" s="130"/>
      <c r="CW57" s="152"/>
      <c r="CX57" s="152"/>
      <c r="CY57" s="152"/>
      <c r="CZ57" s="152"/>
      <c r="EF57" s="7"/>
      <c r="EG57" s="302"/>
      <c r="EH57" s="302"/>
      <c r="EI57" s="302"/>
      <c r="EJ57" s="302"/>
      <c r="EP57" s="46"/>
      <c r="EQ57" s="46"/>
      <c r="ER57" s="46"/>
      <c r="ES57" s="46"/>
      <c r="ET57" s="7"/>
      <c r="EU57" s="283"/>
      <c r="EV57" s="283"/>
      <c r="EW57" s="279"/>
      <c r="EX57" s="279"/>
      <c r="EY57" s="133"/>
      <c r="EZ57" s="7"/>
      <c r="FA57" s="156"/>
      <c r="FB57" s="156"/>
      <c r="FC57" s="156"/>
      <c r="FD57" s="156"/>
      <c r="FE57" s="302"/>
      <c r="FF57" s="302"/>
      <c r="FG57" s="302"/>
      <c r="FH57" s="302"/>
      <c r="FI57" s="302"/>
      <c r="FK57" s="454"/>
      <c r="FL57" s="463"/>
      <c r="FM57" s="459"/>
      <c r="FN57" s="463"/>
      <c r="FO57" s="7">
        <f t="shared" si="57"/>
        <v>45</v>
      </c>
      <c r="FP57" s="8" t="s">
        <v>414</v>
      </c>
      <c r="FQ57" s="66">
        <v>41341033.18000001</v>
      </c>
      <c r="FR57" s="180">
        <f t="shared" si="63"/>
        <v>-1379550</v>
      </c>
      <c r="FS57" s="180"/>
      <c r="FY57" s="7">
        <f t="shared" si="64"/>
        <v>3</v>
      </c>
      <c r="FZ57" s="8"/>
      <c r="GA57" s="131" t="s">
        <v>175</v>
      </c>
      <c r="GD57" s="7">
        <f t="shared" si="39"/>
        <v>42</v>
      </c>
      <c r="GE57" s="123" t="s">
        <v>336</v>
      </c>
      <c r="GF57" s="152">
        <v>-2277237104.224495</v>
      </c>
      <c r="GG57" s="153"/>
      <c r="GH57" s="153"/>
      <c r="GI57" s="153"/>
      <c r="GJ57" s="153"/>
      <c r="GL57" s="66">
        <f>AD16</f>
        <v>-466940.72</v>
      </c>
      <c r="GM57" s="152">
        <f>+AI15</f>
        <v>-3217691</v>
      </c>
      <c r="GN57" s="152">
        <f>AN15</f>
        <v>-79710913</v>
      </c>
      <c r="GO57" s="7">
        <f t="shared" si="40"/>
        <v>42</v>
      </c>
      <c r="GP57" s="123" t="s">
        <v>336</v>
      </c>
      <c r="GQ57" s="152">
        <f>AS15</f>
        <v>-74483303.28716297</v>
      </c>
      <c r="GR57" s="152">
        <f>AX15+AX20</f>
        <v>-16632395</v>
      </c>
      <c r="GS57" s="152">
        <f>BC15</f>
        <v>-615007.2753799999</v>
      </c>
      <c r="GT57" s="152"/>
      <c r="GU57" s="153"/>
      <c r="GV57" s="153"/>
      <c r="GW57" s="153"/>
      <c r="GX57" s="153"/>
      <c r="GY57" s="153"/>
      <c r="GZ57" s="7">
        <f t="shared" si="41"/>
        <v>42</v>
      </c>
      <c r="HA57" s="123" t="s">
        <v>336</v>
      </c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7">
        <f t="shared" si="42"/>
        <v>42</v>
      </c>
      <c r="HM57" s="123" t="s">
        <v>336</v>
      </c>
      <c r="HN57" s="153"/>
      <c r="HO57" s="153"/>
      <c r="HP57" s="153"/>
      <c r="HQ57" s="153"/>
      <c r="HR57" s="153"/>
      <c r="HS57" s="153">
        <f>FI40</f>
        <v>3031365.042768875</v>
      </c>
      <c r="HT57" s="153">
        <f>FN16</f>
        <v>-1728642.2079166668</v>
      </c>
      <c r="HU57" s="192">
        <f>FR52+FR54</f>
        <v>33155817</v>
      </c>
      <c r="HV57" s="153"/>
      <c r="HW57" s="152">
        <f>SUM(GG57:HV57)-HL57-GZ57-GO57</f>
        <v>-140667710.44769078</v>
      </c>
      <c r="HX57" s="152">
        <f t="shared" si="65"/>
        <v>-2417904814.672186</v>
      </c>
      <c r="HY57" s="7">
        <f t="shared" si="43"/>
        <v>42</v>
      </c>
      <c r="HZ57" s="123" t="s">
        <v>336</v>
      </c>
      <c r="IA57" s="66">
        <f t="shared" si="66"/>
        <v>-2277237104.224495</v>
      </c>
      <c r="IB57" s="292">
        <f t="shared" si="67"/>
        <v>-140667710.44769078</v>
      </c>
      <c r="IC57" s="292">
        <f t="shared" si="68"/>
        <v>-2417904814.672186</v>
      </c>
      <c r="ID57" s="222"/>
      <c r="IE57" s="192"/>
      <c r="IF57" s="153"/>
      <c r="IG57" s="158"/>
    </row>
    <row r="58" spans="1:241" ht="15" customHeight="1">
      <c r="A58" s="3"/>
      <c r="I58" s="152"/>
      <c r="J58" s="157"/>
      <c r="K58" s="157"/>
      <c r="L58" s="157"/>
      <c r="S58" s="78"/>
      <c r="T58" s="78"/>
      <c r="U58" s="78"/>
      <c r="Z58" s="20"/>
      <c r="AA58" s="19"/>
      <c r="AB58" s="19"/>
      <c r="AC58" s="19"/>
      <c r="AD58" s="19"/>
      <c r="AF58" s="133"/>
      <c r="AG58" s="133"/>
      <c r="AH58" s="299"/>
      <c r="AI58" s="133"/>
      <c r="BX58" s="299"/>
      <c r="BY58" s="299"/>
      <c r="BZ58" s="299"/>
      <c r="CA58" s="299"/>
      <c r="CC58" s="207"/>
      <c r="CW58" s="152"/>
      <c r="CX58" s="152"/>
      <c r="CY58" s="152"/>
      <c r="CZ58" s="152"/>
      <c r="DA58" s="152"/>
      <c r="DB58" s="152"/>
      <c r="DC58" s="152"/>
      <c r="EF58" s="7"/>
      <c r="EG58" s="302"/>
      <c r="EH58" s="302"/>
      <c r="EI58" s="302"/>
      <c r="EJ58" s="302"/>
      <c r="EO58" s="7"/>
      <c r="ET58" s="7"/>
      <c r="EU58" s="133"/>
      <c r="EV58" s="133"/>
      <c r="EW58" s="279"/>
      <c r="EX58" s="279"/>
      <c r="EY58" s="133"/>
      <c r="EZ58" s="7"/>
      <c r="FE58" s="302"/>
      <c r="FF58" s="302"/>
      <c r="FG58" s="302"/>
      <c r="FH58" s="302"/>
      <c r="FI58" s="302"/>
      <c r="FK58" s="454"/>
      <c r="FL58" s="454"/>
      <c r="FM58" s="454"/>
      <c r="FN58" s="454"/>
      <c r="FO58" s="7">
        <f t="shared" si="57"/>
        <v>46</v>
      </c>
      <c r="FP58" s="78" t="s">
        <v>112</v>
      </c>
      <c r="FQ58" s="174">
        <f>SUM(FQ51:FQ57)</f>
        <v>1258028781.9637628</v>
      </c>
      <c r="FR58" s="174">
        <f>SUM(FR51:FR57)</f>
        <v>-41980420</v>
      </c>
      <c r="FS58" s="180"/>
      <c r="FY58" s="7">
        <f t="shared" si="64"/>
        <v>4</v>
      </c>
      <c r="FZ58" s="78" t="s">
        <v>122</v>
      </c>
      <c r="GC58" s="152">
        <f>+GC55*GC56</f>
        <v>272544816.5211806</v>
      </c>
      <c r="GD58" s="7">
        <f t="shared" si="39"/>
        <v>43</v>
      </c>
      <c r="GE58" s="78" t="s">
        <v>326</v>
      </c>
      <c r="GF58" s="152">
        <v>313780159</v>
      </c>
      <c r="GG58" s="152"/>
      <c r="GH58" s="152"/>
      <c r="GI58" s="152"/>
      <c r="GJ58" s="152"/>
      <c r="GK58" s="152"/>
      <c r="GL58" s="152">
        <f>AD21+AD22</f>
        <v>-2177250</v>
      </c>
      <c r="GM58" s="152"/>
      <c r="GN58" s="152"/>
      <c r="GO58" s="7">
        <f t="shared" si="40"/>
        <v>43</v>
      </c>
      <c r="GP58" s="8" t="s">
        <v>326</v>
      </c>
      <c r="GQ58" s="152"/>
      <c r="GR58" s="152"/>
      <c r="GS58" s="152"/>
      <c r="GT58" s="152"/>
      <c r="GU58" s="152"/>
      <c r="GV58" s="152"/>
      <c r="GW58" s="152"/>
      <c r="GX58" s="152"/>
      <c r="GY58" s="152"/>
      <c r="GZ58" s="7">
        <f t="shared" si="41"/>
        <v>43</v>
      </c>
      <c r="HA58" s="78" t="s">
        <v>326</v>
      </c>
      <c r="HB58" s="152"/>
      <c r="HC58" s="152"/>
      <c r="HD58" s="152"/>
      <c r="HE58" s="152"/>
      <c r="HF58" s="152"/>
      <c r="HG58" s="152"/>
      <c r="HH58" s="152"/>
      <c r="HI58" s="152"/>
      <c r="HJ58" s="152"/>
      <c r="HK58" s="152"/>
      <c r="HL58" s="7">
        <f t="shared" si="42"/>
        <v>43</v>
      </c>
      <c r="HM58" s="78" t="s">
        <v>326</v>
      </c>
      <c r="HN58" s="152"/>
      <c r="HO58" s="152"/>
      <c r="HP58" s="152">
        <f>ES26+ES27</f>
        <v>10405384.5593125</v>
      </c>
      <c r="HQ58" s="152"/>
      <c r="HR58" s="152">
        <f>HR51</f>
        <v>-69560204.3824294</v>
      </c>
      <c r="HS58" s="152"/>
      <c r="HT58" s="152"/>
      <c r="HU58" s="192">
        <f>FR78+FR55+FR56</f>
        <v>-6249887</v>
      </c>
      <c r="HV58" s="152"/>
      <c r="HW58" s="152">
        <f>SUM(GG58:HV58)-HL58-GZ58-GO58</f>
        <v>-67581956.8231169</v>
      </c>
      <c r="HX58" s="152">
        <f t="shared" si="65"/>
        <v>246198202.1768831</v>
      </c>
      <c r="HY58" s="7">
        <f t="shared" si="43"/>
        <v>43</v>
      </c>
      <c r="HZ58" s="78" t="s">
        <v>326</v>
      </c>
      <c r="IA58" s="66">
        <f t="shared" si="66"/>
        <v>313780159</v>
      </c>
      <c r="IB58" s="292">
        <f t="shared" si="67"/>
        <v>-67581956.8231169</v>
      </c>
      <c r="IC58" s="292">
        <f t="shared" si="68"/>
        <v>246198202.1768831</v>
      </c>
      <c r="ID58" s="296"/>
      <c r="IE58" s="192"/>
      <c r="IF58" s="153"/>
      <c r="IG58" s="158"/>
    </row>
    <row r="59" spans="1:241" ht="15" customHeight="1">
      <c r="A59" s="3"/>
      <c r="H59" s="152"/>
      <c r="S59" s="78"/>
      <c r="T59" s="78"/>
      <c r="U59" s="78"/>
      <c r="Z59" s="20"/>
      <c r="AA59" s="19"/>
      <c r="AB59" s="19"/>
      <c r="AC59" s="19"/>
      <c r="AD59" s="19"/>
      <c r="AF59" s="133"/>
      <c r="AG59" s="133"/>
      <c r="AH59" s="299"/>
      <c r="AI59" s="133"/>
      <c r="AZ59" s="133"/>
      <c r="BA59" s="133"/>
      <c r="BB59" s="133"/>
      <c r="BC59" s="133"/>
      <c r="BX59" s="299"/>
      <c r="BY59" s="299"/>
      <c r="BZ59" s="299"/>
      <c r="CA59" s="299"/>
      <c r="CW59" s="152"/>
      <c r="CX59" s="152"/>
      <c r="CY59" s="152"/>
      <c r="CZ59" s="152"/>
      <c r="DA59" s="152"/>
      <c r="DB59" s="152"/>
      <c r="DC59" s="152"/>
      <c r="EF59" s="7"/>
      <c r="EG59" s="302"/>
      <c r="EH59" s="302"/>
      <c r="EI59" s="302"/>
      <c r="EJ59" s="302"/>
      <c r="EO59" s="7"/>
      <c r="ET59" s="7"/>
      <c r="EU59" s="283"/>
      <c r="EV59" s="283"/>
      <c r="EW59" s="180"/>
      <c r="EX59" s="180"/>
      <c r="EY59" s="133"/>
      <c r="EZ59" s="7"/>
      <c r="FA59" s="165"/>
      <c r="FB59" s="165"/>
      <c r="FC59" s="165"/>
      <c r="FD59" s="165"/>
      <c r="FE59" s="302"/>
      <c r="FF59" s="302"/>
      <c r="FG59" s="302"/>
      <c r="FH59" s="302"/>
      <c r="FI59" s="302"/>
      <c r="FK59" s="454"/>
      <c r="FL59" s="461"/>
      <c r="FM59" s="459"/>
      <c r="FN59" s="460"/>
      <c r="FO59" s="7">
        <f t="shared" si="57"/>
        <v>47</v>
      </c>
      <c r="FP59" s="78" t="s">
        <v>114</v>
      </c>
      <c r="FQ59" s="118"/>
      <c r="FR59" s="98"/>
      <c r="FS59" s="180"/>
      <c r="FY59" s="7">
        <f t="shared" si="64"/>
        <v>5</v>
      </c>
      <c r="GC59" s="131"/>
      <c r="GD59" s="7">
        <f t="shared" si="39"/>
        <v>44</v>
      </c>
      <c r="GE59" s="78" t="s">
        <v>327</v>
      </c>
      <c r="GF59" s="152">
        <v>-432609628.69429165</v>
      </c>
      <c r="GG59" s="152"/>
      <c r="GH59" s="152"/>
      <c r="GI59" s="152"/>
      <c r="GJ59" s="152"/>
      <c r="GK59" s="152"/>
      <c r="GL59" s="152">
        <f>AD23+AD17</f>
        <v>-270244.32999999996</v>
      </c>
      <c r="GM59" s="152">
        <f>AI16+AI17</f>
        <v>-10938871</v>
      </c>
      <c r="GN59" s="152">
        <f>AN16+AN17</f>
        <v>-4333117.697436695</v>
      </c>
      <c r="GO59" s="7">
        <f t="shared" si="40"/>
        <v>44</v>
      </c>
      <c r="GP59" s="8" t="s">
        <v>327</v>
      </c>
      <c r="GQ59" s="152">
        <f>AS16</f>
        <v>-45713.95280584094</v>
      </c>
      <c r="GR59" s="152">
        <f>AX16+AX21</f>
        <v>82210</v>
      </c>
      <c r="GS59" s="152"/>
      <c r="GT59" s="152"/>
      <c r="GU59" s="152"/>
      <c r="GV59" s="152"/>
      <c r="GW59" s="152"/>
      <c r="GX59" s="152"/>
      <c r="GY59" s="152"/>
      <c r="GZ59" s="7">
        <f t="shared" si="41"/>
        <v>44</v>
      </c>
      <c r="HA59" s="78" t="s">
        <v>327</v>
      </c>
      <c r="HB59" s="152"/>
      <c r="HC59" s="152"/>
      <c r="HD59" s="152"/>
      <c r="HE59" s="152"/>
      <c r="HF59" s="152"/>
      <c r="HG59" s="152"/>
      <c r="HH59" s="152"/>
      <c r="HI59" s="152"/>
      <c r="HJ59" s="152"/>
      <c r="HK59" s="152"/>
      <c r="HL59" s="7">
        <f t="shared" si="42"/>
        <v>44</v>
      </c>
      <c r="HM59" s="78" t="s">
        <v>327</v>
      </c>
      <c r="HN59" s="152"/>
      <c r="HO59" s="152"/>
      <c r="HP59" s="152">
        <f>ES28</f>
        <v>-3642131.1785656237</v>
      </c>
      <c r="HQ59" s="152"/>
      <c r="HR59" s="152">
        <v>0</v>
      </c>
      <c r="HS59" s="469">
        <f>FI41</f>
        <v>0</v>
      </c>
      <c r="HT59" s="152">
        <f>FN17</f>
        <v>420415</v>
      </c>
      <c r="HU59" s="222">
        <f>FR63</f>
        <v>4920846</v>
      </c>
      <c r="HV59" s="152"/>
      <c r="HW59" s="152">
        <f>SUM(GG59:HV59)-HL59-GZ59-GO59</f>
        <v>-13806607.15880816</v>
      </c>
      <c r="HX59" s="152">
        <f t="shared" si="65"/>
        <v>-446416235.8530998</v>
      </c>
      <c r="HY59" s="7">
        <f t="shared" si="43"/>
        <v>44</v>
      </c>
      <c r="HZ59" s="78" t="s">
        <v>327</v>
      </c>
      <c r="IA59" s="66">
        <f t="shared" si="66"/>
        <v>-432609628.69429165</v>
      </c>
      <c r="IB59" s="292">
        <f t="shared" si="67"/>
        <v>-13806607.15880816</v>
      </c>
      <c r="IC59" s="292">
        <f t="shared" si="68"/>
        <v>-446416235.8530998</v>
      </c>
      <c r="ID59" s="296"/>
      <c r="IE59" s="192"/>
      <c r="IF59" s="153"/>
      <c r="IG59" s="158"/>
    </row>
    <row r="60" spans="1:242" s="205" customFormat="1" ht="15" customHeight="1">
      <c r="A60" s="3"/>
      <c r="B60" s="78"/>
      <c r="C60" s="78"/>
      <c r="D60" s="78"/>
      <c r="E60" s="78"/>
      <c r="F60" s="78"/>
      <c r="G60" s="78"/>
      <c r="H60" s="203"/>
      <c r="I60" s="203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135"/>
      <c r="AA60" s="19"/>
      <c r="AB60" s="19"/>
      <c r="AC60" s="19"/>
      <c r="AD60" s="19"/>
      <c r="AE60" s="78"/>
      <c r="AF60" s="133"/>
      <c r="AG60" s="133"/>
      <c r="AH60" s="299"/>
      <c r="AI60" s="133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133"/>
      <c r="BA60" s="133"/>
      <c r="BB60" s="133"/>
      <c r="BC60" s="133"/>
      <c r="BJ60" s="78"/>
      <c r="BK60" s="78"/>
      <c r="BL60" s="78"/>
      <c r="BM60" s="78"/>
      <c r="BN60" s="78"/>
      <c r="BO60" s="78"/>
      <c r="BP60" s="78"/>
      <c r="BQ60" s="78"/>
      <c r="BR60" s="43"/>
      <c r="BS60" s="78"/>
      <c r="BT60" s="78"/>
      <c r="BU60" s="78"/>
      <c r="BV60" s="78"/>
      <c r="BW60" s="78"/>
      <c r="BX60" s="299"/>
      <c r="BY60" s="299"/>
      <c r="BZ60" s="299"/>
      <c r="CA60" s="299"/>
      <c r="CB60" s="78"/>
      <c r="CC60" s="130"/>
      <c r="CD60" s="130"/>
      <c r="CE60" s="130"/>
      <c r="CF60" s="130"/>
      <c r="CG60" s="78"/>
      <c r="CH60" s="207"/>
      <c r="CI60" s="130"/>
      <c r="CJ60" s="130"/>
      <c r="CK60" s="130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152"/>
      <c r="CX60" s="152"/>
      <c r="CY60" s="152"/>
      <c r="CZ60" s="152"/>
      <c r="DA60" s="152"/>
      <c r="DB60" s="152"/>
      <c r="DC60" s="152"/>
      <c r="DD60" s="78"/>
      <c r="DE60" s="78"/>
      <c r="DF60" s="78"/>
      <c r="DG60" s="12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"/>
      <c r="EG60" s="302"/>
      <c r="EH60" s="302"/>
      <c r="EI60" s="302"/>
      <c r="EJ60" s="302"/>
      <c r="EK60" s="78"/>
      <c r="EL60" s="78"/>
      <c r="EM60" s="78"/>
      <c r="EN60" s="78"/>
      <c r="EO60" s="7"/>
      <c r="EP60" s="78"/>
      <c r="EQ60" s="78"/>
      <c r="ER60" s="78"/>
      <c r="ES60" s="78"/>
      <c r="ET60" s="78"/>
      <c r="EU60" s="133"/>
      <c r="EV60" s="133"/>
      <c r="EW60" s="133"/>
      <c r="EX60" s="133"/>
      <c r="EY60" s="133"/>
      <c r="EZ60" s="7"/>
      <c r="FA60" s="78"/>
      <c r="FB60" s="78"/>
      <c r="FC60" s="78"/>
      <c r="FD60" s="78"/>
      <c r="FE60" s="302"/>
      <c r="FF60" s="302"/>
      <c r="FG60" s="302"/>
      <c r="FH60" s="302"/>
      <c r="FI60" s="302"/>
      <c r="FK60" s="133"/>
      <c r="FL60" s="459"/>
      <c r="FM60" s="459"/>
      <c r="FN60" s="459"/>
      <c r="FO60" s="7">
        <f t="shared" si="57"/>
        <v>48</v>
      </c>
      <c r="FP60" s="8" t="s">
        <v>389</v>
      </c>
      <c r="FQ60" s="66">
        <v>-372848.3333333333</v>
      </c>
      <c r="FR60" s="152">
        <f>-ROUND(FQ60*$FR$11,0)</f>
        <v>12442</v>
      </c>
      <c r="FS60" s="180"/>
      <c r="FT60" s="78"/>
      <c r="FU60" s="78"/>
      <c r="FV60" s="78"/>
      <c r="FW60" s="78"/>
      <c r="FX60" s="78"/>
      <c r="FY60" s="7">
        <f t="shared" si="64"/>
        <v>6</v>
      </c>
      <c r="FZ60" s="8" t="s">
        <v>123</v>
      </c>
      <c r="GA60" s="78"/>
      <c r="GB60" s="78"/>
      <c r="GC60" s="175">
        <f>HX49</f>
        <v>191595727.1680441</v>
      </c>
      <c r="GD60" s="7">
        <f t="shared" si="39"/>
        <v>45</v>
      </c>
      <c r="GE60" s="78" t="s">
        <v>329</v>
      </c>
      <c r="GF60" s="152">
        <v>95445435</v>
      </c>
      <c r="GG60" s="152"/>
      <c r="GH60" s="152"/>
      <c r="GI60" s="152"/>
      <c r="GJ60" s="152"/>
      <c r="GK60" s="152"/>
      <c r="GL60" s="152"/>
      <c r="GM60" s="152"/>
      <c r="GN60" s="152"/>
      <c r="GO60" s="7">
        <f t="shared" si="40"/>
        <v>45</v>
      </c>
      <c r="GP60" s="8" t="s">
        <v>329</v>
      </c>
      <c r="GQ60" s="152"/>
      <c r="GR60" s="152"/>
      <c r="GS60" s="152"/>
      <c r="GT60" s="152"/>
      <c r="GU60" s="152"/>
      <c r="GV60" s="152"/>
      <c r="GW60" s="152"/>
      <c r="GX60" s="152"/>
      <c r="GY60" s="152"/>
      <c r="GZ60" s="7">
        <f t="shared" si="41"/>
        <v>45</v>
      </c>
      <c r="HA60" s="78" t="s">
        <v>329</v>
      </c>
      <c r="HB60" s="152"/>
      <c r="HC60" s="152"/>
      <c r="HD60" s="152"/>
      <c r="HE60" s="152"/>
      <c r="HF60" s="152"/>
      <c r="HG60" s="152"/>
      <c r="HH60" s="152"/>
      <c r="HI60" s="152"/>
      <c r="HJ60" s="152"/>
      <c r="HK60" s="152"/>
      <c r="HL60" s="7">
        <f t="shared" si="42"/>
        <v>45</v>
      </c>
      <c r="HM60" s="78" t="s">
        <v>329</v>
      </c>
      <c r="HN60" s="152"/>
      <c r="HO60" s="152"/>
      <c r="HP60" s="152"/>
      <c r="HQ60" s="152"/>
      <c r="HR60" s="152"/>
      <c r="HS60" s="152"/>
      <c r="HT60" s="152"/>
      <c r="HU60" s="291"/>
      <c r="HV60" s="152"/>
      <c r="HW60" s="469">
        <f>SUM(GG60:HV60)-HL60-GZ60-GO60</f>
        <v>0</v>
      </c>
      <c r="HX60" s="152">
        <f t="shared" si="65"/>
        <v>95445435</v>
      </c>
      <c r="HY60" s="7">
        <f t="shared" si="43"/>
        <v>45</v>
      </c>
      <c r="HZ60" s="78" t="s">
        <v>329</v>
      </c>
      <c r="IA60" s="66">
        <f t="shared" si="66"/>
        <v>95445435</v>
      </c>
      <c r="IB60" s="292">
        <f t="shared" si="67"/>
        <v>0</v>
      </c>
      <c r="IC60" s="292">
        <f t="shared" si="68"/>
        <v>95445435</v>
      </c>
      <c r="ID60" s="296"/>
      <c r="IE60" s="192"/>
      <c r="IF60" s="153"/>
      <c r="IG60" s="158"/>
      <c r="IH60" s="78"/>
    </row>
    <row r="61" spans="1:241" s="205" customFormat="1" ht="15" customHeight="1">
      <c r="A61" s="3"/>
      <c r="B61" s="78"/>
      <c r="C61" s="78"/>
      <c r="D61" s="78"/>
      <c r="E61" s="78"/>
      <c r="F61" s="78"/>
      <c r="G61" s="78"/>
      <c r="H61" s="152"/>
      <c r="I61" s="156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43"/>
      <c r="AA61" s="19"/>
      <c r="AB61" s="19"/>
      <c r="AC61" s="19"/>
      <c r="AD61" s="19"/>
      <c r="AE61" s="78"/>
      <c r="AF61" s="133"/>
      <c r="AG61" s="133"/>
      <c r="AH61" s="299"/>
      <c r="AI61" s="133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133"/>
      <c r="BA61" s="133"/>
      <c r="BB61" s="133"/>
      <c r="BC61" s="133"/>
      <c r="BJ61" s="78"/>
      <c r="BK61" s="78"/>
      <c r="BL61" s="78"/>
      <c r="BM61" s="78"/>
      <c r="BN61" s="78"/>
      <c r="BO61" s="78"/>
      <c r="BP61" s="78"/>
      <c r="BQ61" s="78"/>
      <c r="BR61" s="43"/>
      <c r="BS61" s="78"/>
      <c r="BT61" s="78"/>
      <c r="BU61" s="78"/>
      <c r="BV61" s="78"/>
      <c r="BW61" s="78"/>
      <c r="BX61" s="299"/>
      <c r="BY61" s="299"/>
      <c r="BZ61" s="299"/>
      <c r="CA61" s="299"/>
      <c r="CB61" s="78"/>
      <c r="CC61" s="130"/>
      <c r="CD61" s="130"/>
      <c r="CE61" s="130"/>
      <c r="CF61" s="130"/>
      <c r="CG61" s="78"/>
      <c r="CH61" s="130"/>
      <c r="CI61" s="130"/>
      <c r="CJ61" s="130"/>
      <c r="CK61" s="130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152"/>
      <c r="CX61" s="152"/>
      <c r="CY61" s="152"/>
      <c r="CZ61" s="152"/>
      <c r="DA61" s="152"/>
      <c r="DB61" s="152"/>
      <c r="DC61" s="152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"/>
      <c r="EG61" s="302"/>
      <c r="EH61" s="302"/>
      <c r="EI61" s="302"/>
      <c r="EJ61" s="302"/>
      <c r="EK61" s="78"/>
      <c r="EL61" s="78"/>
      <c r="EM61" s="78"/>
      <c r="EN61" s="78"/>
      <c r="EO61" s="7"/>
      <c r="EP61" s="78"/>
      <c r="EQ61" s="78"/>
      <c r="ER61" s="78"/>
      <c r="ES61" s="78"/>
      <c r="ET61" s="7"/>
      <c r="EU61" s="133"/>
      <c r="EV61" s="133"/>
      <c r="EW61" s="133"/>
      <c r="EX61" s="133"/>
      <c r="EY61" s="133"/>
      <c r="EZ61" s="7"/>
      <c r="FA61" s="78"/>
      <c r="FB61" s="78"/>
      <c r="FC61" s="78"/>
      <c r="FD61" s="78"/>
      <c r="FE61" s="302"/>
      <c r="FF61" s="302"/>
      <c r="FG61" s="302"/>
      <c r="FH61" s="302"/>
      <c r="FI61" s="302"/>
      <c r="FK61" s="133"/>
      <c r="FL61" s="158"/>
      <c r="FM61" s="158"/>
      <c r="FN61" s="158"/>
      <c r="FO61" s="7">
        <f t="shared" si="57"/>
        <v>49</v>
      </c>
      <c r="FP61" s="8" t="s">
        <v>390</v>
      </c>
      <c r="FQ61" s="66">
        <f>-127552374+AD17+AI16+AI17+AN16+AN17+AS16+AX16+AX21</f>
        <v>-143794887.38024256</v>
      </c>
      <c r="FR61" s="152">
        <f>-ROUND(FQ61*$FR$11,0)</f>
        <v>4798435</v>
      </c>
      <c r="FS61" s="180"/>
      <c r="FT61" s="78"/>
      <c r="FU61" s="78"/>
      <c r="FV61" s="78"/>
      <c r="FW61" s="78"/>
      <c r="FX61" s="78"/>
      <c r="FY61" s="7">
        <f t="shared" si="64"/>
        <v>7</v>
      </c>
      <c r="FZ61" s="8" t="s">
        <v>324</v>
      </c>
      <c r="GA61" s="78"/>
      <c r="GB61" s="78"/>
      <c r="GC61" s="152">
        <f>+GC58-GC60</f>
        <v>80949089.35313654</v>
      </c>
      <c r="GD61" s="7">
        <f t="shared" si="39"/>
        <v>46</v>
      </c>
      <c r="GE61" s="78" t="s">
        <v>328</v>
      </c>
      <c r="GF61" s="175">
        <v>-73781988.45625</v>
      </c>
      <c r="GG61" s="175"/>
      <c r="GH61" s="175"/>
      <c r="GI61" s="175"/>
      <c r="GJ61" s="175"/>
      <c r="GK61" s="175"/>
      <c r="GL61" s="175"/>
      <c r="GM61" s="175"/>
      <c r="GN61" s="175"/>
      <c r="GO61" s="7">
        <f t="shared" si="40"/>
        <v>46</v>
      </c>
      <c r="GP61" s="8" t="s">
        <v>328</v>
      </c>
      <c r="GQ61" s="175"/>
      <c r="GR61" s="175"/>
      <c r="GS61" s="175"/>
      <c r="GT61" s="175"/>
      <c r="GU61" s="175"/>
      <c r="GV61" s="175"/>
      <c r="GW61" s="175"/>
      <c r="GX61" s="175"/>
      <c r="GY61" s="175"/>
      <c r="GZ61" s="7">
        <f t="shared" si="41"/>
        <v>46</v>
      </c>
      <c r="HA61" s="78" t="s">
        <v>328</v>
      </c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7">
        <f t="shared" si="42"/>
        <v>46</v>
      </c>
      <c r="HM61" s="78" t="s">
        <v>328</v>
      </c>
      <c r="HN61" s="175"/>
      <c r="HO61" s="175"/>
      <c r="HP61" s="175"/>
      <c r="HQ61" s="175"/>
      <c r="HR61" s="175"/>
      <c r="HS61" s="175"/>
      <c r="HT61" s="175"/>
      <c r="HU61" s="484"/>
      <c r="HV61" s="175"/>
      <c r="HW61" s="481">
        <f>SUM(GG61:HV61)-HL61-GZ61-GO61</f>
        <v>0</v>
      </c>
      <c r="HX61" s="175">
        <f t="shared" si="65"/>
        <v>-73781988.45625</v>
      </c>
      <c r="HY61" s="7">
        <f t="shared" si="43"/>
        <v>46</v>
      </c>
      <c r="HZ61" s="78" t="s">
        <v>328</v>
      </c>
      <c r="IA61" s="66">
        <f t="shared" si="66"/>
        <v>-73781988.45625</v>
      </c>
      <c r="IB61" s="292">
        <f t="shared" si="67"/>
        <v>0</v>
      </c>
      <c r="IC61" s="292">
        <f t="shared" si="68"/>
        <v>-73781988.45625</v>
      </c>
      <c r="ID61" s="296"/>
      <c r="IE61" s="192"/>
      <c r="IF61" s="153"/>
      <c r="IG61" s="158"/>
    </row>
    <row r="62" spans="1:241" s="205" customFormat="1" ht="15" customHeight="1" thickBot="1">
      <c r="A62" s="3"/>
      <c r="B62" s="78"/>
      <c r="C62" s="78"/>
      <c r="D62" s="78"/>
      <c r="E62" s="78"/>
      <c r="F62" s="78"/>
      <c r="G62" s="78"/>
      <c r="H62" s="203"/>
      <c r="I62" s="180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43"/>
      <c r="AA62" s="19"/>
      <c r="AB62" s="19"/>
      <c r="AC62" s="19"/>
      <c r="AD62" s="19"/>
      <c r="AE62" s="78"/>
      <c r="AF62" s="133"/>
      <c r="AG62" s="133"/>
      <c r="AH62" s="299"/>
      <c r="AI62" s="133"/>
      <c r="AJ62" s="78"/>
      <c r="AK62" s="78"/>
      <c r="AL62" s="78"/>
      <c r="AM62" s="78"/>
      <c r="AN62" s="78"/>
      <c r="AO62" s="78"/>
      <c r="AP62" s="133"/>
      <c r="AQ62" s="133"/>
      <c r="AR62" s="133"/>
      <c r="AS62" s="133"/>
      <c r="AT62" s="78"/>
      <c r="AU62" s="78"/>
      <c r="AV62" s="78"/>
      <c r="AW62" s="78"/>
      <c r="AX62" s="78"/>
      <c r="AY62" s="78"/>
      <c r="AZ62" s="133"/>
      <c r="BA62" s="133"/>
      <c r="BB62" s="133"/>
      <c r="BC62" s="133"/>
      <c r="BJ62" s="78"/>
      <c r="BK62" s="78"/>
      <c r="BL62" s="78"/>
      <c r="BM62" s="78"/>
      <c r="BN62" s="78"/>
      <c r="BO62" s="78"/>
      <c r="BP62" s="78"/>
      <c r="BQ62" s="78"/>
      <c r="BR62" s="43"/>
      <c r="BS62" s="78"/>
      <c r="BT62" s="78"/>
      <c r="BU62" s="78"/>
      <c r="BV62" s="78"/>
      <c r="BW62" s="78"/>
      <c r="BX62" s="299"/>
      <c r="BY62" s="299"/>
      <c r="BZ62" s="299"/>
      <c r="CA62" s="299"/>
      <c r="CB62" s="78"/>
      <c r="CC62" s="130"/>
      <c r="CD62" s="130"/>
      <c r="CE62" s="130"/>
      <c r="CF62" s="130"/>
      <c r="CG62" s="78"/>
      <c r="CH62" s="130"/>
      <c r="CI62" s="130"/>
      <c r="CJ62" s="130"/>
      <c r="CK62" s="130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152"/>
      <c r="CX62" s="152"/>
      <c r="CY62" s="152"/>
      <c r="CZ62" s="152"/>
      <c r="DA62" s="152"/>
      <c r="DB62" s="152"/>
      <c r="DC62" s="152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"/>
      <c r="EG62" s="302"/>
      <c r="EH62" s="302"/>
      <c r="EI62" s="302"/>
      <c r="EJ62" s="302"/>
      <c r="EK62" s="78"/>
      <c r="EL62" s="78"/>
      <c r="EM62" s="78"/>
      <c r="EN62" s="78"/>
      <c r="EO62" s="7"/>
      <c r="EP62" s="78"/>
      <c r="EQ62" s="78"/>
      <c r="ER62" s="78"/>
      <c r="ES62" s="78"/>
      <c r="ET62" s="7"/>
      <c r="EU62" s="133"/>
      <c r="EV62" s="133"/>
      <c r="EW62" s="133"/>
      <c r="EX62" s="133"/>
      <c r="EY62" s="133"/>
      <c r="EZ62" s="7"/>
      <c r="FA62" s="78"/>
      <c r="FB62" s="78"/>
      <c r="FC62" s="78"/>
      <c r="FD62" s="78"/>
      <c r="FE62" s="302"/>
      <c r="FF62" s="302"/>
      <c r="FG62" s="302"/>
      <c r="FH62" s="302"/>
      <c r="FI62" s="302"/>
      <c r="FK62" s="133"/>
      <c r="FL62" s="180"/>
      <c r="FM62" s="180"/>
      <c r="FN62" s="180"/>
      <c r="FO62" s="7">
        <f t="shared" si="57"/>
        <v>50</v>
      </c>
      <c r="FP62" s="8" t="s">
        <v>391</v>
      </c>
      <c r="FQ62" s="66">
        <v>-3295458.333333333</v>
      </c>
      <c r="FR62" s="152">
        <f>-ROUND(FQ62*$FR$11,0)</f>
        <v>109969</v>
      </c>
      <c r="FS62" s="180"/>
      <c r="FT62" s="78"/>
      <c r="FU62" s="78"/>
      <c r="FV62" s="78"/>
      <c r="FW62" s="78"/>
      <c r="FX62" s="78"/>
      <c r="FY62" s="7">
        <f t="shared" si="64"/>
        <v>8</v>
      </c>
      <c r="FZ62" s="78"/>
      <c r="GA62" s="78"/>
      <c r="GB62" s="78"/>
      <c r="GC62" s="131"/>
      <c r="GD62" s="7">
        <f t="shared" si="39"/>
        <v>47</v>
      </c>
      <c r="GE62" s="78" t="s">
        <v>330</v>
      </c>
      <c r="GF62" s="208">
        <f>SUM(GF56:GF61)</f>
        <v>3189766299.4352174</v>
      </c>
      <c r="GG62" s="208">
        <f>SUM(GG56:GG61)</f>
        <v>0</v>
      </c>
      <c r="GH62" s="208">
        <f>SUM(GH56:GH61)</f>
        <v>0</v>
      </c>
      <c r="GI62" s="208">
        <f>SUM(GI56:GI61)</f>
        <v>0</v>
      </c>
      <c r="GJ62" s="208">
        <f>SUM(GJ56:GJ61)</f>
        <v>0</v>
      </c>
      <c r="GK62" s="208">
        <f>SUM(GK56:GK61)</f>
        <v>0</v>
      </c>
      <c r="GL62" s="208">
        <f>SUM(GL56:GL61)</f>
        <v>10325849.879999999</v>
      </c>
      <c r="GM62" s="208">
        <f>SUM(GM56:GM61)</f>
        <v>62547669</v>
      </c>
      <c r="GN62" s="208">
        <f>SUM(GN56:GN61)</f>
        <v>48370960.566730045</v>
      </c>
      <c r="GO62" s="7">
        <f t="shared" si="40"/>
        <v>47</v>
      </c>
      <c r="GP62" s="8" t="s">
        <v>330</v>
      </c>
      <c r="GQ62" s="208">
        <f>SUM(GQ56:GQ61)</f>
        <v>24744720.760031186</v>
      </c>
      <c r="GR62" s="208">
        <f>SUM(GR56:GR61)</f>
        <v>15270981.666666668</v>
      </c>
      <c r="GS62" s="208">
        <f>SUM(GS56:GS61)</f>
        <v>32595385.595139995</v>
      </c>
      <c r="GT62" s="208"/>
      <c r="GU62" s="208">
        <f>SUM(GU56:GU61)</f>
        <v>0</v>
      </c>
      <c r="GV62" s="208">
        <f>SUM(GV56:GV61)</f>
        <v>3122978.010613334</v>
      </c>
      <c r="GW62" s="208">
        <f>SUM(GW56:GW61)</f>
        <v>0</v>
      </c>
      <c r="GX62" s="208">
        <f>SUM(GX56:GX61)</f>
        <v>0</v>
      </c>
      <c r="GY62" s="208">
        <f>SUM(GY56:GY61)</f>
        <v>0</v>
      </c>
      <c r="GZ62" s="7">
        <f t="shared" si="41"/>
        <v>47</v>
      </c>
      <c r="HA62" s="78" t="s">
        <v>330</v>
      </c>
      <c r="HB62" s="208">
        <f>SUM(HB56:HB61)</f>
        <v>0</v>
      </c>
      <c r="HC62" s="208">
        <f>SUM(HC56:HC61)</f>
        <v>0</v>
      </c>
      <c r="HD62" s="208">
        <f>SUM(HD56:HD61)</f>
        <v>0</v>
      </c>
      <c r="HE62" s="208">
        <f>SUM(HE56:HE61)</f>
        <v>0</v>
      </c>
      <c r="HF62" s="208">
        <f>SUM(HF56:HF61)</f>
        <v>0</v>
      </c>
      <c r="HG62" s="208">
        <f>SUM(HG56:HG61)</f>
        <v>0</v>
      </c>
      <c r="HH62" s="208">
        <f>SUM(HH56:HH61)</f>
        <v>0</v>
      </c>
      <c r="HI62" s="208">
        <f>SUM(HI56:HI61)</f>
        <v>0</v>
      </c>
      <c r="HJ62" s="208">
        <f>SUM(HJ56:HJ61)</f>
        <v>0</v>
      </c>
      <c r="HK62" s="208">
        <f>SUM(HK56:HK61)</f>
        <v>0</v>
      </c>
      <c r="HL62" s="7">
        <f t="shared" si="42"/>
        <v>47</v>
      </c>
      <c r="HM62" s="78" t="s">
        <v>330</v>
      </c>
      <c r="HN62" s="208">
        <f>SUM(HN56:HN61)</f>
        <v>0</v>
      </c>
      <c r="HO62" s="208">
        <f>SUM(HO56:HO61)</f>
        <v>0</v>
      </c>
      <c r="HP62" s="208">
        <f>SUM(HP56:HP61)</f>
        <v>6763253.380746877</v>
      </c>
      <c r="HQ62" s="208">
        <f>SUM(HQ56:HQ61)</f>
        <v>0</v>
      </c>
      <c r="HR62" s="208">
        <f>SUM(HR56:HR61)</f>
        <v>-69560204.3824294</v>
      </c>
      <c r="HS62" s="208">
        <f>SUM(HS56:HS61)</f>
        <v>3031365.042768875</v>
      </c>
      <c r="HT62" s="208">
        <f>SUM(HT56:HT61)</f>
        <v>19640178.634583335</v>
      </c>
      <c r="HU62" s="208">
        <f>SUM(HU56:HU61)</f>
        <v>-43045904</v>
      </c>
      <c r="HV62" s="208">
        <f>SUM(HV56:HV61)</f>
        <v>0</v>
      </c>
      <c r="HW62" s="208">
        <f>SUM(HW56:HW61)</f>
        <v>113807234.15485097</v>
      </c>
      <c r="HX62" s="208">
        <f>SUM(HX56:HX61)</f>
        <v>3303573533.5900683</v>
      </c>
      <c r="HY62" s="7">
        <f t="shared" si="43"/>
        <v>47</v>
      </c>
      <c r="HZ62" s="78" t="s">
        <v>330</v>
      </c>
      <c r="IA62" s="209">
        <f>SUM(IA56:IA61)</f>
        <v>3189766299.4352174</v>
      </c>
      <c r="IB62" s="209">
        <f>SUM(IB56:IB61)</f>
        <v>113807234.15485097</v>
      </c>
      <c r="IC62" s="209">
        <f>SUM(IC56:IC61)</f>
        <v>3303573533.5900683</v>
      </c>
      <c r="ID62" s="297"/>
      <c r="IE62" s="192"/>
      <c r="IG62" s="210"/>
    </row>
    <row r="63" spans="1:242" ht="15" customHeight="1" thickTop="1">
      <c r="A63" s="3"/>
      <c r="H63" s="156"/>
      <c r="I63" s="157"/>
      <c r="AA63" s="19"/>
      <c r="AB63" s="19"/>
      <c r="AC63" s="19"/>
      <c r="AD63" s="19"/>
      <c r="AF63" s="133"/>
      <c r="AG63" s="133"/>
      <c r="AH63" s="299"/>
      <c r="AI63" s="133"/>
      <c r="AP63" s="133"/>
      <c r="AQ63" s="133"/>
      <c r="AR63" s="133"/>
      <c r="AS63" s="133"/>
      <c r="AZ63" s="133"/>
      <c r="BA63" s="133"/>
      <c r="BB63" s="133"/>
      <c r="BC63" s="133"/>
      <c r="BR63" s="43"/>
      <c r="BX63" s="299"/>
      <c r="BY63" s="299"/>
      <c r="BZ63" s="299"/>
      <c r="CA63" s="299"/>
      <c r="CW63" s="152"/>
      <c r="CX63" s="152"/>
      <c r="CY63" s="152"/>
      <c r="CZ63" s="152"/>
      <c r="DA63" s="152"/>
      <c r="DB63" s="152"/>
      <c r="DC63" s="152"/>
      <c r="EF63" s="7"/>
      <c r="EG63" s="302"/>
      <c r="EH63" s="302"/>
      <c r="EI63" s="302"/>
      <c r="EJ63" s="302"/>
      <c r="EO63" s="7"/>
      <c r="ET63" s="7"/>
      <c r="EU63" s="133"/>
      <c r="EV63" s="133"/>
      <c r="EW63" s="133"/>
      <c r="EX63" s="133"/>
      <c r="EY63" s="133"/>
      <c r="EZ63" s="7"/>
      <c r="FE63" s="78"/>
      <c r="FF63" s="302"/>
      <c r="FG63" s="302"/>
      <c r="FH63" s="302"/>
      <c r="FI63" s="302"/>
      <c r="FK63" s="133"/>
      <c r="FL63" s="133"/>
      <c r="FM63" s="133"/>
      <c r="FN63" s="133"/>
      <c r="FO63" s="7">
        <f t="shared" si="57"/>
        <v>51</v>
      </c>
      <c r="FP63" s="8" t="s">
        <v>205</v>
      </c>
      <c r="FQ63" s="183">
        <f>SUM(FQ60:FQ62)</f>
        <v>-147463194.04690924</v>
      </c>
      <c r="FR63" s="183">
        <f>SUM(FR60:FR62)</f>
        <v>4920846</v>
      </c>
      <c r="FS63" s="180"/>
      <c r="FY63" s="7">
        <f t="shared" si="64"/>
        <v>9</v>
      </c>
      <c r="FZ63" s="78" t="s">
        <v>186</v>
      </c>
      <c r="GC63" s="514">
        <f>+GC21</f>
        <v>0.6213371</v>
      </c>
      <c r="GD63" s="7">
        <f t="shared" si="39"/>
        <v>48</v>
      </c>
      <c r="GE63" s="205"/>
      <c r="GM63" s="205"/>
      <c r="GN63" s="205"/>
      <c r="GO63" s="7">
        <f t="shared" si="40"/>
        <v>48</v>
      </c>
      <c r="GP63" s="205"/>
      <c r="GQ63" s="205"/>
      <c r="GR63" s="205"/>
      <c r="GS63" s="205"/>
      <c r="GT63" s="205"/>
      <c r="GV63" s="205"/>
      <c r="GW63" s="205"/>
      <c r="GX63" s="205"/>
      <c r="GY63" s="205"/>
      <c r="GZ63" s="7">
        <f t="shared" si="41"/>
        <v>48</v>
      </c>
      <c r="HA63" s="205"/>
      <c r="HB63" s="205"/>
      <c r="HC63" s="205"/>
      <c r="HD63" s="205"/>
      <c r="HE63" s="205"/>
      <c r="HF63" s="205"/>
      <c r="HG63" s="205"/>
      <c r="HH63" s="205"/>
      <c r="HI63" s="205"/>
      <c r="HJ63" s="205"/>
      <c r="HK63" s="205"/>
      <c r="HL63" s="7">
        <f t="shared" si="42"/>
        <v>48</v>
      </c>
      <c r="HM63" s="205"/>
      <c r="HN63" s="205"/>
      <c r="HO63" s="205"/>
      <c r="HP63" s="205"/>
      <c r="HQ63" s="205"/>
      <c r="HR63" s="205"/>
      <c r="HS63" s="205"/>
      <c r="HT63" s="205"/>
      <c r="HU63" s="205"/>
      <c r="HV63" s="205"/>
      <c r="HW63" s="205"/>
      <c r="HY63" s="7">
        <f t="shared" si="43"/>
        <v>48</v>
      </c>
      <c r="HZ63" s="205"/>
      <c r="IA63" s="205"/>
      <c r="IB63" s="205"/>
      <c r="IC63" s="205"/>
      <c r="ID63" s="205"/>
      <c r="IE63" s="205"/>
      <c r="IF63" s="46"/>
      <c r="IG63" s="233"/>
      <c r="IH63" s="205"/>
    </row>
    <row r="64" spans="1:239" ht="15" customHeight="1">
      <c r="A64" s="3"/>
      <c r="H64" s="180"/>
      <c r="AA64" s="19"/>
      <c r="AB64" s="19"/>
      <c r="AC64" s="19"/>
      <c r="AD64" s="19"/>
      <c r="AF64" s="133"/>
      <c r="AG64" s="133"/>
      <c r="AH64" s="299"/>
      <c r="AI64" s="133"/>
      <c r="AK64" s="133"/>
      <c r="AL64" s="133"/>
      <c r="AM64" s="133"/>
      <c r="AN64" s="133"/>
      <c r="AP64" s="133"/>
      <c r="AQ64" s="133"/>
      <c r="AR64" s="133"/>
      <c r="AS64" s="133"/>
      <c r="AZ64" s="133"/>
      <c r="BA64" s="133"/>
      <c r="BB64" s="133"/>
      <c r="BC64" s="133"/>
      <c r="BX64" s="299"/>
      <c r="BY64" s="299"/>
      <c r="BZ64" s="299"/>
      <c r="CA64" s="299"/>
      <c r="CW64" s="152"/>
      <c r="CX64" s="152"/>
      <c r="CY64" s="152"/>
      <c r="CZ64" s="152"/>
      <c r="DA64" s="152"/>
      <c r="DB64" s="152"/>
      <c r="DC64" s="152"/>
      <c r="EF64" s="7"/>
      <c r="EG64" s="302"/>
      <c r="EH64" s="302"/>
      <c r="EI64" s="302"/>
      <c r="EJ64" s="302"/>
      <c r="EO64" s="7"/>
      <c r="ET64" s="7"/>
      <c r="EU64" s="133"/>
      <c r="EV64" s="133"/>
      <c r="EW64" s="133"/>
      <c r="EX64" s="133"/>
      <c r="EY64" s="133"/>
      <c r="EZ64" s="7"/>
      <c r="FE64" s="78"/>
      <c r="FF64" s="302"/>
      <c r="FG64" s="302"/>
      <c r="FH64" s="302"/>
      <c r="FI64" s="302"/>
      <c r="FK64" s="133"/>
      <c r="FL64" s="118"/>
      <c r="FM64" s="459"/>
      <c r="FN64" s="460"/>
      <c r="FO64" s="7">
        <f t="shared" si="57"/>
        <v>52</v>
      </c>
      <c r="FP64" s="8"/>
      <c r="FQ64" s="174"/>
      <c r="FR64" s="183">
        <f>-ROUND(FQ64*$FR$11,0)</f>
        <v>0</v>
      </c>
      <c r="FS64" s="180"/>
      <c r="FY64" s="7">
        <f t="shared" si="64"/>
        <v>10</v>
      </c>
      <c r="FZ64" s="78" t="s">
        <v>325</v>
      </c>
      <c r="GB64" s="71"/>
      <c r="GC64" s="180">
        <f>ROUND(+GC61/GC63,0)</f>
        <v>130282079</v>
      </c>
      <c r="GD64" s="290"/>
      <c r="GE64" s="290"/>
      <c r="GO64" s="7">
        <f t="shared" si="40"/>
        <v>49</v>
      </c>
      <c r="GP64" s="290"/>
      <c r="GZ64" s="7">
        <f t="shared" si="41"/>
        <v>49</v>
      </c>
      <c r="HA64" s="290"/>
      <c r="HL64" s="7">
        <f t="shared" si="42"/>
        <v>49</v>
      </c>
      <c r="HM64" s="290"/>
      <c r="HY64" s="7">
        <f t="shared" si="43"/>
        <v>49</v>
      </c>
      <c r="HZ64" s="290"/>
      <c r="IE64" s="46"/>
    </row>
    <row r="65" spans="1:240" ht="15" customHeight="1" thickBot="1">
      <c r="A65" s="3"/>
      <c r="H65" s="157"/>
      <c r="AA65" s="19"/>
      <c r="AB65" s="19"/>
      <c r="AC65" s="19"/>
      <c r="AD65" s="19"/>
      <c r="AF65" s="133"/>
      <c r="AG65" s="133"/>
      <c r="AH65" s="299"/>
      <c r="AI65" s="133"/>
      <c r="AK65" s="133"/>
      <c r="AL65" s="133"/>
      <c r="AM65" s="133"/>
      <c r="AN65" s="133"/>
      <c r="AP65" s="133"/>
      <c r="AQ65" s="133"/>
      <c r="AR65" s="133"/>
      <c r="AS65" s="133"/>
      <c r="AZ65" s="133"/>
      <c r="BA65" s="133"/>
      <c r="BB65" s="133"/>
      <c r="BC65" s="133"/>
      <c r="BS65" s="299"/>
      <c r="BT65" s="299"/>
      <c r="BU65" s="299"/>
      <c r="BV65" s="299"/>
      <c r="BX65" s="299"/>
      <c r="BY65" s="299"/>
      <c r="BZ65" s="299"/>
      <c r="CA65" s="299"/>
      <c r="CW65" s="152"/>
      <c r="CX65" s="152"/>
      <c r="CY65" s="152"/>
      <c r="CZ65" s="152"/>
      <c r="DA65" s="152"/>
      <c r="DB65" s="152"/>
      <c r="DC65" s="152"/>
      <c r="EF65" s="7"/>
      <c r="EG65" s="302"/>
      <c r="EH65" s="302"/>
      <c r="EI65" s="302"/>
      <c r="EJ65" s="302"/>
      <c r="EO65" s="7"/>
      <c r="ET65" s="7"/>
      <c r="EU65" s="133"/>
      <c r="EV65" s="133"/>
      <c r="EW65" s="133"/>
      <c r="EX65" s="133"/>
      <c r="EZ65" s="7"/>
      <c r="FD65" s="78" t="s">
        <v>175</v>
      </c>
      <c r="FE65" s="78"/>
      <c r="FF65" s="302"/>
      <c r="FG65" s="302"/>
      <c r="FH65" s="302"/>
      <c r="FI65" s="302"/>
      <c r="FK65" s="133"/>
      <c r="FL65" s="118"/>
      <c r="FM65" s="459"/>
      <c r="FN65" s="460"/>
      <c r="FO65" s="7">
        <f t="shared" si="57"/>
        <v>53</v>
      </c>
      <c r="FP65" s="8" t="s">
        <v>418</v>
      </c>
      <c r="FQ65" s="499">
        <f>FQ58+FQ63+FQ64</f>
        <v>1110565587.9168534</v>
      </c>
      <c r="FR65" s="499">
        <f>FR58+FR63+FR64</f>
        <v>-37059574</v>
      </c>
      <c r="FS65" s="499">
        <f>SUM(FQ65:FR65)</f>
        <v>1073506013.9168534</v>
      </c>
      <c r="FY65" s="7">
        <f t="shared" si="64"/>
        <v>11</v>
      </c>
      <c r="FZ65" s="8"/>
      <c r="GC65" s="179">
        <v>0</v>
      </c>
      <c r="GD65" s="230"/>
      <c r="GE65" s="133"/>
      <c r="GF65" s="211" t="str">
        <f aca="true" t="shared" si="69" ref="GF65:GN65">IF(GF62=GF51,"OK","ERROR")</f>
        <v>OK</v>
      </c>
      <c r="GG65" s="211" t="str">
        <f t="shared" si="69"/>
        <v>OK</v>
      </c>
      <c r="GH65" s="211" t="str">
        <f t="shared" si="69"/>
        <v>OK</v>
      </c>
      <c r="GI65" s="211" t="str">
        <f t="shared" si="69"/>
        <v>OK</v>
      </c>
      <c r="GJ65" s="211" t="str">
        <f t="shared" si="69"/>
        <v>OK</v>
      </c>
      <c r="GK65" s="211" t="str">
        <f t="shared" si="69"/>
        <v>OK</v>
      </c>
      <c r="GL65" s="211" t="str">
        <f t="shared" si="69"/>
        <v>OK</v>
      </c>
      <c r="GM65" s="211" t="str">
        <f t="shared" si="69"/>
        <v>OK</v>
      </c>
      <c r="GN65" s="211" t="str">
        <f t="shared" si="69"/>
        <v>OK</v>
      </c>
      <c r="GO65" s="205"/>
      <c r="GP65" s="205"/>
      <c r="GQ65" s="211" t="str">
        <f aca="true" t="shared" si="70" ref="GQ65:GY65">IF(GQ62=GQ51,"OK","ERROR")</f>
        <v>OK</v>
      </c>
      <c r="GR65" s="211" t="str">
        <f t="shared" si="70"/>
        <v>OK</v>
      </c>
      <c r="GS65" s="211" t="str">
        <f t="shared" si="70"/>
        <v>OK</v>
      </c>
      <c r="GT65" s="211" t="str">
        <f t="shared" si="70"/>
        <v>OK</v>
      </c>
      <c r="GU65" s="211" t="str">
        <f t="shared" si="70"/>
        <v>OK</v>
      </c>
      <c r="GV65" s="211" t="str">
        <f t="shared" si="70"/>
        <v>OK</v>
      </c>
      <c r="GW65" s="211" t="str">
        <f t="shared" si="70"/>
        <v>OK</v>
      </c>
      <c r="GX65" s="211" t="str">
        <f t="shared" si="70"/>
        <v>OK</v>
      </c>
      <c r="GY65" s="211" t="str">
        <f t="shared" si="70"/>
        <v>OK</v>
      </c>
      <c r="GZ65" s="205"/>
      <c r="HA65" s="205"/>
      <c r="HB65" s="211" t="str">
        <f aca="true" t="shared" si="71" ref="HB65:HK65">IF(HB62=HB51,"OK","ERROR")</f>
        <v>OK</v>
      </c>
      <c r="HC65" s="211" t="str">
        <f t="shared" si="71"/>
        <v>OK</v>
      </c>
      <c r="HD65" s="211" t="str">
        <f t="shared" si="71"/>
        <v>OK</v>
      </c>
      <c r="HE65" s="211" t="str">
        <f t="shared" si="71"/>
        <v>OK</v>
      </c>
      <c r="HF65" s="211" t="str">
        <f t="shared" si="71"/>
        <v>OK</v>
      </c>
      <c r="HG65" s="211" t="str">
        <f t="shared" si="71"/>
        <v>OK</v>
      </c>
      <c r="HH65" s="211" t="str">
        <f t="shared" si="71"/>
        <v>OK</v>
      </c>
      <c r="HI65" s="211" t="str">
        <f t="shared" si="71"/>
        <v>OK</v>
      </c>
      <c r="HJ65" s="211" t="str">
        <f t="shared" si="71"/>
        <v>OK</v>
      </c>
      <c r="HK65" s="211" t="str">
        <f t="shared" si="71"/>
        <v>OK</v>
      </c>
      <c r="HL65" s="205"/>
      <c r="HM65" s="205"/>
      <c r="HN65" s="211" t="str">
        <f aca="true" t="shared" si="72" ref="HN65:HW65">IF(HN62=HN51,"OK","ERROR")</f>
        <v>OK</v>
      </c>
      <c r="HO65" s="211" t="str">
        <f t="shared" si="72"/>
        <v>OK</v>
      </c>
      <c r="HP65" s="211" t="str">
        <f t="shared" si="72"/>
        <v>OK</v>
      </c>
      <c r="HQ65" s="211" t="str">
        <f t="shared" si="72"/>
        <v>OK</v>
      </c>
      <c r="HR65" s="211" t="str">
        <f t="shared" si="72"/>
        <v>OK</v>
      </c>
      <c r="HS65" s="211" t="str">
        <f t="shared" si="72"/>
        <v>OK</v>
      </c>
      <c r="HT65" s="211" t="str">
        <f t="shared" si="72"/>
        <v>OK</v>
      </c>
      <c r="HU65" s="211" t="str">
        <f>IF(HU62=HU51,"OK","ERROR")</f>
        <v>OK</v>
      </c>
      <c r="HV65" s="211" t="str">
        <f>IF(HV62=HV51,"OK","ERROR")</f>
        <v>OK</v>
      </c>
      <c r="HW65" s="211" t="str">
        <f t="shared" si="72"/>
        <v>OK</v>
      </c>
      <c r="HX65" s="211" t="str">
        <f>IF(ROUND(HX62,0)=ROUND(HX51,0),"OK","ERROR")</f>
        <v>OK</v>
      </c>
      <c r="HY65" s="205"/>
      <c r="HZ65" s="205"/>
      <c r="IA65" s="211" t="str">
        <f>IF(IA62=IA51,"OK","ERROR")</f>
        <v>OK</v>
      </c>
      <c r="IB65" s="211" t="str">
        <f>IF(IB62=IB51,"OK","ERROR")</f>
        <v>OK</v>
      </c>
      <c r="IC65" s="211" t="str">
        <f>IF(ROUND(IC62,0)=ROUND(IC51,0),"OK","ERROR")</f>
        <v>OK</v>
      </c>
      <c r="ID65" s="205"/>
      <c r="IE65" s="235"/>
      <c r="IF65" s="133"/>
    </row>
    <row r="66" spans="1:241" ht="15" customHeight="1" thickBot="1" thickTop="1">
      <c r="A66" s="3"/>
      <c r="Z66" s="110"/>
      <c r="AA66" s="19"/>
      <c r="AB66" s="19"/>
      <c r="AC66" s="19"/>
      <c r="AD66" s="19"/>
      <c r="AF66" s="133"/>
      <c r="AG66" s="133"/>
      <c r="AH66" s="299"/>
      <c r="AI66" s="133"/>
      <c r="AK66" s="133"/>
      <c r="AL66" s="133"/>
      <c r="AM66" s="133"/>
      <c r="AN66" s="133"/>
      <c r="AP66" s="133"/>
      <c r="AQ66" s="133"/>
      <c r="AR66" s="133"/>
      <c r="AS66" s="133"/>
      <c r="AZ66" s="133"/>
      <c r="BA66" s="133"/>
      <c r="BB66" s="133"/>
      <c r="BC66" s="133"/>
      <c r="BS66" s="299"/>
      <c r="BT66" s="299"/>
      <c r="BU66" s="299"/>
      <c r="BV66" s="299"/>
      <c r="BX66" s="299"/>
      <c r="BY66" s="299"/>
      <c r="BZ66" s="299"/>
      <c r="CA66" s="299"/>
      <c r="CW66" s="152"/>
      <c r="CX66" s="152"/>
      <c r="CY66" s="152"/>
      <c r="CZ66" s="152"/>
      <c r="DA66" s="152"/>
      <c r="DB66" s="152"/>
      <c r="DC66" s="152"/>
      <c r="EF66" s="7"/>
      <c r="EG66" s="302"/>
      <c r="EH66" s="302"/>
      <c r="EI66" s="302"/>
      <c r="EJ66" s="302"/>
      <c r="EO66" s="124"/>
      <c r="ET66" s="7"/>
      <c r="EU66" s="133"/>
      <c r="EV66" s="133"/>
      <c r="EW66" s="133"/>
      <c r="EX66" s="133"/>
      <c r="EZ66" s="7"/>
      <c r="FE66" s="302"/>
      <c r="FF66" s="78"/>
      <c r="FG66" s="78"/>
      <c r="FH66" s="78"/>
      <c r="FI66" s="78"/>
      <c r="FK66" s="133"/>
      <c r="FL66" s="118"/>
      <c r="FM66" s="459"/>
      <c r="FN66" s="460"/>
      <c r="FO66" s="7">
        <f t="shared" si="57"/>
        <v>54</v>
      </c>
      <c r="FQ66" s="183"/>
      <c r="FR66" s="220"/>
      <c r="FS66" s="180"/>
      <c r="FY66" s="7">
        <f t="shared" si="64"/>
        <v>12</v>
      </c>
      <c r="FZ66" s="8" t="s">
        <v>128</v>
      </c>
      <c r="GC66" s="499">
        <v>102391</v>
      </c>
      <c r="GD66" s="62"/>
      <c r="GE66" s="8"/>
      <c r="GF66" s="68"/>
      <c r="GG66" s="472"/>
      <c r="GH66" s="68"/>
      <c r="GI66" s="68"/>
      <c r="GJ66" s="68"/>
      <c r="GK66" s="68"/>
      <c r="GL66" s="68"/>
      <c r="GM66" s="68"/>
      <c r="GN66" s="68"/>
      <c r="GO66" s="7"/>
      <c r="GP66" s="8"/>
      <c r="GQ66" s="68"/>
      <c r="GR66" s="68"/>
      <c r="GS66" s="68"/>
      <c r="GT66" s="68"/>
      <c r="GU66" s="68"/>
      <c r="GV66" s="68"/>
      <c r="GW66" s="68"/>
      <c r="GX66" s="68"/>
      <c r="GY66" s="68"/>
      <c r="GZ66" s="7"/>
      <c r="HA66" s="8"/>
      <c r="HB66" s="68"/>
      <c r="HC66" s="472"/>
      <c r="HD66" s="68"/>
      <c r="HE66" s="68"/>
      <c r="HF66" s="68"/>
      <c r="HG66" s="68"/>
      <c r="HH66" s="68"/>
      <c r="HI66" s="68"/>
      <c r="HJ66" s="68"/>
      <c r="HK66" s="68"/>
      <c r="HL66" s="7"/>
      <c r="HM66" s="8"/>
      <c r="HN66" s="68"/>
      <c r="HO66" s="68"/>
      <c r="HP66" s="68"/>
      <c r="HQ66" s="68"/>
      <c r="HR66" s="68"/>
      <c r="HS66" s="68"/>
      <c r="HT66" s="68"/>
      <c r="HU66" s="292"/>
      <c r="HV66" s="68"/>
      <c r="HW66" s="68"/>
      <c r="HX66" s="68"/>
      <c r="HY66" s="7"/>
      <c r="IA66" s="68"/>
      <c r="IB66" s="292"/>
      <c r="IC66" s="292"/>
      <c r="ID66" s="292"/>
      <c r="IE66" s="292"/>
      <c r="IG66" s="6"/>
    </row>
    <row r="67" spans="26:241" ht="18" customHeight="1" thickBot="1" thickTop="1">
      <c r="Z67" s="110"/>
      <c r="AA67" s="19"/>
      <c r="AB67" s="19"/>
      <c r="AC67" s="19"/>
      <c r="AD67" s="19"/>
      <c r="AF67" s="133"/>
      <c r="AG67" s="133"/>
      <c r="AH67" s="299"/>
      <c r="AI67" s="133"/>
      <c r="AK67" s="133"/>
      <c r="AL67" s="133"/>
      <c r="AM67" s="133"/>
      <c r="AN67" s="133"/>
      <c r="AP67" s="133"/>
      <c r="AQ67" s="133"/>
      <c r="AR67" s="133"/>
      <c r="AS67" s="133"/>
      <c r="AZ67" s="133"/>
      <c r="BA67" s="133"/>
      <c r="BB67" s="133"/>
      <c r="BC67" s="133"/>
      <c r="BR67" s="110"/>
      <c r="BS67" s="299"/>
      <c r="BT67" s="299"/>
      <c r="BU67" s="299"/>
      <c r="BV67" s="299"/>
      <c r="BX67" s="299"/>
      <c r="BY67" s="299"/>
      <c r="BZ67" s="299"/>
      <c r="CA67" s="299"/>
      <c r="CW67" s="152"/>
      <c r="CX67" s="152"/>
      <c r="CY67" s="152"/>
      <c r="CZ67" s="152"/>
      <c r="DA67" s="152"/>
      <c r="DB67" s="152"/>
      <c r="DC67" s="152"/>
      <c r="EF67" s="7"/>
      <c r="EG67" s="302"/>
      <c r="EH67" s="302"/>
      <c r="EI67" s="302"/>
      <c r="EJ67" s="302"/>
      <c r="EO67" s="7"/>
      <c r="ET67" s="7"/>
      <c r="EU67" s="133"/>
      <c r="EV67" s="133"/>
      <c r="EW67" s="133"/>
      <c r="EX67" s="133"/>
      <c r="EZ67" s="7"/>
      <c r="FE67" s="302"/>
      <c r="FF67" s="78"/>
      <c r="FG67" s="78"/>
      <c r="FH67" s="78"/>
      <c r="FI67" s="78"/>
      <c r="FK67" s="133"/>
      <c r="FL67" s="461"/>
      <c r="FM67" s="461"/>
      <c r="FN67" s="461"/>
      <c r="FO67" s="7">
        <f t="shared" si="57"/>
        <v>55</v>
      </c>
      <c r="FP67" s="151" t="s">
        <v>417</v>
      </c>
      <c r="FQ67" s="180"/>
      <c r="FR67" s="180"/>
      <c r="FS67" s="180"/>
      <c r="FY67" s="7">
        <f t="shared" si="64"/>
        <v>13</v>
      </c>
      <c r="FZ67" s="78" t="s">
        <v>325</v>
      </c>
      <c r="GC67" s="185">
        <f>+GC64-GC66-GC65</f>
        <v>130179688</v>
      </c>
      <c r="GD67" s="62"/>
      <c r="GE67" s="133"/>
      <c r="GF67" s="157"/>
      <c r="GG67" s="157"/>
      <c r="GH67" s="157"/>
      <c r="GI67" s="157"/>
      <c r="GJ67" s="157"/>
      <c r="GK67" s="157"/>
      <c r="GL67" s="157"/>
      <c r="GM67" s="157"/>
      <c r="GN67" s="157"/>
      <c r="GO67" s="157"/>
      <c r="GP67" s="157"/>
      <c r="GQ67" s="157"/>
      <c r="GR67" s="157"/>
      <c r="GS67" s="157"/>
      <c r="GT67" s="157"/>
      <c r="GU67" s="157"/>
      <c r="GV67" s="157"/>
      <c r="GW67" s="157"/>
      <c r="GX67" s="157"/>
      <c r="GY67" s="157"/>
      <c r="GZ67" s="157"/>
      <c r="HA67" s="157"/>
      <c r="HB67" s="157"/>
      <c r="HC67" s="157"/>
      <c r="HD67" s="157"/>
      <c r="HE67" s="157"/>
      <c r="HF67" s="157"/>
      <c r="HG67" s="157"/>
      <c r="HH67" s="157"/>
      <c r="HI67" s="157"/>
      <c r="HJ67" s="157"/>
      <c r="HK67" s="157"/>
      <c r="HL67" s="157"/>
      <c r="HM67" s="157"/>
      <c r="HN67" s="157"/>
      <c r="HO67" s="157"/>
      <c r="HP67" s="157"/>
      <c r="HQ67" s="157"/>
      <c r="HR67" s="157"/>
      <c r="HS67" s="157"/>
      <c r="HT67" s="157"/>
      <c r="HU67" s="157"/>
      <c r="HV67" s="157"/>
      <c r="HW67" s="157"/>
      <c r="HX67" s="6"/>
      <c r="HY67" s="157"/>
      <c r="HZ67" s="157"/>
      <c r="IA67" s="157"/>
      <c r="IB67" s="157"/>
      <c r="IC67" s="157"/>
      <c r="ID67" s="235"/>
      <c r="IE67" s="237"/>
      <c r="IF67" s="225"/>
      <c r="IG67" s="225"/>
    </row>
    <row r="68" spans="26:241" ht="15" customHeight="1" thickTop="1">
      <c r="Z68" s="110"/>
      <c r="AA68" s="19"/>
      <c r="AB68" s="19"/>
      <c r="AC68" s="19"/>
      <c r="AD68" s="19"/>
      <c r="AF68" s="133"/>
      <c r="AG68" s="133"/>
      <c r="AH68" s="299"/>
      <c r="AI68" s="133"/>
      <c r="AK68" s="133"/>
      <c r="AL68" s="133"/>
      <c r="AM68" s="133"/>
      <c r="AN68" s="133"/>
      <c r="AP68" s="133"/>
      <c r="AQ68" s="133"/>
      <c r="AR68" s="133"/>
      <c r="AS68" s="133"/>
      <c r="AU68" s="133"/>
      <c r="AV68" s="133"/>
      <c r="AW68" s="133"/>
      <c r="AX68" s="133"/>
      <c r="AZ68" s="133"/>
      <c r="BA68" s="133"/>
      <c r="BB68" s="133"/>
      <c r="BC68" s="133"/>
      <c r="BE68" s="133"/>
      <c r="BF68" s="133"/>
      <c r="BG68" s="345"/>
      <c r="BH68" s="345"/>
      <c r="BI68" s="345"/>
      <c r="BR68" s="110"/>
      <c r="BS68" s="299"/>
      <c r="BT68" s="299"/>
      <c r="BU68" s="299"/>
      <c r="BV68" s="299"/>
      <c r="BX68" s="299"/>
      <c r="BY68" s="299"/>
      <c r="BZ68" s="299"/>
      <c r="CA68" s="299"/>
      <c r="CZ68" s="152"/>
      <c r="DA68" s="152"/>
      <c r="DB68" s="152"/>
      <c r="DC68" s="152"/>
      <c r="EF68" s="7"/>
      <c r="EG68" s="302"/>
      <c r="EH68" s="302"/>
      <c r="EI68" s="302"/>
      <c r="EJ68" s="302"/>
      <c r="EO68" s="7"/>
      <c r="ET68" s="7"/>
      <c r="EU68" s="133"/>
      <c r="EV68" s="133"/>
      <c r="EW68" s="133"/>
      <c r="EX68" s="133"/>
      <c r="EY68" s="156"/>
      <c r="EZ68" s="7"/>
      <c r="FE68" s="302"/>
      <c r="FF68" s="78"/>
      <c r="FG68" s="78"/>
      <c r="FH68" s="78"/>
      <c r="FI68" s="78"/>
      <c r="FK68" s="133"/>
      <c r="FL68" s="464"/>
      <c r="FM68" s="464"/>
      <c r="FN68" s="464"/>
      <c r="FO68" s="7">
        <f t="shared" si="57"/>
        <v>56</v>
      </c>
      <c r="FP68" s="8" t="s">
        <v>516</v>
      </c>
      <c r="FQ68" s="152">
        <f aca="true" t="shared" si="73" ref="FQ68:FQ73">FC35</f>
        <v>21125</v>
      </c>
      <c r="FR68" s="152">
        <f aca="true" t="shared" si="74" ref="FR68:FR76">-ROUND(FQ68*$FR$11,0)</f>
        <v>-705</v>
      </c>
      <c r="FS68" s="152"/>
      <c r="FY68" s="7"/>
      <c r="GC68" s="153"/>
      <c r="GD68" s="62"/>
      <c r="GE68" s="126"/>
      <c r="GF68" s="231"/>
      <c r="GG68" s="231"/>
      <c r="GH68" s="158"/>
      <c r="GI68" s="158"/>
      <c r="GJ68" s="158"/>
      <c r="GK68" s="158"/>
      <c r="GL68" s="158"/>
      <c r="GM68" s="231"/>
      <c r="GN68" s="231"/>
      <c r="GO68" s="62"/>
      <c r="GP68" s="126"/>
      <c r="GQ68" s="231"/>
      <c r="GR68" s="231"/>
      <c r="GS68" s="231"/>
      <c r="GT68" s="231"/>
      <c r="GU68" s="158"/>
      <c r="GV68" s="231"/>
      <c r="GW68" s="231"/>
      <c r="GX68" s="158"/>
      <c r="GY68" s="158"/>
      <c r="GZ68" s="62"/>
      <c r="HA68" s="126"/>
      <c r="HB68" s="158"/>
      <c r="HC68" s="158"/>
      <c r="HD68" s="158"/>
      <c r="HE68" s="158"/>
      <c r="HF68" s="231"/>
      <c r="HG68" s="231"/>
      <c r="HH68" s="158"/>
      <c r="HI68" s="158"/>
      <c r="HJ68" s="158"/>
      <c r="HK68" s="158"/>
      <c r="HL68" s="62"/>
      <c r="HM68" s="126"/>
      <c r="HN68" s="231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226"/>
      <c r="HZ68" s="133"/>
      <c r="IA68" s="158"/>
      <c r="IB68" s="158"/>
      <c r="IC68" s="158"/>
      <c r="ID68" s="158"/>
      <c r="IE68" s="158"/>
      <c r="IF68" s="158"/>
      <c r="IG68" s="158"/>
    </row>
    <row r="69" spans="27:240" ht="15" customHeight="1">
      <c r="AA69" s="19"/>
      <c r="AB69" s="19"/>
      <c r="AC69" s="19"/>
      <c r="AD69" s="19"/>
      <c r="AF69" s="133"/>
      <c r="AG69" s="133"/>
      <c r="AH69" s="299"/>
      <c r="AI69" s="133"/>
      <c r="AK69" s="133"/>
      <c r="AL69" s="133"/>
      <c r="AM69" s="133"/>
      <c r="AN69" s="133"/>
      <c r="AP69" s="133"/>
      <c r="AQ69" s="133"/>
      <c r="AR69" s="133"/>
      <c r="AS69" s="133"/>
      <c r="AU69" s="133"/>
      <c r="AV69" s="133"/>
      <c r="AW69" s="133"/>
      <c r="AX69" s="133"/>
      <c r="AZ69" s="133"/>
      <c r="BA69" s="133"/>
      <c r="BB69" s="133"/>
      <c r="BC69" s="133"/>
      <c r="BE69" s="133"/>
      <c r="BF69" s="360"/>
      <c r="BG69" s="360"/>
      <c r="BH69" s="360"/>
      <c r="BI69" s="345"/>
      <c r="BR69" s="110"/>
      <c r="BS69" s="299"/>
      <c r="BT69" s="299"/>
      <c r="BU69" s="299"/>
      <c r="BV69" s="299"/>
      <c r="BX69" s="299"/>
      <c r="BY69" s="299"/>
      <c r="BZ69" s="299"/>
      <c r="CA69" s="299"/>
      <c r="CQ69" s="128"/>
      <c r="CZ69" s="152"/>
      <c r="DA69" s="152"/>
      <c r="DB69" s="152"/>
      <c r="DC69" s="152"/>
      <c r="EF69" s="7"/>
      <c r="EG69" s="302"/>
      <c r="EH69" s="302"/>
      <c r="EI69" s="302"/>
      <c r="EJ69" s="302"/>
      <c r="EO69" s="7"/>
      <c r="ET69" s="124"/>
      <c r="EY69" s="156"/>
      <c r="EZ69" s="7"/>
      <c r="FE69" s="302"/>
      <c r="FF69" s="302"/>
      <c r="FG69" s="302"/>
      <c r="FH69" s="302"/>
      <c r="FI69" s="302"/>
      <c r="FJ69" s="7"/>
      <c r="FK69" s="454"/>
      <c r="FL69" s="454"/>
      <c r="FM69" s="454"/>
      <c r="FN69" s="454"/>
      <c r="FO69" s="7">
        <f t="shared" si="57"/>
        <v>57</v>
      </c>
      <c r="FP69" s="8" t="s">
        <v>517</v>
      </c>
      <c r="FQ69" s="152">
        <f t="shared" si="73"/>
        <v>94583875</v>
      </c>
      <c r="FR69" s="152">
        <f t="shared" si="74"/>
        <v>-3156264</v>
      </c>
      <c r="FS69" s="152"/>
      <c r="FY69" s="290"/>
      <c r="FZ69" s="289"/>
      <c r="GC69" s="153"/>
      <c r="GD69" s="48"/>
      <c r="GE69" s="523"/>
      <c r="GF69" s="218"/>
      <c r="GG69" s="218"/>
      <c r="GH69" s="218"/>
      <c r="GI69" s="218"/>
      <c r="GJ69" s="218"/>
      <c r="GK69" s="218"/>
      <c r="GL69" s="218"/>
      <c r="GM69" s="218"/>
      <c r="GN69" s="218"/>
      <c r="GO69" s="218"/>
      <c r="GP69" s="218"/>
      <c r="GQ69" s="218"/>
      <c r="GR69" s="218"/>
      <c r="GS69" s="218"/>
      <c r="GT69" s="218"/>
      <c r="GU69" s="218"/>
      <c r="GV69" s="218"/>
      <c r="GW69" s="218"/>
      <c r="GX69" s="218"/>
      <c r="GY69" s="218"/>
      <c r="GZ69" s="218"/>
      <c r="HA69" s="218"/>
      <c r="HB69" s="218"/>
      <c r="HC69" s="218"/>
      <c r="HD69" s="218"/>
      <c r="HE69" s="218"/>
      <c r="HF69" s="218"/>
      <c r="HG69" s="218"/>
      <c r="HH69" s="218"/>
      <c r="HI69" s="218"/>
      <c r="HJ69" s="218"/>
      <c r="HK69" s="218"/>
      <c r="HL69" s="218"/>
      <c r="HM69" s="218"/>
      <c r="HN69" s="218"/>
      <c r="HO69" s="218"/>
      <c r="HP69" s="218"/>
      <c r="HQ69" s="218"/>
      <c r="HR69" s="218"/>
      <c r="HS69" s="218"/>
      <c r="HT69" s="218"/>
      <c r="HU69" s="218"/>
      <c r="HV69" s="218"/>
      <c r="HW69" s="218"/>
      <c r="HX69" s="218"/>
      <c r="HY69" s="227"/>
      <c r="HZ69" s="218"/>
      <c r="IA69" s="180"/>
      <c r="IB69" s="133"/>
      <c r="IC69" s="133"/>
      <c r="ID69" s="133"/>
      <c r="IE69" s="133"/>
      <c r="IF69" s="133"/>
    </row>
    <row r="70" spans="24:240" ht="15" customHeight="1">
      <c r="X70" s="133"/>
      <c r="Y70" s="133"/>
      <c r="AA70" s="46"/>
      <c r="AB70" s="46"/>
      <c r="AC70" s="46"/>
      <c r="AD70" s="46"/>
      <c r="AF70" s="133"/>
      <c r="AG70" s="133"/>
      <c r="AH70" s="299"/>
      <c r="AI70" s="133"/>
      <c r="AK70" s="133"/>
      <c r="AL70" s="133"/>
      <c r="AM70" s="133"/>
      <c r="AN70" s="133"/>
      <c r="AP70" s="133"/>
      <c r="AQ70" s="133"/>
      <c r="AR70" s="133"/>
      <c r="AS70" s="133"/>
      <c r="AU70" s="133"/>
      <c r="AV70" s="133"/>
      <c r="AW70" s="133"/>
      <c r="AX70" s="133"/>
      <c r="AZ70" s="133"/>
      <c r="BA70" s="133"/>
      <c r="BB70" s="133"/>
      <c r="BC70" s="133"/>
      <c r="BE70" s="133"/>
      <c r="BF70" s="360"/>
      <c r="BG70" s="360"/>
      <c r="BH70" s="360"/>
      <c r="BI70" s="345"/>
      <c r="BS70" s="299"/>
      <c r="BT70" s="299"/>
      <c r="BU70" s="299"/>
      <c r="BV70" s="299"/>
      <c r="BX70" s="299"/>
      <c r="BY70" s="299"/>
      <c r="BZ70" s="299"/>
      <c r="CA70" s="299"/>
      <c r="EF70" s="7"/>
      <c r="EG70" s="302"/>
      <c r="EH70" s="302"/>
      <c r="EI70" s="302"/>
      <c r="EJ70" s="302"/>
      <c r="EO70" s="7"/>
      <c r="ET70" s="7"/>
      <c r="EY70" s="156"/>
      <c r="EZ70" s="7"/>
      <c r="FE70" s="302"/>
      <c r="FF70" s="302"/>
      <c r="FG70" s="302"/>
      <c r="FH70" s="302"/>
      <c r="FI70" s="302"/>
      <c r="FJ70" s="7"/>
      <c r="FK70" s="133"/>
      <c r="FL70" s="459"/>
      <c r="FM70" s="459"/>
      <c r="FN70" s="459"/>
      <c r="FO70" s="7">
        <f t="shared" si="57"/>
        <v>58</v>
      </c>
      <c r="FP70" s="8" t="s">
        <v>448</v>
      </c>
      <c r="FQ70" s="152">
        <f t="shared" si="73"/>
        <v>19609943.00999999</v>
      </c>
      <c r="FR70" s="152">
        <f t="shared" si="74"/>
        <v>-654384</v>
      </c>
      <c r="FS70" s="152"/>
      <c r="FY70" s="144"/>
      <c r="FZ70" s="133"/>
      <c r="GA70" s="133"/>
      <c r="GB70" s="133"/>
      <c r="GC70" s="61"/>
      <c r="GD70" s="227"/>
      <c r="GE70" s="133"/>
      <c r="GF70" s="179"/>
      <c r="GG70" s="218"/>
      <c r="GH70" s="218"/>
      <c r="GI70" s="218"/>
      <c r="GJ70" s="218"/>
      <c r="GK70" s="218"/>
      <c r="GL70" s="218"/>
      <c r="GM70" s="218"/>
      <c r="GN70" s="218"/>
      <c r="GO70" s="218"/>
      <c r="GP70" s="218"/>
      <c r="GQ70" s="218"/>
      <c r="GR70" s="218"/>
      <c r="GS70" s="218"/>
      <c r="GT70" s="218"/>
      <c r="GU70" s="218"/>
      <c r="GV70" s="218"/>
      <c r="GW70" s="218"/>
      <c r="GX70" s="218"/>
      <c r="GY70" s="218"/>
      <c r="GZ70" s="218"/>
      <c r="HA70" s="218"/>
      <c r="HB70" s="218"/>
      <c r="HC70" s="218"/>
      <c r="HD70" s="218"/>
      <c r="HE70" s="218"/>
      <c r="HF70" s="218"/>
      <c r="HG70" s="218"/>
      <c r="HH70" s="218"/>
      <c r="HI70" s="218"/>
      <c r="HJ70" s="218"/>
      <c r="HK70" s="218"/>
      <c r="HL70" s="218"/>
      <c r="HM70" s="218"/>
      <c r="HN70" s="218"/>
      <c r="HO70" s="218"/>
      <c r="HP70" s="218"/>
      <c r="HQ70" s="218"/>
      <c r="HR70" s="218"/>
      <c r="HS70" s="218"/>
      <c r="HT70" s="218"/>
      <c r="HU70" s="218"/>
      <c r="HV70" s="218"/>
      <c r="HW70" s="218"/>
      <c r="HX70" s="218"/>
      <c r="HY70" s="236"/>
      <c r="HZ70" s="235"/>
      <c r="IA70" s="235"/>
      <c r="IB70" s="235"/>
      <c r="IC70" s="235"/>
      <c r="ID70" s="235"/>
      <c r="IE70" s="235"/>
      <c r="IF70" s="133"/>
    </row>
    <row r="71" spans="24:241" ht="15" customHeight="1">
      <c r="X71" s="133"/>
      <c r="Y71" s="133"/>
      <c r="AA71" s="19"/>
      <c r="AB71" s="19"/>
      <c r="AC71" s="19"/>
      <c r="AD71" s="19"/>
      <c r="AF71" s="133"/>
      <c r="AG71" s="133"/>
      <c r="AH71" s="299"/>
      <c r="AI71" s="133"/>
      <c r="AK71" s="133"/>
      <c r="AL71" s="133"/>
      <c r="AM71" s="133"/>
      <c r="AN71" s="133"/>
      <c r="AP71" s="133"/>
      <c r="AQ71" s="133"/>
      <c r="AR71" s="133"/>
      <c r="AS71" s="133"/>
      <c r="AU71" s="133"/>
      <c r="AV71" s="133"/>
      <c r="AW71" s="133"/>
      <c r="AX71" s="133"/>
      <c r="AZ71" s="133"/>
      <c r="BA71" s="133"/>
      <c r="BB71" s="133"/>
      <c r="BC71" s="133"/>
      <c r="BE71" s="133"/>
      <c r="BF71" s="360"/>
      <c r="BG71" s="360"/>
      <c r="BH71" s="360"/>
      <c r="BI71" s="345"/>
      <c r="BS71" s="299"/>
      <c r="BT71" s="299"/>
      <c r="BU71" s="299"/>
      <c r="BV71" s="299"/>
      <c r="BX71" s="299"/>
      <c r="BY71" s="299"/>
      <c r="BZ71" s="299"/>
      <c r="CA71" s="299"/>
      <c r="EF71" s="7"/>
      <c r="EG71" s="78"/>
      <c r="EH71" s="78"/>
      <c r="EI71" s="78"/>
      <c r="EJ71" s="78"/>
      <c r="EO71" s="7"/>
      <c r="ET71" s="7"/>
      <c r="EY71" s="156"/>
      <c r="EZ71" s="7"/>
      <c r="FA71" s="156"/>
      <c r="FB71" s="156"/>
      <c r="FC71" s="156"/>
      <c r="FD71" s="156"/>
      <c r="FE71" s="302"/>
      <c r="FF71" s="302"/>
      <c r="FG71" s="302"/>
      <c r="FH71" s="302"/>
      <c r="FI71" s="302"/>
      <c r="FJ71" s="7"/>
      <c r="FK71" s="133"/>
      <c r="FL71" s="462"/>
      <c r="FM71" s="459"/>
      <c r="FN71" s="459"/>
      <c r="FO71" s="7">
        <f t="shared" si="57"/>
        <v>59</v>
      </c>
      <c r="FP71" s="8" t="s">
        <v>514</v>
      </c>
      <c r="FQ71" s="152">
        <f t="shared" si="73"/>
        <v>33499702.430070594</v>
      </c>
      <c r="FR71" s="152">
        <f t="shared" si="74"/>
        <v>-1117885</v>
      </c>
      <c r="FS71" s="152"/>
      <c r="FY71" s="144"/>
      <c r="FZ71" s="133"/>
      <c r="GA71" s="133"/>
      <c r="GB71" s="133"/>
      <c r="GC71" s="61"/>
      <c r="GD71" s="227"/>
      <c r="GE71" s="133"/>
      <c r="GF71" s="179"/>
      <c r="GG71" s="218"/>
      <c r="GH71" s="218"/>
      <c r="GI71" s="218"/>
      <c r="GJ71" s="218"/>
      <c r="GK71" s="218"/>
      <c r="GL71" s="218"/>
      <c r="GM71" s="218"/>
      <c r="GN71" s="218"/>
      <c r="GO71" s="218"/>
      <c r="GP71" s="218"/>
      <c r="GQ71" s="218"/>
      <c r="GR71" s="218"/>
      <c r="GS71" s="218"/>
      <c r="GT71" s="218"/>
      <c r="GU71" s="218"/>
      <c r="GV71" s="218"/>
      <c r="GW71" s="218"/>
      <c r="GX71" s="218"/>
      <c r="GY71" s="218"/>
      <c r="GZ71" s="218"/>
      <c r="HA71" s="218"/>
      <c r="HB71" s="218"/>
      <c r="HC71" s="218"/>
      <c r="HD71" s="218"/>
      <c r="HE71" s="218"/>
      <c r="HF71" s="218"/>
      <c r="HG71" s="218"/>
      <c r="HH71" s="218"/>
      <c r="HI71" s="218"/>
      <c r="HJ71" s="218"/>
      <c r="HK71" s="218"/>
      <c r="HL71" s="218"/>
      <c r="HM71" s="218"/>
      <c r="HN71" s="218"/>
      <c r="HO71" s="218"/>
      <c r="HP71" s="218"/>
      <c r="HQ71" s="218"/>
      <c r="HR71" s="218"/>
      <c r="HS71" s="218"/>
      <c r="HT71" s="218"/>
      <c r="HU71" s="218"/>
      <c r="HV71" s="218"/>
      <c r="HW71" s="218"/>
      <c r="HX71" s="218"/>
      <c r="HY71" s="158"/>
      <c r="HZ71" s="158"/>
      <c r="IA71" s="158"/>
      <c r="IB71" s="158"/>
      <c r="IC71" s="158"/>
      <c r="ID71" s="158"/>
      <c r="IE71" s="158"/>
      <c r="IF71" s="6"/>
      <c r="IG71" s="6"/>
    </row>
    <row r="72" spans="24:241" ht="15" customHeight="1">
      <c r="X72" s="133"/>
      <c r="Y72" s="133"/>
      <c r="AF72" s="133"/>
      <c r="AG72" s="133"/>
      <c r="AH72" s="299"/>
      <c r="AI72" s="133"/>
      <c r="AK72" s="133"/>
      <c r="AL72" s="133"/>
      <c r="AM72" s="133"/>
      <c r="AN72" s="133"/>
      <c r="AP72" s="133"/>
      <c r="AQ72" s="133"/>
      <c r="AR72" s="133"/>
      <c r="AS72" s="133"/>
      <c r="AU72" s="133"/>
      <c r="AV72" s="133"/>
      <c r="AW72" s="133"/>
      <c r="AX72" s="133"/>
      <c r="AZ72" s="133"/>
      <c r="BA72" s="133"/>
      <c r="BB72" s="133"/>
      <c r="BC72" s="133"/>
      <c r="BE72" s="133"/>
      <c r="BF72" s="360"/>
      <c r="BG72" s="360"/>
      <c r="BH72" s="360"/>
      <c r="BI72" s="345"/>
      <c r="BS72" s="299"/>
      <c r="BT72" s="299"/>
      <c r="BU72" s="299"/>
      <c r="BV72" s="299"/>
      <c r="BX72" s="299"/>
      <c r="BY72" s="299"/>
      <c r="BZ72" s="299"/>
      <c r="CA72" s="299"/>
      <c r="EF72" s="7"/>
      <c r="EG72" s="78"/>
      <c r="EH72" s="78"/>
      <c r="EI72" s="78"/>
      <c r="EJ72" s="78"/>
      <c r="EO72" s="7"/>
      <c r="ET72" s="7"/>
      <c r="EY72" s="156"/>
      <c r="EZ72" s="7"/>
      <c r="FA72" s="156"/>
      <c r="FB72" s="156"/>
      <c r="FC72" s="156"/>
      <c r="FD72" s="156"/>
      <c r="FE72" s="302"/>
      <c r="FF72" s="302"/>
      <c r="FG72" s="302"/>
      <c r="FH72" s="302"/>
      <c r="FI72" s="302"/>
      <c r="FJ72" s="7"/>
      <c r="FK72" s="133"/>
      <c r="FL72" s="462"/>
      <c r="FM72" s="459"/>
      <c r="FN72" s="461"/>
      <c r="FO72" s="7">
        <f t="shared" si="57"/>
        <v>60</v>
      </c>
      <c r="FP72" s="8" t="s">
        <v>307</v>
      </c>
      <c r="FQ72" s="152">
        <f t="shared" si="73"/>
        <v>21740383.889999993</v>
      </c>
      <c r="FR72" s="152">
        <f t="shared" si="74"/>
        <v>-725477</v>
      </c>
      <c r="FS72" s="152"/>
      <c r="FY72" s="525"/>
      <c r="FZ72" s="467"/>
      <c r="GA72" s="87"/>
      <c r="GB72" s="467"/>
      <c r="GC72" s="61"/>
      <c r="GD72" s="227"/>
      <c r="GE72" s="126"/>
      <c r="GF72" s="231"/>
      <c r="GG72" s="231"/>
      <c r="GH72" s="158"/>
      <c r="GI72" s="158"/>
      <c r="GJ72" s="158"/>
      <c r="GK72" s="158"/>
      <c r="GL72" s="158"/>
      <c r="GM72" s="231"/>
      <c r="GN72" s="231"/>
      <c r="GO72" s="62"/>
      <c r="GP72" s="126"/>
      <c r="GQ72" s="231"/>
      <c r="GR72" s="231"/>
      <c r="GS72" s="231"/>
      <c r="GT72" s="231"/>
      <c r="GU72" s="158"/>
      <c r="GV72" s="231"/>
      <c r="GW72" s="231"/>
      <c r="GX72" s="158"/>
      <c r="GY72" s="158"/>
      <c r="GZ72" s="62"/>
      <c r="HA72" s="126"/>
      <c r="HB72" s="158"/>
      <c r="HC72" s="158"/>
      <c r="HD72" s="158"/>
      <c r="HE72" s="158"/>
      <c r="HF72" s="231"/>
      <c r="HG72" s="231"/>
      <c r="HH72" s="158"/>
      <c r="HI72" s="158"/>
      <c r="HJ72" s="158"/>
      <c r="HK72" s="158"/>
      <c r="HL72" s="62"/>
      <c r="HM72" s="126"/>
      <c r="HN72" s="231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238"/>
      <c r="HZ72" s="238"/>
      <c r="IA72" s="238"/>
      <c r="IB72" s="238"/>
      <c r="IC72" s="238"/>
      <c r="ID72" s="238"/>
      <c r="IE72" s="238"/>
      <c r="IF72" s="225"/>
      <c r="IG72" s="225"/>
    </row>
    <row r="73" spans="24:241" ht="15" customHeight="1">
      <c r="X73" s="133"/>
      <c r="Y73" s="133"/>
      <c r="AF73" s="133"/>
      <c r="AG73" s="133"/>
      <c r="AH73" s="299"/>
      <c r="AI73" s="133"/>
      <c r="AK73" s="133"/>
      <c r="AL73" s="133"/>
      <c r="AM73" s="133"/>
      <c r="AN73" s="133"/>
      <c r="AP73" s="133"/>
      <c r="AQ73" s="133"/>
      <c r="AR73" s="133"/>
      <c r="AS73" s="133"/>
      <c r="AU73" s="133"/>
      <c r="AV73" s="133"/>
      <c r="AW73" s="133"/>
      <c r="AX73" s="133"/>
      <c r="AZ73" s="133"/>
      <c r="BA73" s="133"/>
      <c r="BB73" s="133"/>
      <c r="BC73" s="133"/>
      <c r="BE73" s="133"/>
      <c r="BF73" s="360"/>
      <c r="BG73" s="360"/>
      <c r="BH73" s="360"/>
      <c r="BI73" s="345"/>
      <c r="BX73" s="299"/>
      <c r="BY73" s="299"/>
      <c r="BZ73" s="299"/>
      <c r="CA73" s="299"/>
      <c r="EF73" s="7"/>
      <c r="EG73" s="78"/>
      <c r="EH73" s="78"/>
      <c r="EI73" s="78"/>
      <c r="EJ73" s="78"/>
      <c r="EO73" s="7"/>
      <c r="ET73" s="7"/>
      <c r="EY73" s="156"/>
      <c r="EZ73" s="7"/>
      <c r="FA73" s="156"/>
      <c r="FB73" s="156"/>
      <c r="FC73" s="156"/>
      <c r="FE73" s="302"/>
      <c r="FF73" s="302"/>
      <c r="FG73" s="302"/>
      <c r="FH73" s="302"/>
      <c r="FI73" s="302"/>
      <c r="FJ73" s="7"/>
      <c r="FK73" s="454"/>
      <c r="FL73" s="461"/>
      <c r="FM73" s="461"/>
      <c r="FN73" s="461"/>
      <c r="FO73" s="7">
        <f t="shared" si="57"/>
        <v>61</v>
      </c>
      <c r="FP73" s="8" t="s">
        <v>308</v>
      </c>
      <c r="FQ73" s="152">
        <f t="shared" si="73"/>
        <v>-2.8230715543031693E-09</v>
      </c>
      <c r="FR73" s="152">
        <f t="shared" si="74"/>
        <v>0</v>
      </c>
      <c r="FS73" s="152"/>
      <c r="FY73" s="526"/>
      <c r="FZ73" s="467"/>
      <c r="GA73" s="87"/>
      <c r="GB73" s="467"/>
      <c r="GC73" s="527"/>
      <c r="GD73" s="230"/>
      <c r="GE73" s="523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62"/>
      <c r="HZ73" s="133"/>
      <c r="IA73" s="158"/>
      <c r="IB73" s="158"/>
      <c r="IC73" s="158"/>
      <c r="ID73" s="158"/>
      <c r="IE73" s="158"/>
      <c r="IF73" s="158"/>
      <c r="IG73" s="158"/>
    </row>
    <row r="74" spans="24:240" ht="15" customHeight="1">
      <c r="X74" s="133"/>
      <c r="Y74" s="133"/>
      <c r="AF74" s="133"/>
      <c r="AG74" s="133"/>
      <c r="AH74" s="299"/>
      <c r="AI74" s="133"/>
      <c r="AK74" s="133"/>
      <c r="AL74" s="133"/>
      <c r="AM74" s="133"/>
      <c r="AN74" s="133"/>
      <c r="AP74" s="133"/>
      <c r="AQ74" s="133"/>
      <c r="AR74" s="133"/>
      <c r="AS74" s="133"/>
      <c r="AU74" s="133"/>
      <c r="AV74" s="133"/>
      <c r="AW74" s="133"/>
      <c r="AX74" s="133"/>
      <c r="AZ74" s="133"/>
      <c r="BA74" s="133"/>
      <c r="BB74" s="133"/>
      <c r="BC74" s="133"/>
      <c r="BE74" s="133"/>
      <c r="BF74" s="360"/>
      <c r="BG74" s="360"/>
      <c r="BH74" s="360"/>
      <c r="BI74" s="345"/>
      <c r="BX74" s="299"/>
      <c r="BY74" s="299"/>
      <c r="BZ74" s="299"/>
      <c r="CA74" s="299"/>
      <c r="EG74" s="302"/>
      <c r="EH74" s="302"/>
      <c r="EI74" s="302"/>
      <c r="EJ74" s="302"/>
      <c r="EO74" s="7"/>
      <c r="ET74" s="7"/>
      <c r="EY74" s="156"/>
      <c r="EZ74" s="7"/>
      <c r="FA74" s="156"/>
      <c r="FB74" s="156"/>
      <c r="FC74" s="156"/>
      <c r="FD74" s="46"/>
      <c r="FE74" s="302"/>
      <c r="FF74" s="302"/>
      <c r="FG74" s="302"/>
      <c r="FH74" s="302"/>
      <c r="FI74" s="302"/>
      <c r="FJ74" s="7"/>
      <c r="FK74" s="454"/>
      <c r="FL74" s="461"/>
      <c r="FM74" s="461"/>
      <c r="FN74" s="461"/>
      <c r="FO74" s="7">
        <f t="shared" si="57"/>
        <v>62</v>
      </c>
      <c r="FP74" s="8" t="s">
        <v>594</v>
      </c>
      <c r="FQ74" s="152">
        <f>FC41</f>
        <v>4614746.762500001</v>
      </c>
      <c r="FR74" s="152">
        <f t="shared" si="74"/>
        <v>-153994</v>
      </c>
      <c r="FS74" s="152"/>
      <c r="FY74" s="526"/>
      <c r="FZ74" s="467"/>
      <c r="GA74" s="87"/>
      <c r="GB74" s="467"/>
      <c r="GC74" s="467"/>
      <c r="GD74" s="230"/>
      <c r="GE74" s="133"/>
      <c r="GF74" s="179"/>
      <c r="GG74" s="179"/>
      <c r="GH74" s="179"/>
      <c r="GI74" s="179"/>
      <c r="GJ74" s="179"/>
      <c r="GK74" s="179"/>
      <c r="GL74" s="179"/>
      <c r="GM74" s="179"/>
      <c r="GN74" s="179"/>
      <c r="GO74" s="218"/>
      <c r="GP74" s="218"/>
      <c r="GQ74" s="179"/>
      <c r="GR74" s="179"/>
      <c r="GS74" s="179"/>
      <c r="GT74" s="179"/>
      <c r="GU74" s="179"/>
      <c r="GV74" s="179"/>
      <c r="GW74" s="179"/>
      <c r="GX74" s="179"/>
      <c r="GY74" s="179"/>
      <c r="GZ74" s="218"/>
      <c r="HA74" s="218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218"/>
      <c r="HM74" s="218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227"/>
      <c r="HZ74" s="133"/>
      <c r="IA74" s="133"/>
      <c r="IB74" s="133"/>
      <c r="IC74" s="133"/>
      <c r="ID74" s="133"/>
      <c r="IE74" s="133"/>
      <c r="IF74" s="133"/>
    </row>
    <row r="75" spans="24:241" ht="15" customHeight="1">
      <c r="X75" s="133"/>
      <c r="Y75" s="133"/>
      <c r="AF75" s="133"/>
      <c r="AG75" s="133"/>
      <c r="AH75" s="299"/>
      <c r="AI75" s="133"/>
      <c r="AK75" s="133"/>
      <c r="AL75" s="133"/>
      <c r="AM75" s="133"/>
      <c r="AN75" s="133"/>
      <c r="AP75" s="133"/>
      <c r="AQ75" s="133"/>
      <c r="AR75" s="133"/>
      <c r="AS75" s="133"/>
      <c r="AU75" s="133"/>
      <c r="AV75" s="133"/>
      <c r="AW75" s="133"/>
      <c r="AX75" s="133"/>
      <c r="AZ75" s="133"/>
      <c r="BA75" s="133"/>
      <c r="BB75" s="133"/>
      <c r="BC75" s="133"/>
      <c r="BE75" s="133"/>
      <c r="BF75" s="360"/>
      <c r="BG75" s="360"/>
      <c r="BH75" s="360"/>
      <c r="BI75" s="345"/>
      <c r="BX75" s="299"/>
      <c r="BY75" s="299"/>
      <c r="BZ75" s="299"/>
      <c r="CA75" s="299"/>
      <c r="EG75" s="302"/>
      <c r="EH75" s="302"/>
      <c r="EI75" s="302"/>
      <c r="EJ75" s="302"/>
      <c r="EO75" s="7"/>
      <c r="ET75" s="7"/>
      <c r="EZ75" s="7"/>
      <c r="FA75" s="156"/>
      <c r="FB75" s="156"/>
      <c r="FC75" s="156"/>
      <c r="FD75" s="156"/>
      <c r="FE75" s="302"/>
      <c r="FF75" s="302"/>
      <c r="FG75" s="302"/>
      <c r="FH75" s="302"/>
      <c r="FI75" s="302"/>
      <c r="FJ75" s="7"/>
      <c r="FK75" s="133"/>
      <c r="FL75" s="462"/>
      <c r="FM75" s="459"/>
      <c r="FN75" s="461"/>
      <c r="FO75" s="7">
        <f t="shared" si="57"/>
        <v>63</v>
      </c>
      <c r="FP75" s="263" t="s">
        <v>17</v>
      </c>
      <c r="FQ75" s="152">
        <f>AD24</f>
        <v>-1440473.6</v>
      </c>
      <c r="FR75" s="152">
        <f t="shared" si="74"/>
        <v>48069</v>
      </c>
      <c r="FS75" s="152"/>
      <c r="FY75" s="87"/>
      <c r="FZ75" s="467"/>
      <c r="GA75" s="87"/>
      <c r="GB75" s="467"/>
      <c r="GC75" s="467"/>
      <c r="GD75" s="231"/>
      <c r="GE75" s="133"/>
      <c r="GF75" s="179"/>
      <c r="GG75" s="179"/>
      <c r="GH75" s="179"/>
      <c r="GI75" s="179"/>
      <c r="GJ75" s="179"/>
      <c r="GK75" s="179"/>
      <c r="GL75" s="179"/>
      <c r="GM75" s="179"/>
      <c r="GN75" s="179"/>
      <c r="GO75" s="218"/>
      <c r="GP75" s="218"/>
      <c r="GQ75" s="179"/>
      <c r="GR75" s="179"/>
      <c r="GS75" s="179"/>
      <c r="GT75" s="179"/>
      <c r="GU75" s="179"/>
      <c r="GV75" s="179"/>
      <c r="GW75" s="179"/>
      <c r="GX75" s="179"/>
      <c r="GY75" s="179"/>
      <c r="GZ75" s="218"/>
      <c r="HA75" s="218"/>
      <c r="HB75" s="179"/>
      <c r="HC75" s="179"/>
      <c r="HD75" s="179"/>
      <c r="HE75" s="179"/>
      <c r="HF75" s="179"/>
      <c r="HG75" s="179"/>
      <c r="HH75" s="179"/>
      <c r="HI75" s="179"/>
      <c r="HJ75" s="179"/>
      <c r="HK75" s="179"/>
      <c r="HL75" s="218"/>
      <c r="HM75" s="218"/>
      <c r="HN75" s="179"/>
      <c r="HO75" s="179"/>
      <c r="HP75" s="179"/>
      <c r="HQ75" s="179"/>
      <c r="HR75" s="179"/>
      <c r="HS75" s="179"/>
      <c r="HT75" s="179"/>
      <c r="HU75" s="179"/>
      <c r="HV75" s="179"/>
      <c r="HW75" s="179"/>
      <c r="HX75" s="179"/>
      <c r="HY75" s="227"/>
      <c r="HZ75" s="158"/>
      <c r="IA75" s="158"/>
      <c r="IB75" s="158"/>
      <c r="IC75" s="158"/>
      <c r="ID75" s="158"/>
      <c r="IE75" s="158"/>
      <c r="IF75" s="158"/>
      <c r="IG75" s="158"/>
    </row>
    <row r="76" spans="24:240" ht="15" customHeight="1">
      <c r="X76" s="133"/>
      <c r="Y76" s="133"/>
      <c r="AF76" s="133"/>
      <c r="AG76" s="133"/>
      <c r="AH76" s="299"/>
      <c r="AI76" s="133"/>
      <c r="AK76" s="133"/>
      <c r="AL76" s="133"/>
      <c r="AM76" s="133"/>
      <c r="AN76" s="133"/>
      <c r="AP76" s="133"/>
      <c r="AQ76" s="133"/>
      <c r="AR76" s="133"/>
      <c r="AS76" s="133"/>
      <c r="AU76" s="133"/>
      <c r="AV76" s="133"/>
      <c r="AW76" s="133"/>
      <c r="AX76" s="133"/>
      <c r="AZ76" s="133"/>
      <c r="BA76" s="133"/>
      <c r="BB76" s="133"/>
      <c r="BC76" s="133"/>
      <c r="BE76" s="133"/>
      <c r="BF76" s="360"/>
      <c r="BG76" s="360"/>
      <c r="BH76" s="360"/>
      <c r="BI76" s="345"/>
      <c r="BX76" s="299"/>
      <c r="BY76" s="299"/>
      <c r="BZ76" s="299"/>
      <c r="CA76" s="299"/>
      <c r="EG76" s="302"/>
      <c r="EH76" s="302"/>
      <c r="EI76" s="302"/>
      <c r="EJ76" s="302"/>
      <c r="ET76" s="7"/>
      <c r="EZ76" s="7"/>
      <c r="FA76" s="156"/>
      <c r="FB76" s="156"/>
      <c r="FC76" s="156"/>
      <c r="FD76" s="156"/>
      <c r="FE76" s="302"/>
      <c r="FF76" s="302"/>
      <c r="FG76" s="302"/>
      <c r="FH76" s="302"/>
      <c r="FI76" s="302"/>
      <c r="FJ76" s="7"/>
      <c r="FK76" s="133"/>
      <c r="FL76" s="462"/>
      <c r="FM76" s="459"/>
      <c r="FN76" s="461"/>
      <c r="FO76" s="7">
        <f t="shared" si="57"/>
        <v>64</v>
      </c>
      <c r="FP76" s="263" t="s">
        <v>545</v>
      </c>
      <c r="FQ76" s="152">
        <f>ES29</f>
        <v>6763253.380746877</v>
      </c>
      <c r="FR76" s="152">
        <f t="shared" si="74"/>
        <v>-225690</v>
      </c>
      <c r="FS76" s="152"/>
      <c r="FY76" s="526"/>
      <c r="FZ76" s="528"/>
      <c r="GA76" s="467"/>
      <c r="GB76" s="467"/>
      <c r="GC76" s="467"/>
      <c r="GD76" s="62"/>
      <c r="GE76" s="126"/>
      <c r="GF76" s="231"/>
      <c r="GG76" s="231"/>
      <c r="GH76" s="158"/>
      <c r="GI76" s="158"/>
      <c r="GJ76" s="158"/>
      <c r="GK76" s="158"/>
      <c r="GL76" s="158"/>
      <c r="GM76" s="231"/>
      <c r="GN76" s="231"/>
      <c r="GO76" s="62"/>
      <c r="GP76" s="126"/>
      <c r="GQ76" s="231"/>
      <c r="GR76" s="231"/>
      <c r="GS76" s="231"/>
      <c r="GT76" s="231"/>
      <c r="GU76" s="158"/>
      <c r="GV76" s="231"/>
      <c r="GW76" s="231"/>
      <c r="GX76" s="158"/>
      <c r="GY76" s="158"/>
      <c r="GZ76" s="62"/>
      <c r="HA76" s="126"/>
      <c r="HB76" s="158"/>
      <c r="HC76" s="158"/>
      <c r="HD76" s="158"/>
      <c r="HE76" s="158"/>
      <c r="HF76" s="231"/>
      <c r="HG76" s="231"/>
      <c r="HH76" s="158"/>
      <c r="HI76" s="158"/>
      <c r="HJ76" s="158"/>
      <c r="HK76" s="158"/>
      <c r="HL76" s="62"/>
      <c r="HM76" s="126"/>
      <c r="HN76" s="231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227"/>
      <c r="HZ76" s="133"/>
      <c r="IA76" s="133"/>
      <c r="IB76" s="133"/>
      <c r="IC76" s="133"/>
      <c r="ID76" s="133"/>
      <c r="IE76" s="133"/>
      <c r="IF76" s="133"/>
    </row>
    <row r="77" spans="24:241" ht="15" customHeight="1">
      <c r="X77" s="133"/>
      <c r="Y77" s="133"/>
      <c r="AF77" s="133"/>
      <c r="AG77" s="133"/>
      <c r="AH77" s="299"/>
      <c r="AI77" s="133"/>
      <c r="AK77" s="133"/>
      <c r="AL77" s="133"/>
      <c r="AM77" s="133"/>
      <c r="AN77" s="133"/>
      <c r="AP77" s="133"/>
      <c r="AQ77" s="133"/>
      <c r="AR77" s="133"/>
      <c r="AS77" s="133"/>
      <c r="AU77" s="133"/>
      <c r="AV77" s="133"/>
      <c r="AW77" s="133"/>
      <c r="AX77" s="133"/>
      <c r="AZ77" s="133"/>
      <c r="BA77" s="133"/>
      <c r="BB77" s="133"/>
      <c r="BC77" s="133"/>
      <c r="BE77" s="133"/>
      <c r="BF77" s="360"/>
      <c r="BG77" s="360"/>
      <c r="BH77" s="360"/>
      <c r="BI77" s="345"/>
      <c r="BX77" s="299"/>
      <c r="BY77" s="299"/>
      <c r="BZ77" s="299"/>
      <c r="CA77" s="299"/>
      <c r="EG77" s="302"/>
      <c r="EH77" s="302"/>
      <c r="EI77" s="302"/>
      <c r="EJ77" s="302"/>
      <c r="ET77" s="7"/>
      <c r="EZ77" s="7"/>
      <c r="FA77" s="156"/>
      <c r="FB77" s="156"/>
      <c r="FC77" s="156"/>
      <c r="FD77" s="156"/>
      <c r="FE77" s="302"/>
      <c r="FF77" s="302"/>
      <c r="FG77" s="302"/>
      <c r="FH77" s="302"/>
      <c r="FI77" s="302"/>
      <c r="FJ77" s="7"/>
      <c r="FK77" s="133"/>
      <c r="FL77" s="461"/>
      <c r="FM77" s="461"/>
      <c r="FN77" s="461"/>
      <c r="FO77" s="7">
        <f t="shared" si="57"/>
        <v>65</v>
      </c>
      <c r="FP77" s="8"/>
      <c r="FQ77" s="183"/>
      <c r="FR77" s="183"/>
      <c r="FS77" s="180"/>
      <c r="FY77" s="133"/>
      <c r="FZ77" s="133"/>
      <c r="GA77" s="133"/>
      <c r="GB77" s="133"/>
      <c r="GC77" s="133"/>
      <c r="GD77" s="230"/>
      <c r="GE77" s="96"/>
      <c r="GF77" s="179"/>
      <c r="GG77" s="179"/>
      <c r="GH77" s="179"/>
      <c r="GI77" s="179"/>
      <c r="GJ77" s="179"/>
      <c r="GK77" s="179"/>
      <c r="GL77" s="179"/>
      <c r="GM77" s="179"/>
      <c r="GN77" s="179"/>
      <c r="GO77" s="218"/>
      <c r="GP77" s="218"/>
      <c r="GQ77" s="179"/>
      <c r="GR77" s="179"/>
      <c r="GS77" s="179"/>
      <c r="GT77" s="179"/>
      <c r="GU77" s="179"/>
      <c r="GV77" s="179"/>
      <c r="GW77" s="179"/>
      <c r="GX77" s="179"/>
      <c r="GY77" s="179"/>
      <c r="GZ77" s="218"/>
      <c r="HA77" s="218"/>
      <c r="HB77" s="179"/>
      <c r="HC77" s="179"/>
      <c r="HD77" s="179"/>
      <c r="HE77" s="179"/>
      <c r="HF77" s="179"/>
      <c r="HG77" s="179"/>
      <c r="HH77" s="179"/>
      <c r="HI77" s="179"/>
      <c r="HJ77" s="179"/>
      <c r="HK77" s="179"/>
      <c r="HL77" s="218"/>
      <c r="HM77" s="218"/>
      <c r="HN77" s="179"/>
      <c r="HO77" s="179"/>
      <c r="HP77" s="179"/>
      <c r="HQ77" s="179"/>
      <c r="HR77" s="179"/>
      <c r="HS77" s="179"/>
      <c r="HT77" s="179"/>
      <c r="HU77" s="179"/>
      <c r="HV77" s="179"/>
      <c r="HW77" s="179"/>
      <c r="HX77" s="179"/>
      <c r="HY77" s="227"/>
      <c r="HZ77" s="158"/>
      <c r="IA77" s="158"/>
      <c r="IB77" s="158"/>
      <c r="IC77" s="158"/>
      <c r="ID77" s="158"/>
      <c r="IE77" s="158"/>
      <c r="IF77" s="158"/>
      <c r="IG77" s="158"/>
    </row>
    <row r="78" spans="24:240" ht="15" customHeight="1" thickBot="1">
      <c r="X78" s="133"/>
      <c r="Y78" s="133"/>
      <c r="AF78" s="133"/>
      <c r="AG78" s="133"/>
      <c r="AH78" s="299"/>
      <c r="AI78" s="133"/>
      <c r="AK78" s="133"/>
      <c r="AL78" s="133"/>
      <c r="AM78" s="133"/>
      <c r="AN78" s="133"/>
      <c r="AP78" s="133"/>
      <c r="AQ78" s="133"/>
      <c r="AR78" s="133"/>
      <c r="AS78" s="133"/>
      <c r="AU78" s="133"/>
      <c r="AV78" s="133"/>
      <c r="AW78" s="133"/>
      <c r="AX78" s="133"/>
      <c r="AZ78" s="133"/>
      <c r="BA78" s="133"/>
      <c r="BB78" s="133"/>
      <c r="BC78" s="133"/>
      <c r="BE78" s="133"/>
      <c r="BF78" s="360"/>
      <c r="BG78" s="360"/>
      <c r="BH78" s="360"/>
      <c r="BI78" s="345"/>
      <c r="BX78" s="299"/>
      <c r="BY78" s="299"/>
      <c r="BZ78" s="299"/>
      <c r="CA78" s="299"/>
      <c r="EG78" s="302"/>
      <c r="EH78" s="302"/>
      <c r="EI78" s="302"/>
      <c r="EJ78" s="302"/>
      <c r="ET78" s="7"/>
      <c r="EZ78" s="7"/>
      <c r="FE78" s="302"/>
      <c r="FF78" s="302"/>
      <c r="FG78" s="302"/>
      <c r="FH78" s="302"/>
      <c r="FI78" s="302"/>
      <c r="FJ78" s="7"/>
      <c r="FK78" s="454"/>
      <c r="FL78" s="454"/>
      <c r="FM78" s="454"/>
      <c r="FN78" s="454"/>
      <c r="FO78" s="7">
        <f t="shared" si="57"/>
        <v>66</v>
      </c>
      <c r="FP78" s="78" t="s">
        <v>419</v>
      </c>
      <c r="FQ78" s="499">
        <f>SUM(FQ68:FQ77)</f>
        <v>179392555.87331742</v>
      </c>
      <c r="FR78" s="499">
        <f>SUM(FR68:FR77)</f>
        <v>-5986330</v>
      </c>
      <c r="FS78" s="499">
        <f>SUM(FQ78:FR78)</f>
        <v>173406225.87331742</v>
      </c>
      <c r="FY78" s="62"/>
      <c r="FZ78" s="133"/>
      <c r="GA78" s="133"/>
      <c r="GB78" s="133"/>
      <c r="GC78" s="48"/>
      <c r="GD78" s="230"/>
      <c r="GE78" s="133"/>
      <c r="GF78" s="179"/>
      <c r="GG78" s="179"/>
      <c r="GH78" s="179"/>
      <c r="GI78" s="179"/>
      <c r="GJ78" s="179"/>
      <c r="GK78" s="179"/>
      <c r="GL78" s="179"/>
      <c r="GM78" s="179"/>
      <c r="GN78" s="179"/>
      <c r="GO78" s="218"/>
      <c r="GP78" s="218"/>
      <c r="GQ78" s="179"/>
      <c r="GR78" s="179"/>
      <c r="GS78" s="179"/>
      <c r="GT78" s="179"/>
      <c r="GU78" s="179"/>
      <c r="GV78" s="179"/>
      <c r="GW78" s="179"/>
      <c r="GX78" s="179"/>
      <c r="GY78" s="179"/>
      <c r="GZ78" s="218"/>
      <c r="HA78" s="218"/>
      <c r="HB78" s="179"/>
      <c r="HC78" s="179"/>
      <c r="HD78" s="179"/>
      <c r="HE78" s="179"/>
      <c r="HF78" s="179"/>
      <c r="HG78" s="179"/>
      <c r="HH78" s="179"/>
      <c r="HI78" s="179"/>
      <c r="HJ78" s="179"/>
      <c r="HK78" s="179"/>
      <c r="HL78" s="218"/>
      <c r="HM78" s="218"/>
      <c r="HN78" s="179"/>
      <c r="HO78" s="179"/>
      <c r="HP78" s="179"/>
      <c r="HQ78" s="179"/>
      <c r="HR78" s="179"/>
      <c r="HS78" s="179"/>
      <c r="HT78" s="179"/>
      <c r="HU78" s="179"/>
      <c r="HV78" s="179"/>
      <c r="HW78" s="179"/>
      <c r="HX78" s="179"/>
      <c r="HY78" s="133"/>
      <c r="HZ78" s="133"/>
      <c r="IA78" s="133"/>
      <c r="IB78" s="133"/>
      <c r="IC78" s="133"/>
      <c r="ID78" s="133"/>
      <c r="IE78" s="133"/>
      <c r="IF78" s="133"/>
    </row>
    <row r="79" spans="24:240" ht="15" customHeight="1" thickTop="1">
      <c r="X79" s="133"/>
      <c r="Y79" s="133"/>
      <c r="AF79" s="133"/>
      <c r="AG79" s="133"/>
      <c r="AH79" s="299"/>
      <c r="AI79" s="133"/>
      <c r="AK79" s="133"/>
      <c r="AL79" s="133"/>
      <c r="AM79" s="133"/>
      <c r="AN79" s="133"/>
      <c r="AP79" s="133"/>
      <c r="AQ79" s="133"/>
      <c r="AR79" s="133"/>
      <c r="AS79" s="133"/>
      <c r="AU79" s="133"/>
      <c r="AV79" s="133"/>
      <c r="AW79" s="133"/>
      <c r="AX79" s="133"/>
      <c r="AZ79" s="133"/>
      <c r="BA79" s="133"/>
      <c r="BB79" s="133"/>
      <c r="BC79" s="133"/>
      <c r="BE79" s="133"/>
      <c r="BF79" s="360"/>
      <c r="BG79" s="360"/>
      <c r="BH79" s="360"/>
      <c r="BI79" s="133"/>
      <c r="BX79" s="299"/>
      <c r="BY79" s="299"/>
      <c r="BZ79" s="299"/>
      <c r="CA79" s="299"/>
      <c r="EG79" s="302"/>
      <c r="EH79" s="302"/>
      <c r="EI79" s="302"/>
      <c r="EJ79" s="302"/>
      <c r="EZ79" s="7"/>
      <c r="FE79" s="302"/>
      <c r="FF79" s="302"/>
      <c r="FG79" s="302"/>
      <c r="FH79" s="302"/>
      <c r="FI79" s="302"/>
      <c r="FJ79" s="7"/>
      <c r="FK79" s="133"/>
      <c r="FL79" s="461"/>
      <c r="FM79" s="454"/>
      <c r="FN79" s="461"/>
      <c r="FO79" s="7">
        <f t="shared" si="57"/>
        <v>67</v>
      </c>
      <c r="FQ79" s="183"/>
      <c r="FR79" s="221"/>
      <c r="FS79" s="180"/>
      <c r="FY79" s="62"/>
      <c r="FZ79" s="126"/>
      <c r="GA79" s="133"/>
      <c r="GB79" s="133"/>
      <c r="GC79" s="48"/>
      <c r="GD79" s="230"/>
      <c r="GE79" s="133"/>
      <c r="GF79" s="179"/>
      <c r="GG79" s="179"/>
      <c r="GH79" s="179"/>
      <c r="GI79" s="179"/>
      <c r="GJ79" s="179"/>
      <c r="GK79" s="179"/>
      <c r="GL79" s="179"/>
      <c r="GM79" s="179"/>
      <c r="GN79" s="179"/>
      <c r="GO79" s="179"/>
      <c r="GP79" s="179"/>
      <c r="GQ79" s="179"/>
      <c r="GR79" s="179"/>
      <c r="GS79" s="179"/>
      <c r="GT79" s="179"/>
      <c r="GU79" s="179"/>
      <c r="GV79" s="179"/>
      <c r="GW79" s="179"/>
      <c r="GX79" s="179"/>
      <c r="GY79" s="179"/>
      <c r="GZ79" s="179"/>
      <c r="HA79" s="179"/>
      <c r="HB79" s="179"/>
      <c r="HC79" s="179"/>
      <c r="HD79" s="179"/>
      <c r="HE79" s="179"/>
      <c r="HF79" s="179"/>
      <c r="HG79" s="179"/>
      <c r="HH79" s="179"/>
      <c r="HI79" s="179"/>
      <c r="HJ79" s="179"/>
      <c r="HK79" s="179"/>
      <c r="HL79" s="179"/>
      <c r="HM79" s="179"/>
      <c r="HN79" s="179"/>
      <c r="HO79" s="179"/>
      <c r="HP79" s="179"/>
      <c r="HQ79" s="179"/>
      <c r="HR79" s="179"/>
      <c r="HS79" s="179"/>
      <c r="HT79" s="179"/>
      <c r="HU79" s="179"/>
      <c r="HV79" s="179"/>
      <c r="HW79" s="179"/>
      <c r="HX79" s="179"/>
      <c r="HY79" s="133"/>
      <c r="HZ79" s="133"/>
      <c r="IA79" s="133"/>
      <c r="IB79" s="133"/>
      <c r="IC79" s="133"/>
      <c r="ID79" s="133"/>
      <c r="IE79" s="133"/>
      <c r="IF79" s="133"/>
    </row>
    <row r="80" spans="24:241" ht="15" customHeight="1" thickBot="1">
      <c r="X80" s="133"/>
      <c r="Y80" s="133"/>
      <c r="AF80" s="133"/>
      <c r="AG80" s="133"/>
      <c r="AH80" s="299"/>
      <c r="AI80" s="133"/>
      <c r="AK80" s="133"/>
      <c r="AL80" s="133"/>
      <c r="AM80" s="133"/>
      <c r="AN80" s="133"/>
      <c r="AP80" s="133"/>
      <c r="AQ80" s="133"/>
      <c r="AR80" s="133"/>
      <c r="AS80" s="133"/>
      <c r="AU80" s="133"/>
      <c r="AV80" s="133"/>
      <c r="AW80" s="133"/>
      <c r="AX80" s="133"/>
      <c r="AZ80" s="133"/>
      <c r="BA80" s="133"/>
      <c r="BB80" s="133"/>
      <c r="BC80" s="133"/>
      <c r="BE80" s="133"/>
      <c r="BF80" s="360"/>
      <c r="BG80" s="360"/>
      <c r="BH80" s="360"/>
      <c r="BI80" s="133"/>
      <c r="BX80" s="299"/>
      <c r="BY80" s="299"/>
      <c r="BZ80" s="299"/>
      <c r="CA80" s="299"/>
      <c r="CB80" s="214"/>
      <c r="EG80" s="302"/>
      <c r="EH80" s="302"/>
      <c r="EI80" s="302"/>
      <c r="EJ80" s="302"/>
      <c r="EZ80" s="7"/>
      <c r="FE80" s="302"/>
      <c r="FF80" s="302"/>
      <c r="FG80" s="302"/>
      <c r="FH80" s="302"/>
      <c r="FI80" s="302"/>
      <c r="FJ80" s="7"/>
      <c r="FK80" s="133"/>
      <c r="FL80" s="462"/>
      <c r="FM80" s="459"/>
      <c r="FN80" s="459"/>
      <c r="FO80" s="7">
        <f t="shared" si="57"/>
        <v>68</v>
      </c>
      <c r="FP80" s="78" t="s">
        <v>503</v>
      </c>
      <c r="FQ80" s="170"/>
      <c r="FR80" s="499">
        <f>SUM(FR65,FR78)</f>
        <v>-43045904</v>
      </c>
      <c r="FS80" s="170"/>
      <c r="FY80" s="133"/>
      <c r="FZ80" s="133"/>
      <c r="GA80" s="133"/>
      <c r="GB80" s="133"/>
      <c r="GC80" s="133"/>
      <c r="GD80" s="227"/>
      <c r="GE80" s="96"/>
      <c r="GF80" s="6"/>
      <c r="GG80" s="6"/>
      <c r="GH80" s="6"/>
      <c r="GI80" s="6"/>
      <c r="GJ80" s="6"/>
      <c r="GK80" s="6"/>
      <c r="GL80" s="6"/>
      <c r="GM80" s="6"/>
      <c r="GN80" s="6"/>
      <c r="GO80" s="227"/>
      <c r="GP80" s="96"/>
      <c r="GQ80" s="6"/>
      <c r="GR80" s="6"/>
      <c r="GS80" s="6"/>
      <c r="GT80" s="6"/>
      <c r="GU80" s="6"/>
      <c r="GV80" s="6"/>
      <c r="GW80" s="6"/>
      <c r="GX80" s="6"/>
      <c r="GY80" s="6"/>
      <c r="GZ80" s="227"/>
      <c r="HA80" s="9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227"/>
      <c r="HM80" s="9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158"/>
      <c r="HY80" s="227"/>
      <c r="HZ80" s="133"/>
      <c r="IA80" s="6"/>
      <c r="IB80" s="6"/>
      <c r="IC80" s="6"/>
      <c r="ID80" s="6"/>
      <c r="IE80" s="6"/>
      <c r="IF80" s="6"/>
      <c r="IG80" s="6"/>
    </row>
    <row r="81" spans="24:241" ht="15.75" customHeight="1" thickTop="1">
      <c r="X81" s="133"/>
      <c r="Y81" s="133"/>
      <c r="AF81" s="133"/>
      <c r="AG81" s="133"/>
      <c r="AH81" s="299"/>
      <c r="AI81" s="133"/>
      <c r="AK81" s="133"/>
      <c r="AL81" s="133"/>
      <c r="AM81" s="133"/>
      <c r="AN81" s="133"/>
      <c r="AP81" s="133"/>
      <c r="AQ81" s="133"/>
      <c r="AR81" s="133"/>
      <c r="AS81" s="133"/>
      <c r="AU81" s="133"/>
      <c r="AV81" s="133"/>
      <c r="AW81" s="133"/>
      <c r="AX81" s="133"/>
      <c r="AZ81" s="133"/>
      <c r="BA81" s="133"/>
      <c r="BB81" s="133"/>
      <c r="BC81" s="133"/>
      <c r="BE81" s="133"/>
      <c r="BF81" s="360"/>
      <c r="BG81" s="360"/>
      <c r="BH81" s="360"/>
      <c r="BI81" s="133"/>
      <c r="BX81" s="299"/>
      <c r="BY81" s="299"/>
      <c r="BZ81" s="299"/>
      <c r="CA81" s="299"/>
      <c r="EG81" s="302"/>
      <c r="EH81" s="302"/>
      <c r="EI81" s="302"/>
      <c r="EJ81" s="302"/>
      <c r="FE81" s="302"/>
      <c r="FF81" s="302"/>
      <c r="FG81" s="302"/>
      <c r="FH81" s="302"/>
      <c r="FI81" s="302"/>
      <c r="FJ81" s="7"/>
      <c r="FK81" s="133"/>
      <c r="FL81" s="461"/>
      <c r="FM81" s="459"/>
      <c r="FN81" s="461"/>
      <c r="FO81" s="7"/>
      <c r="FQ81" s="152"/>
      <c r="FS81" s="153"/>
      <c r="FY81" s="48"/>
      <c r="FZ81" s="133"/>
      <c r="GA81" s="133"/>
      <c r="GB81" s="133"/>
      <c r="GC81" s="490"/>
      <c r="GD81" s="231"/>
      <c r="GE81" s="96"/>
      <c r="GF81" s="158"/>
      <c r="GG81" s="158"/>
      <c r="GH81" s="158"/>
      <c r="GI81" s="158"/>
      <c r="GJ81" s="158"/>
      <c r="GK81" s="158"/>
      <c r="GL81" s="158"/>
      <c r="GM81" s="158"/>
      <c r="GN81" s="158"/>
      <c r="GO81" s="231"/>
      <c r="GP81" s="96"/>
      <c r="GQ81" s="158"/>
      <c r="GR81" s="158"/>
      <c r="GS81" s="158"/>
      <c r="GT81" s="158"/>
      <c r="GU81" s="158"/>
      <c r="GV81" s="158"/>
      <c r="GW81" s="158"/>
      <c r="GX81" s="158"/>
      <c r="GY81" s="158"/>
      <c r="GZ81" s="231"/>
      <c r="HA81" s="96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231"/>
      <c r="HM81" s="96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232"/>
      <c r="HY81" s="227"/>
      <c r="HZ81" s="158"/>
      <c r="IA81" s="158"/>
      <c r="IB81" s="158"/>
      <c r="IC81" s="158"/>
      <c r="ID81" s="158"/>
      <c r="IE81" s="158"/>
      <c r="IF81" s="158"/>
      <c r="IG81" s="158"/>
    </row>
    <row r="82" spans="24:240" ht="15" customHeight="1">
      <c r="X82" s="133"/>
      <c r="Y82" s="133"/>
      <c r="AF82" s="133"/>
      <c r="AG82" s="133"/>
      <c r="AH82" s="299"/>
      <c r="AI82" s="133"/>
      <c r="AK82" s="133"/>
      <c r="AL82" s="133"/>
      <c r="AM82" s="133"/>
      <c r="AN82" s="133"/>
      <c r="AP82" s="133"/>
      <c r="AQ82" s="133"/>
      <c r="AR82" s="133"/>
      <c r="AS82" s="133"/>
      <c r="AU82" s="133"/>
      <c r="AV82" s="133"/>
      <c r="AW82" s="133"/>
      <c r="AX82" s="133"/>
      <c r="AZ82" s="133"/>
      <c r="BA82" s="133"/>
      <c r="BB82" s="133"/>
      <c r="BC82" s="133"/>
      <c r="BE82" s="133"/>
      <c r="BF82" s="360"/>
      <c r="BG82" s="360"/>
      <c r="BH82" s="360"/>
      <c r="BI82" s="133"/>
      <c r="BX82" s="299"/>
      <c r="BY82" s="299"/>
      <c r="BZ82" s="299"/>
      <c r="CA82" s="299"/>
      <c r="EG82" s="302"/>
      <c r="EH82" s="302"/>
      <c r="EI82" s="302"/>
      <c r="EJ82" s="302"/>
      <c r="FE82" s="302"/>
      <c r="FF82" s="302"/>
      <c r="FG82" s="302"/>
      <c r="FH82" s="302"/>
      <c r="FI82" s="302"/>
      <c r="FJ82" s="7"/>
      <c r="FK82" s="133"/>
      <c r="FL82" s="461"/>
      <c r="FM82" s="459"/>
      <c r="FN82" s="461"/>
      <c r="FP82" s="299"/>
      <c r="FQ82" s="152"/>
      <c r="FY82" s="48"/>
      <c r="FZ82" s="96"/>
      <c r="GA82" s="133"/>
      <c r="GB82" s="133"/>
      <c r="GC82" s="529"/>
      <c r="GD82" s="62"/>
      <c r="GE82" s="126"/>
      <c r="GF82" s="231"/>
      <c r="GG82" s="231"/>
      <c r="GH82" s="158"/>
      <c r="GI82" s="158"/>
      <c r="GJ82" s="158"/>
      <c r="GK82" s="158"/>
      <c r="GL82" s="158"/>
      <c r="GM82" s="231"/>
      <c r="GN82" s="231"/>
      <c r="GO82" s="62"/>
      <c r="GP82" s="126"/>
      <c r="GQ82" s="231"/>
      <c r="GR82" s="231"/>
      <c r="GS82" s="231"/>
      <c r="GT82" s="231"/>
      <c r="GU82" s="158"/>
      <c r="GV82" s="231"/>
      <c r="GW82" s="231"/>
      <c r="GX82" s="158"/>
      <c r="GY82" s="158"/>
      <c r="GZ82" s="62"/>
      <c r="HA82" s="126"/>
      <c r="HB82" s="158"/>
      <c r="HC82" s="158"/>
      <c r="HD82" s="158"/>
      <c r="HE82" s="158"/>
      <c r="HF82" s="231"/>
      <c r="HG82" s="231"/>
      <c r="HH82" s="158"/>
      <c r="HI82" s="158"/>
      <c r="HJ82" s="158"/>
      <c r="HK82" s="158"/>
      <c r="HL82" s="62"/>
      <c r="HM82" s="126"/>
      <c r="HN82" s="231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33"/>
      <c r="HZ82" s="133"/>
      <c r="IA82" s="158"/>
      <c r="IB82" s="158"/>
      <c r="IC82" s="158"/>
      <c r="ID82" s="158"/>
      <c r="IE82" s="158"/>
      <c r="IF82" s="133"/>
    </row>
    <row r="83" spans="24:240" ht="15" customHeight="1">
      <c r="X83" s="133"/>
      <c r="Y83" s="133"/>
      <c r="AF83" s="133"/>
      <c r="AG83" s="133"/>
      <c r="AH83" s="299"/>
      <c r="AI83" s="133"/>
      <c r="AK83" s="133"/>
      <c r="AL83" s="133"/>
      <c r="AM83" s="133"/>
      <c r="AN83" s="133"/>
      <c r="AP83" s="133"/>
      <c r="AQ83" s="133"/>
      <c r="AR83" s="133"/>
      <c r="AS83" s="133"/>
      <c r="AU83" s="133"/>
      <c r="AV83" s="133"/>
      <c r="AW83" s="133"/>
      <c r="AX83" s="133"/>
      <c r="AZ83" s="133"/>
      <c r="BA83" s="133"/>
      <c r="BB83" s="133"/>
      <c r="BC83" s="133"/>
      <c r="BE83" s="133"/>
      <c r="BF83" s="360"/>
      <c r="BG83" s="360"/>
      <c r="BH83" s="360"/>
      <c r="BI83" s="133"/>
      <c r="BX83" s="213"/>
      <c r="BY83" s="214"/>
      <c r="CA83" s="214"/>
      <c r="EG83" s="302"/>
      <c r="EH83" s="302"/>
      <c r="EI83" s="302"/>
      <c r="EJ83" s="302"/>
      <c r="FE83" s="302"/>
      <c r="FF83" s="302"/>
      <c r="FG83" s="302"/>
      <c r="FH83" s="302"/>
      <c r="FI83" s="302"/>
      <c r="FJ83" s="263"/>
      <c r="FK83" s="454"/>
      <c r="FL83" s="461"/>
      <c r="FM83" s="461"/>
      <c r="FN83" s="461"/>
      <c r="FP83" s="299"/>
      <c r="FQ83" s="152"/>
      <c r="FR83" s="153"/>
      <c r="FS83" s="46"/>
      <c r="FY83" s="48"/>
      <c r="FZ83" s="96"/>
      <c r="GA83" s="154"/>
      <c r="GB83" s="133"/>
      <c r="GC83" s="133"/>
      <c r="GD83" s="230"/>
      <c r="GE83" s="523"/>
      <c r="GF83" s="218"/>
      <c r="GG83" s="218"/>
      <c r="GH83" s="218"/>
      <c r="GI83" s="218"/>
      <c r="GJ83" s="218"/>
      <c r="GK83" s="218"/>
      <c r="GL83" s="218"/>
      <c r="GM83" s="218"/>
      <c r="GN83" s="218"/>
      <c r="GO83" s="218"/>
      <c r="GP83" s="523"/>
      <c r="GQ83" s="218"/>
      <c r="GR83" s="218"/>
      <c r="GS83" s="218"/>
      <c r="GT83" s="218"/>
      <c r="GU83" s="218"/>
      <c r="GV83" s="218"/>
      <c r="GW83" s="218"/>
      <c r="GX83" s="218"/>
      <c r="GY83" s="218"/>
      <c r="GZ83" s="218"/>
      <c r="HA83" s="523"/>
      <c r="HB83" s="218"/>
      <c r="HC83" s="218"/>
      <c r="HD83" s="218"/>
      <c r="HE83" s="218"/>
      <c r="HF83" s="218"/>
      <c r="HG83" s="218"/>
      <c r="HH83" s="218"/>
      <c r="HI83" s="218"/>
      <c r="HJ83" s="218"/>
      <c r="HK83" s="218"/>
      <c r="HL83" s="218"/>
      <c r="HM83" s="523"/>
      <c r="HN83" s="218"/>
      <c r="HO83" s="218"/>
      <c r="HP83" s="218"/>
      <c r="HQ83" s="218"/>
      <c r="HR83" s="218"/>
      <c r="HS83" s="218"/>
      <c r="HT83" s="218"/>
      <c r="HU83" s="218"/>
      <c r="HV83" s="218"/>
      <c r="HW83" s="218"/>
      <c r="HX83" s="218"/>
      <c r="HY83" s="133"/>
      <c r="HZ83" s="133"/>
      <c r="IA83" s="180"/>
      <c r="IB83" s="520"/>
      <c r="IC83" s="133"/>
      <c r="ID83" s="133"/>
      <c r="IE83" s="133"/>
      <c r="IF83" s="133"/>
    </row>
    <row r="84" spans="24:240" ht="15" customHeight="1">
      <c r="X84" s="133"/>
      <c r="Y84" s="133"/>
      <c r="AF84" s="133"/>
      <c r="AG84" s="133"/>
      <c r="AH84" s="299"/>
      <c r="AI84" s="133"/>
      <c r="AK84" s="133"/>
      <c r="AL84" s="133"/>
      <c r="AM84" s="133"/>
      <c r="AN84" s="133"/>
      <c r="AP84" s="133"/>
      <c r="AQ84" s="133"/>
      <c r="AR84" s="133"/>
      <c r="AS84" s="133"/>
      <c r="AU84" s="133"/>
      <c r="AV84" s="133"/>
      <c r="AW84" s="133"/>
      <c r="AX84" s="133"/>
      <c r="AZ84" s="133"/>
      <c r="BA84" s="133"/>
      <c r="BB84" s="133"/>
      <c r="BC84" s="133"/>
      <c r="BE84" s="133"/>
      <c r="BF84" s="360"/>
      <c r="BG84" s="360"/>
      <c r="BH84" s="360"/>
      <c r="BI84" s="133"/>
      <c r="EG84" s="302"/>
      <c r="EH84" s="302"/>
      <c r="EI84" s="302"/>
      <c r="EJ84" s="302"/>
      <c r="FE84" s="302"/>
      <c r="FF84" s="302"/>
      <c r="FG84" s="302"/>
      <c r="FH84" s="302"/>
      <c r="FI84" s="302"/>
      <c r="FK84" s="133"/>
      <c r="FL84" s="454"/>
      <c r="FM84" s="454"/>
      <c r="FN84" s="454"/>
      <c r="FQ84" s="152"/>
      <c r="FR84" s="153"/>
      <c r="FY84" s="48"/>
      <c r="FZ84" s="133"/>
      <c r="GA84" s="133"/>
      <c r="GB84" s="133"/>
      <c r="GC84" s="471"/>
      <c r="GD84" s="230"/>
      <c r="GE84" s="133"/>
      <c r="GF84" s="179"/>
      <c r="GG84" s="218"/>
      <c r="GH84" s="218"/>
      <c r="GI84" s="218"/>
      <c r="GJ84" s="218"/>
      <c r="GK84" s="218"/>
      <c r="GL84" s="218"/>
      <c r="GM84" s="218"/>
      <c r="GN84" s="218"/>
      <c r="GO84" s="218"/>
      <c r="GP84" s="541"/>
      <c r="GQ84" s="218"/>
      <c r="GR84" s="218"/>
      <c r="GS84" s="218"/>
      <c r="GT84" s="218"/>
      <c r="GU84" s="218"/>
      <c r="GV84" s="218"/>
      <c r="GW84" s="218"/>
      <c r="GX84" s="218"/>
      <c r="GY84" s="218"/>
      <c r="GZ84" s="218"/>
      <c r="HA84" s="541"/>
      <c r="HB84" s="218"/>
      <c r="HC84" s="218"/>
      <c r="HD84" s="218"/>
      <c r="HE84" s="218"/>
      <c r="HF84" s="218"/>
      <c r="HG84" s="218"/>
      <c r="HH84" s="218"/>
      <c r="HI84" s="218"/>
      <c r="HJ84" s="218"/>
      <c r="HK84" s="218"/>
      <c r="HL84" s="218"/>
      <c r="HM84" s="541"/>
      <c r="HN84" s="218"/>
      <c r="HO84" s="218"/>
      <c r="HP84" s="218"/>
      <c r="HQ84" s="218"/>
      <c r="HR84" s="218"/>
      <c r="HS84" s="218"/>
      <c r="HT84" s="218"/>
      <c r="HU84" s="218"/>
      <c r="HV84" s="218"/>
      <c r="HW84" s="218"/>
      <c r="HX84" s="179"/>
      <c r="HY84" s="227"/>
      <c r="HZ84" s="133"/>
      <c r="IA84" s="180"/>
      <c r="IB84" s="521"/>
      <c r="IC84" s="6"/>
      <c r="ID84" s="6"/>
      <c r="IE84" s="6"/>
      <c r="IF84" s="133"/>
    </row>
    <row r="85" spans="24:240" ht="15" customHeight="1">
      <c r="X85" s="133"/>
      <c r="Y85" s="133"/>
      <c r="AA85" s="133"/>
      <c r="AB85" s="133"/>
      <c r="AC85" s="133"/>
      <c r="AD85" s="133"/>
      <c r="AF85" s="133"/>
      <c r="AG85" s="133"/>
      <c r="AH85" s="299"/>
      <c r="AI85" s="133"/>
      <c r="AK85" s="133"/>
      <c r="AL85" s="133"/>
      <c r="AM85" s="133"/>
      <c r="AN85" s="133"/>
      <c r="AP85" s="133"/>
      <c r="AQ85" s="133"/>
      <c r="AR85" s="133"/>
      <c r="AS85" s="133"/>
      <c r="AU85" s="133"/>
      <c r="AV85" s="133"/>
      <c r="AW85" s="133"/>
      <c r="AX85" s="133"/>
      <c r="AZ85" s="133"/>
      <c r="BA85" s="133"/>
      <c r="BB85" s="133"/>
      <c r="BC85" s="133"/>
      <c r="BE85" s="133"/>
      <c r="BF85" s="360"/>
      <c r="BG85" s="360"/>
      <c r="BH85" s="360"/>
      <c r="BI85" s="133"/>
      <c r="EG85" s="302"/>
      <c r="EH85" s="302"/>
      <c r="EI85" s="302"/>
      <c r="EJ85" s="302"/>
      <c r="FE85" s="302"/>
      <c r="FF85" s="302"/>
      <c r="FG85" s="302"/>
      <c r="FH85" s="302"/>
      <c r="FI85" s="302"/>
      <c r="FK85" s="461"/>
      <c r="FL85" s="461"/>
      <c r="FM85" s="454"/>
      <c r="FN85" s="461"/>
      <c r="FQ85" s="152"/>
      <c r="FR85" s="153"/>
      <c r="FY85" s="48"/>
      <c r="FZ85" s="133"/>
      <c r="GA85" s="133"/>
      <c r="GB85" s="133"/>
      <c r="GC85" s="154"/>
      <c r="GD85" s="62"/>
      <c r="GE85" s="133"/>
      <c r="GF85" s="179"/>
      <c r="GG85" s="179"/>
      <c r="GH85" s="179"/>
      <c r="GI85" s="179"/>
      <c r="GJ85" s="179"/>
      <c r="GK85" s="179"/>
      <c r="GL85" s="179"/>
      <c r="GM85" s="179"/>
      <c r="GN85" s="179"/>
      <c r="GO85" s="218"/>
      <c r="GP85" s="541"/>
      <c r="GQ85" s="179"/>
      <c r="GR85" s="179"/>
      <c r="GS85" s="179"/>
      <c r="GT85" s="179"/>
      <c r="GU85" s="179"/>
      <c r="GV85" s="179"/>
      <c r="GW85" s="179"/>
      <c r="GX85" s="179"/>
      <c r="GY85" s="179"/>
      <c r="GZ85" s="218"/>
      <c r="HA85" s="541"/>
      <c r="HB85" s="179"/>
      <c r="HC85" s="179"/>
      <c r="HD85" s="179"/>
      <c r="HE85" s="179"/>
      <c r="HF85" s="179"/>
      <c r="HG85" s="179"/>
      <c r="HH85" s="179"/>
      <c r="HI85" s="179"/>
      <c r="HJ85" s="179"/>
      <c r="HK85" s="179"/>
      <c r="HL85" s="218"/>
      <c r="HM85" s="541"/>
      <c r="HN85" s="179"/>
      <c r="HO85" s="179"/>
      <c r="HP85" s="179"/>
      <c r="HQ85" s="179"/>
      <c r="HR85" s="179"/>
      <c r="HS85" s="179"/>
      <c r="HT85" s="179"/>
      <c r="HU85" s="179"/>
      <c r="HV85" s="179"/>
      <c r="HW85" s="179"/>
      <c r="HX85" s="179"/>
      <c r="HY85" s="62"/>
      <c r="HZ85" s="133"/>
      <c r="IA85" s="180"/>
      <c r="IB85" s="522"/>
      <c r="IC85" s="6"/>
      <c r="ID85" s="6"/>
      <c r="IE85" s="6"/>
      <c r="IF85" s="133"/>
    </row>
    <row r="86" spans="24:240" ht="15" customHeight="1">
      <c r="X86" s="133"/>
      <c r="Y86" s="133"/>
      <c r="AA86" s="133"/>
      <c r="AB86" s="133"/>
      <c r="AC86" s="133"/>
      <c r="AD86" s="133"/>
      <c r="AF86" s="133"/>
      <c r="AG86" s="133"/>
      <c r="AH86" s="299"/>
      <c r="AI86" s="133"/>
      <c r="AK86" s="133"/>
      <c r="AL86" s="133"/>
      <c r="AM86" s="133"/>
      <c r="AN86" s="133"/>
      <c r="AP86" s="133"/>
      <c r="AQ86" s="133"/>
      <c r="AR86" s="133"/>
      <c r="AS86" s="133"/>
      <c r="AU86" s="133"/>
      <c r="AV86" s="133"/>
      <c r="AW86" s="133"/>
      <c r="AX86" s="133"/>
      <c r="AZ86" s="133"/>
      <c r="BA86" s="133"/>
      <c r="BB86" s="133"/>
      <c r="BC86" s="133"/>
      <c r="BE86" s="133"/>
      <c r="BF86" s="360"/>
      <c r="BG86" s="360"/>
      <c r="BH86" s="360"/>
      <c r="BI86" s="133"/>
      <c r="EG86" s="302"/>
      <c r="EH86" s="302"/>
      <c r="EI86" s="302"/>
      <c r="EJ86" s="302"/>
      <c r="FE86" s="302"/>
      <c r="FF86" s="302"/>
      <c r="FG86" s="302"/>
      <c r="FH86" s="302"/>
      <c r="FI86" s="302"/>
      <c r="FK86" s="133"/>
      <c r="FL86" s="461"/>
      <c r="FM86" s="461"/>
      <c r="FN86" s="461"/>
      <c r="FQ86" s="152"/>
      <c r="FR86" s="153"/>
      <c r="FY86" s="48"/>
      <c r="FZ86" s="96"/>
      <c r="GA86" s="133"/>
      <c r="GB86" s="133"/>
      <c r="GC86" s="471"/>
      <c r="GD86" s="230"/>
      <c r="GE86" s="362"/>
      <c r="GF86" s="231"/>
      <c r="GG86" s="231"/>
      <c r="GH86" s="158"/>
      <c r="GI86" s="158"/>
      <c r="GJ86" s="158"/>
      <c r="GK86" s="158"/>
      <c r="GL86" s="158"/>
      <c r="GM86" s="231"/>
      <c r="GN86" s="231"/>
      <c r="GO86" s="62"/>
      <c r="GP86" s="542"/>
      <c r="GQ86" s="231"/>
      <c r="GR86" s="231"/>
      <c r="GS86" s="231"/>
      <c r="GT86" s="231"/>
      <c r="GU86" s="158"/>
      <c r="GV86" s="231"/>
      <c r="GW86" s="231"/>
      <c r="GX86" s="158"/>
      <c r="GY86" s="158"/>
      <c r="GZ86" s="62"/>
      <c r="HA86" s="542"/>
      <c r="HB86" s="158"/>
      <c r="HC86" s="158"/>
      <c r="HD86" s="158"/>
      <c r="HE86" s="158"/>
      <c r="HF86" s="231"/>
      <c r="HG86" s="231"/>
      <c r="HH86" s="158"/>
      <c r="HI86" s="158"/>
      <c r="HJ86" s="158"/>
      <c r="HK86" s="158"/>
      <c r="HL86" s="62"/>
      <c r="HM86" s="542"/>
      <c r="HN86" s="231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33"/>
      <c r="HZ86" s="133"/>
      <c r="IA86" s="180"/>
      <c r="IB86" s="180"/>
      <c r="IC86" s="158"/>
      <c r="ID86" s="158"/>
      <c r="IE86" s="158"/>
      <c r="IF86" s="133"/>
    </row>
    <row r="87" spans="24:240" ht="15" customHeight="1">
      <c r="X87" s="133"/>
      <c r="Y87" s="133"/>
      <c r="AA87" s="133"/>
      <c r="AB87" s="133"/>
      <c r="AC87" s="133"/>
      <c r="AD87" s="133"/>
      <c r="AF87" s="133"/>
      <c r="AG87" s="133"/>
      <c r="AH87" s="299"/>
      <c r="AI87" s="133"/>
      <c r="AK87" s="133"/>
      <c r="AL87" s="133"/>
      <c r="AM87" s="133"/>
      <c r="AN87" s="133"/>
      <c r="AP87" s="133"/>
      <c r="AQ87" s="133"/>
      <c r="AR87" s="133"/>
      <c r="AS87" s="133"/>
      <c r="AU87" s="133"/>
      <c r="AV87" s="133"/>
      <c r="AW87" s="133"/>
      <c r="AX87" s="133"/>
      <c r="AZ87" s="133"/>
      <c r="BA87" s="133"/>
      <c r="BB87" s="133"/>
      <c r="BC87" s="133"/>
      <c r="BE87" s="133"/>
      <c r="BF87" s="133"/>
      <c r="BG87" s="133"/>
      <c r="BH87" s="133"/>
      <c r="BI87" s="133"/>
      <c r="EG87" s="302"/>
      <c r="EH87" s="302"/>
      <c r="EI87" s="302"/>
      <c r="EJ87" s="302"/>
      <c r="FE87" s="302"/>
      <c r="FF87" s="302"/>
      <c r="FG87" s="302"/>
      <c r="FH87" s="302"/>
      <c r="FI87" s="302"/>
      <c r="FK87" s="133"/>
      <c r="FL87" s="461"/>
      <c r="FM87" s="461"/>
      <c r="FN87" s="461"/>
      <c r="FQ87" s="152"/>
      <c r="FR87" s="153"/>
      <c r="FY87" s="48"/>
      <c r="FZ87" s="96"/>
      <c r="GA87" s="133"/>
      <c r="GB87" s="133"/>
      <c r="GC87" s="471"/>
      <c r="GD87" s="230"/>
      <c r="GE87" s="523"/>
      <c r="GF87" s="218"/>
      <c r="GG87" s="218"/>
      <c r="GH87" s="218"/>
      <c r="GI87" s="218"/>
      <c r="GJ87" s="218"/>
      <c r="GK87" s="218"/>
      <c r="GL87" s="218"/>
      <c r="GM87" s="218"/>
      <c r="GN87" s="218"/>
      <c r="GO87" s="218"/>
      <c r="GP87" s="523"/>
      <c r="GQ87" s="218"/>
      <c r="GR87" s="218"/>
      <c r="GS87" s="218"/>
      <c r="GT87" s="218"/>
      <c r="GU87" s="218"/>
      <c r="GV87" s="218"/>
      <c r="GW87" s="218"/>
      <c r="GX87" s="218"/>
      <c r="GY87" s="218"/>
      <c r="GZ87" s="218"/>
      <c r="HA87" s="523"/>
      <c r="HB87" s="218"/>
      <c r="HC87" s="218"/>
      <c r="HD87" s="218"/>
      <c r="HE87" s="218"/>
      <c r="HF87" s="218"/>
      <c r="HG87" s="218"/>
      <c r="HH87" s="218"/>
      <c r="HI87" s="218"/>
      <c r="HJ87" s="218"/>
      <c r="HK87" s="218"/>
      <c r="HL87" s="218"/>
      <c r="HM87" s="523"/>
      <c r="HN87" s="218"/>
      <c r="HO87" s="218"/>
      <c r="HP87" s="218"/>
      <c r="HQ87" s="218"/>
      <c r="HR87" s="218"/>
      <c r="HS87" s="218"/>
      <c r="HT87" s="218"/>
      <c r="HU87" s="218"/>
      <c r="HV87" s="218"/>
      <c r="HW87" s="218"/>
      <c r="HX87" s="218"/>
      <c r="HY87" s="133"/>
      <c r="HZ87" s="133"/>
      <c r="IA87" s="180"/>
      <c r="IB87" s="133"/>
      <c r="IC87" s="133"/>
      <c r="ID87" s="133"/>
      <c r="IE87" s="133"/>
      <c r="IF87" s="133"/>
    </row>
    <row r="88" spans="24:240" ht="15" customHeight="1">
      <c r="X88" s="133"/>
      <c r="Y88" s="133"/>
      <c r="AA88" s="133"/>
      <c r="AB88" s="133"/>
      <c r="AC88" s="133"/>
      <c r="AD88" s="133"/>
      <c r="AF88" s="133"/>
      <c r="AG88" s="133"/>
      <c r="AH88" s="299"/>
      <c r="AI88" s="133"/>
      <c r="AK88" s="133"/>
      <c r="AL88" s="133"/>
      <c r="AM88" s="133"/>
      <c r="AN88" s="133"/>
      <c r="AP88" s="133"/>
      <c r="AQ88" s="133"/>
      <c r="AR88" s="133"/>
      <c r="AS88" s="133"/>
      <c r="AU88" s="133"/>
      <c r="AV88" s="133"/>
      <c r="AW88" s="133"/>
      <c r="AX88" s="133"/>
      <c r="AZ88" s="133"/>
      <c r="BA88" s="133"/>
      <c r="BB88" s="133"/>
      <c r="BC88" s="133"/>
      <c r="BE88" s="133"/>
      <c r="BF88" s="133"/>
      <c r="BG88" s="133"/>
      <c r="BH88" s="133"/>
      <c r="BI88" s="133"/>
      <c r="EG88" s="302"/>
      <c r="EH88" s="302"/>
      <c r="EI88" s="302"/>
      <c r="EJ88" s="302"/>
      <c r="FE88" s="302"/>
      <c r="FF88" s="302"/>
      <c r="FG88" s="302"/>
      <c r="FH88" s="302"/>
      <c r="FI88" s="302"/>
      <c r="FK88" s="133"/>
      <c r="FL88" s="461"/>
      <c r="FM88" s="461"/>
      <c r="FN88" s="461"/>
      <c r="FQ88" s="152"/>
      <c r="FR88" s="153"/>
      <c r="FY88" s="48"/>
      <c r="FZ88" s="133"/>
      <c r="GA88" s="133"/>
      <c r="GB88" s="133"/>
      <c r="GC88" s="154"/>
      <c r="GD88" s="230"/>
      <c r="GE88" s="133"/>
      <c r="GF88" s="179"/>
      <c r="GG88" s="179"/>
      <c r="GH88" s="179"/>
      <c r="GI88" s="179"/>
      <c r="GJ88" s="179"/>
      <c r="GK88" s="179"/>
      <c r="GL88" s="179"/>
      <c r="GM88" s="179"/>
      <c r="GN88" s="218"/>
      <c r="GO88" s="218"/>
      <c r="GP88" s="133"/>
      <c r="GQ88" s="218"/>
      <c r="GR88" s="218"/>
      <c r="GS88" s="218"/>
      <c r="GT88" s="218"/>
      <c r="GU88" s="179"/>
      <c r="GV88" s="179"/>
      <c r="GW88" s="179"/>
      <c r="GX88" s="179"/>
      <c r="GY88" s="179"/>
      <c r="GZ88" s="218"/>
      <c r="HA88" s="133"/>
      <c r="HB88" s="179"/>
      <c r="HC88" s="179"/>
      <c r="HD88" s="179"/>
      <c r="HE88" s="179"/>
      <c r="HF88" s="179"/>
      <c r="HG88" s="179"/>
      <c r="HH88" s="179"/>
      <c r="HI88" s="179"/>
      <c r="HJ88" s="179"/>
      <c r="HK88" s="179"/>
      <c r="HL88" s="218"/>
      <c r="HM88" s="133"/>
      <c r="HN88" s="179"/>
      <c r="HO88" s="179"/>
      <c r="HP88" s="179"/>
      <c r="HQ88" s="179"/>
      <c r="HR88" s="179"/>
      <c r="HS88" s="179"/>
      <c r="HT88" s="179"/>
      <c r="HU88" s="179"/>
      <c r="HV88" s="179"/>
      <c r="HW88" s="179"/>
      <c r="HX88" s="179"/>
      <c r="HY88" s="231"/>
      <c r="HZ88" s="133"/>
      <c r="IA88" s="180"/>
      <c r="IB88" s="158"/>
      <c r="IC88" s="158"/>
      <c r="ID88" s="158"/>
      <c r="IE88" s="158"/>
      <c r="IF88" s="133"/>
    </row>
    <row r="89" spans="24:240" ht="15" customHeight="1">
      <c r="X89" s="133"/>
      <c r="Y89" s="133"/>
      <c r="AA89" s="133"/>
      <c r="AB89" s="133"/>
      <c r="AC89" s="133"/>
      <c r="AD89" s="133"/>
      <c r="AF89" s="133"/>
      <c r="AG89" s="133"/>
      <c r="AH89" s="299"/>
      <c r="AI89" s="133"/>
      <c r="AK89" s="133"/>
      <c r="AL89" s="133"/>
      <c r="AM89" s="133"/>
      <c r="AN89" s="133"/>
      <c r="AP89" s="133"/>
      <c r="AQ89" s="133"/>
      <c r="AR89" s="133"/>
      <c r="AS89" s="133"/>
      <c r="AU89" s="133"/>
      <c r="AV89" s="133"/>
      <c r="AW89" s="133"/>
      <c r="AX89" s="133"/>
      <c r="AZ89" s="133"/>
      <c r="BA89" s="133"/>
      <c r="BB89" s="133"/>
      <c r="BC89" s="133"/>
      <c r="BE89" s="133"/>
      <c r="BF89" s="133"/>
      <c r="BG89" s="133"/>
      <c r="BH89" s="133"/>
      <c r="BI89" s="133"/>
      <c r="EG89" s="302"/>
      <c r="EH89" s="302"/>
      <c r="EI89" s="302"/>
      <c r="EJ89" s="302"/>
      <c r="FE89" s="302"/>
      <c r="FF89" s="302"/>
      <c r="FG89" s="302"/>
      <c r="FH89" s="302"/>
      <c r="FI89" s="302"/>
      <c r="FK89" s="133"/>
      <c r="FL89" s="180"/>
      <c r="FM89" s="461"/>
      <c r="FN89" s="461"/>
      <c r="FR89" s="153"/>
      <c r="FY89" s="48"/>
      <c r="FZ89" s="133"/>
      <c r="GA89" s="133"/>
      <c r="GB89" s="133"/>
      <c r="GC89" s="530"/>
      <c r="GD89" s="230"/>
      <c r="GE89" s="133"/>
      <c r="GF89" s="179"/>
      <c r="GG89" s="179"/>
      <c r="GH89" s="179"/>
      <c r="GI89" s="179"/>
      <c r="GJ89" s="179"/>
      <c r="GK89" s="179"/>
      <c r="GL89" s="179"/>
      <c r="GM89" s="179"/>
      <c r="GN89" s="218"/>
      <c r="GO89" s="218"/>
      <c r="GP89" s="133"/>
      <c r="GQ89" s="218"/>
      <c r="GR89" s="218"/>
      <c r="GS89" s="218"/>
      <c r="GT89" s="218"/>
      <c r="GU89" s="179"/>
      <c r="GV89" s="179"/>
      <c r="GW89" s="179"/>
      <c r="GX89" s="179"/>
      <c r="GY89" s="179"/>
      <c r="GZ89" s="218"/>
      <c r="HA89" s="133"/>
      <c r="HB89" s="179"/>
      <c r="HC89" s="179"/>
      <c r="HD89" s="179"/>
      <c r="HE89" s="179"/>
      <c r="HF89" s="179"/>
      <c r="HG89" s="179"/>
      <c r="HH89" s="179"/>
      <c r="HI89" s="179"/>
      <c r="HJ89" s="179"/>
      <c r="HK89" s="179"/>
      <c r="HL89" s="218"/>
      <c r="HM89" s="133"/>
      <c r="HN89" s="179"/>
      <c r="HO89" s="179"/>
      <c r="HP89" s="179"/>
      <c r="HQ89" s="179"/>
      <c r="HR89" s="179"/>
      <c r="HS89" s="179"/>
      <c r="HT89" s="179"/>
      <c r="HU89" s="179"/>
      <c r="HV89" s="179"/>
      <c r="HW89" s="179"/>
      <c r="HX89" s="179"/>
      <c r="HY89" s="62"/>
      <c r="HZ89" s="133"/>
      <c r="IA89" s="180"/>
      <c r="IB89" s="6"/>
      <c r="IC89" s="6"/>
      <c r="ID89" s="6"/>
      <c r="IE89" s="6"/>
      <c r="IF89" s="133"/>
    </row>
    <row r="90" spans="24:240" ht="15" customHeight="1">
      <c r="X90" s="133"/>
      <c r="Y90" s="133"/>
      <c r="AA90" s="133"/>
      <c r="AB90" s="133"/>
      <c r="AC90" s="133"/>
      <c r="AD90" s="133"/>
      <c r="AF90" s="133"/>
      <c r="AG90" s="133"/>
      <c r="AH90" s="299"/>
      <c r="AI90" s="133"/>
      <c r="AK90" s="133"/>
      <c r="AL90" s="133"/>
      <c r="AM90" s="133"/>
      <c r="AN90" s="133"/>
      <c r="AP90" s="133"/>
      <c r="AQ90" s="133"/>
      <c r="AR90" s="133"/>
      <c r="AS90" s="133"/>
      <c r="AU90" s="133"/>
      <c r="AV90" s="133"/>
      <c r="AW90" s="133"/>
      <c r="AX90" s="133"/>
      <c r="AZ90" s="133"/>
      <c r="BA90" s="133"/>
      <c r="BB90" s="133"/>
      <c r="BC90" s="133"/>
      <c r="BE90" s="133"/>
      <c r="BF90" s="133"/>
      <c r="BG90" s="133"/>
      <c r="BH90" s="133"/>
      <c r="BI90" s="133"/>
      <c r="EG90" s="302"/>
      <c r="EH90" s="302"/>
      <c r="EI90" s="302"/>
      <c r="EJ90" s="302"/>
      <c r="FE90" s="302"/>
      <c r="FF90" s="302"/>
      <c r="FG90" s="302"/>
      <c r="FH90" s="302"/>
      <c r="FI90" s="302"/>
      <c r="FK90" s="133"/>
      <c r="FL90" s="180"/>
      <c r="FM90" s="461"/>
      <c r="FN90" s="461"/>
      <c r="FR90" s="153"/>
      <c r="FY90" s="48"/>
      <c r="FZ90" s="133"/>
      <c r="GA90" s="133"/>
      <c r="GB90" s="110"/>
      <c r="GC90" s="471"/>
      <c r="GD90" s="230"/>
      <c r="GE90" s="126"/>
      <c r="GF90" s="231"/>
      <c r="GG90" s="231"/>
      <c r="GH90" s="158"/>
      <c r="GI90" s="158"/>
      <c r="GJ90" s="158"/>
      <c r="GK90" s="158"/>
      <c r="GL90" s="158"/>
      <c r="GM90" s="231"/>
      <c r="GN90" s="231"/>
      <c r="GO90" s="62"/>
      <c r="GP90" s="126"/>
      <c r="GQ90" s="231"/>
      <c r="GR90" s="231"/>
      <c r="GS90" s="231"/>
      <c r="GT90" s="231"/>
      <c r="GU90" s="158"/>
      <c r="GV90" s="231"/>
      <c r="GW90" s="231"/>
      <c r="GX90" s="158"/>
      <c r="GY90" s="158"/>
      <c r="GZ90" s="62"/>
      <c r="HA90" s="126"/>
      <c r="HB90" s="158"/>
      <c r="HC90" s="158"/>
      <c r="HD90" s="158"/>
      <c r="HE90" s="158"/>
      <c r="HF90" s="231"/>
      <c r="HG90" s="231"/>
      <c r="HH90" s="158"/>
      <c r="HI90" s="158"/>
      <c r="HJ90" s="158"/>
      <c r="HK90" s="158"/>
      <c r="HL90" s="62"/>
      <c r="HM90" s="126"/>
      <c r="HN90" s="231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33"/>
      <c r="HZ90" s="133"/>
      <c r="IA90" s="133"/>
      <c r="IB90" s="158"/>
      <c r="IC90" s="158"/>
      <c r="ID90" s="158"/>
      <c r="IE90" s="158"/>
      <c r="IF90" s="133"/>
    </row>
    <row r="91" spans="24:240" ht="15" customHeight="1">
      <c r="X91" s="133"/>
      <c r="Y91" s="133"/>
      <c r="AA91" s="133"/>
      <c r="AB91" s="133"/>
      <c r="AC91" s="133"/>
      <c r="AD91" s="133"/>
      <c r="AF91" s="133"/>
      <c r="AG91" s="133"/>
      <c r="AH91" s="299"/>
      <c r="AI91" s="133"/>
      <c r="AK91" s="133"/>
      <c r="AL91" s="133"/>
      <c r="AM91" s="133"/>
      <c r="AN91" s="133"/>
      <c r="AP91" s="133"/>
      <c r="AQ91" s="133"/>
      <c r="AR91" s="133"/>
      <c r="AS91" s="133"/>
      <c r="AU91" s="133"/>
      <c r="AV91" s="133"/>
      <c r="AW91" s="133"/>
      <c r="AX91" s="133"/>
      <c r="AZ91" s="133"/>
      <c r="BA91" s="133"/>
      <c r="BB91" s="133"/>
      <c r="BC91" s="133"/>
      <c r="BE91" s="133"/>
      <c r="BF91" s="133"/>
      <c r="BG91" s="133"/>
      <c r="BH91" s="133"/>
      <c r="BI91" s="133"/>
      <c r="EG91" s="302"/>
      <c r="EH91" s="302"/>
      <c r="EI91" s="302"/>
      <c r="EJ91" s="302"/>
      <c r="FE91" s="302"/>
      <c r="FF91" s="302"/>
      <c r="FG91" s="302"/>
      <c r="FH91" s="302"/>
      <c r="FI91" s="302"/>
      <c r="FK91" s="133"/>
      <c r="FL91" s="461"/>
      <c r="FM91" s="461"/>
      <c r="FN91" s="461"/>
      <c r="FP91" s="152"/>
      <c r="FR91" s="153"/>
      <c r="FY91" s="48"/>
      <c r="FZ91" s="96"/>
      <c r="GA91" s="133"/>
      <c r="GB91" s="133"/>
      <c r="GC91" s="179"/>
      <c r="GD91" s="230"/>
      <c r="GE91" s="96"/>
      <c r="GF91" s="179"/>
      <c r="GG91" s="179"/>
      <c r="GH91" s="179"/>
      <c r="GI91" s="179"/>
      <c r="GJ91" s="179"/>
      <c r="GK91" s="179"/>
      <c r="GL91" s="179"/>
      <c r="GM91" s="179"/>
      <c r="GN91" s="179"/>
      <c r="GO91" s="218"/>
      <c r="GP91" s="96"/>
      <c r="GQ91" s="179"/>
      <c r="GR91" s="179"/>
      <c r="GS91" s="179"/>
      <c r="GT91" s="179"/>
      <c r="GU91" s="179"/>
      <c r="GV91" s="179"/>
      <c r="GW91" s="179"/>
      <c r="GX91" s="179"/>
      <c r="GY91" s="179"/>
      <c r="GZ91" s="218"/>
      <c r="HA91" s="96"/>
      <c r="HB91" s="179"/>
      <c r="HC91" s="179"/>
      <c r="HD91" s="179"/>
      <c r="HE91" s="179"/>
      <c r="HF91" s="179"/>
      <c r="HG91" s="179"/>
      <c r="HH91" s="179"/>
      <c r="HI91" s="179"/>
      <c r="HJ91" s="179"/>
      <c r="HK91" s="179"/>
      <c r="HL91" s="218"/>
      <c r="HM91" s="96"/>
      <c r="HN91" s="179"/>
      <c r="HO91" s="179"/>
      <c r="HP91" s="179"/>
      <c r="HQ91" s="179"/>
      <c r="HR91" s="179"/>
      <c r="HS91" s="179"/>
      <c r="HT91" s="179"/>
      <c r="HU91" s="179"/>
      <c r="HV91" s="179"/>
      <c r="HW91" s="179"/>
      <c r="HX91" s="179"/>
      <c r="HY91" s="133"/>
      <c r="HZ91" s="133"/>
      <c r="IA91" s="180"/>
      <c r="IB91" s="133"/>
      <c r="IC91" s="133"/>
      <c r="ID91" s="133"/>
      <c r="IE91" s="133"/>
      <c r="IF91" s="133"/>
    </row>
    <row r="92" spans="24:240" ht="15" customHeight="1">
      <c r="X92" s="133"/>
      <c r="Y92" s="133"/>
      <c r="AA92" s="133"/>
      <c r="AB92" s="133"/>
      <c r="AC92" s="133"/>
      <c r="AD92" s="133"/>
      <c r="AF92" s="133"/>
      <c r="AG92" s="133"/>
      <c r="AH92" s="299"/>
      <c r="AI92" s="133"/>
      <c r="AK92" s="133"/>
      <c r="AL92" s="133"/>
      <c r="AM92" s="133"/>
      <c r="AN92" s="133"/>
      <c r="AP92" s="133"/>
      <c r="AQ92" s="133"/>
      <c r="AR92" s="133"/>
      <c r="AS92" s="133"/>
      <c r="AU92" s="133"/>
      <c r="AV92" s="133"/>
      <c r="AW92" s="133"/>
      <c r="AX92" s="133"/>
      <c r="AZ92" s="133"/>
      <c r="BA92" s="133"/>
      <c r="BB92" s="133"/>
      <c r="BC92" s="133"/>
      <c r="BE92" s="133"/>
      <c r="BF92" s="133"/>
      <c r="BG92" s="133"/>
      <c r="BH92" s="133"/>
      <c r="BI92" s="133"/>
      <c r="EG92" s="302"/>
      <c r="EH92" s="302"/>
      <c r="EI92" s="302"/>
      <c r="EJ92" s="302"/>
      <c r="FE92" s="302"/>
      <c r="FF92" s="302"/>
      <c r="FG92" s="302"/>
      <c r="FH92" s="302"/>
      <c r="FI92" s="302"/>
      <c r="FK92" s="133"/>
      <c r="FL92" s="461"/>
      <c r="FM92" s="461"/>
      <c r="FN92" s="461"/>
      <c r="FY92" s="48"/>
      <c r="FZ92" s="96"/>
      <c r="GA92" s="133"/>
      <c r="GB92" s="133"/>
      <c r="GC92" s="170"/>
      <c r="GD92" s="230"/>
      <c r="GE92" s="133"/>
      <c r="GF92" s="179"/>
      <c r="GG92" s="179"/>
      <c r="GH92" s="179"/>
      <c r="GI92" s="179"/>
      <c r="GJ92" s="179"/>
      <c r="GK92" s="179"/>
      <c r="GL92" s="179"/>
      <c r="GM92" s="179"/>
      <c r="GN92" s="179"/>
      <c r="GO92" s="218"/>
      <c r="GP92" s="133"/>
      <c r="GQ92" s="179"/>
      <c r="GR92" s="179"/>
      <c r="GS92" s="179"/>
      <c r="GT92" s="179"/>
      <c r="GU92" s="179"/>
      <c r="GV92" s="179"/>
      <c r="GW92" s="179"/>
      <c r="GX92" s="179"/>
      <c r="GY92" s="179"/>
      <c r="GZ92" s="218"/>
      <c r="HA92" s="133"/>
      <c r="HB92" s="179"/>
      <c r="HC92" s="179"/>
      <c r="HD92" s="179"/>
      <c r="HE92" s="179"/>
      <c r="HF92" s="179"/>
      <c r="HG92" s="179"/>
      <c r="HH92" s="179"/>
      <c r="HI92" s="179"/>
      <c r="HJ92" s="179"/>
      <c r="HK92" s="179"/>
      <c r="HL92" s="218"/>
      <c r="HM92" s="133"/>
      <c r="HN92" s="179"/>
      <c r="HO92" s="179"/>
      <c r="HP92" s="179"/>
      <c r="HQ92" s="179"/>
      <c r="HR92" s="179"/>
      <c r="HS92" s="179"/>
      <c r="HT92" s="179"/>
      <c r="HU92" s="179"/>
      <c r="HV92" s="179"/>
      <c r="HW92" s="179"/>
      <c r="HX92" s="179"/>
      <c r="HY92" s="133"/>
      <c r="HZ92" s="133"/>
      <c r="IA92" s="180"/>
      <c r="IB92" s="133"/>
      <c r="IC92" s="133"/>
      <c r="ID92" s="133"/>
      <c r="IE92" s="133"/>
      <c r="IF92" s="133"/>
    </row>
    <row r="93" spans="24:240" ht="15" customHeight="1">
      <c r="X93" s="133"/>
      <c r="Y93" s="133"/>
      <c r="AA93" s="133"/>
      <c r="AB93" s="133"/>
      <c r="AC93" s="133"/>
      <c r="AD93" s="133"/>
      <c r="AF93" s="133"/>
      <c r="AG93" s="133"/>
      <c r="AH93" s="299"/>
      <c r="AI93" s="133"/>
      <c r="AK93" s="133"/>
      <c r="AL93" s="133"/>
      <c r="AM93" s="133"/>
      <c r="AN93" s="133"/>
      <c r="AP93" s="133"/>
      <c r="AQ93" s="133"/>
      <c r="AR93" s="133"/>
      <c r="AS93" s="133"/>
      <c r="AU93" s="133"/>
      <c r="AV93" s="133"/>
      <c r="AW93" s="133"/>
      <c r="AX93" s="133"/>
      <c r="AZ93" s="133"/>
      <c r="BA93" s="133"/>
      <c r="BB93" s="133"/>
      <c r="BC93" s="133"/>
      <c r="BE93" s="133"/>
      <c r="BF93" s="133"/>
      <c r="BG93" s="133"/>
      <c r="BH93" s="133"/>
      <c r="BI93" s="133"/>
      <c r="EG93" s="302"/>
      <c r="EH93" s="302"/>
      <c r="EI93" s="302"/>
      <c r="EJ93" s="302"/>
      <c r="FE93" s="302"/>
      <c r="FF93" s="302"/>
      <c r="FG93" s="302"/>
      <c r="FH93" s="302"/>
      <c r="FI93" s="302"/>
      <c r="FK93" s="133"/>
      <c r="FL93" s="461"/>
      <c r="FM93" s="461"/>
      <c r="FN93" s="461"/>
      <c r="FY93" s="48"/>
      <c r="FZ93" s="133"/>
      <c r="GA93" s="133"/>
      <c r="GB93" s="133"/>
      <c r="GC93" s="477"/>
      <c r="GD93" s="227"/>
      <c r="GE93" s="133"/>
      <c r="GF93" s="179"/>
      <c r="GG93" s="179"/>
      <c r="GH93" s="179"/>
      <c r="GI93" s="179"/>
      <c r="GJ93" s="179"/>
      <c r="GK93" s="179"/>
      <c r="GL93" s="179"/>
      <c r="GM93" s="179"/>
      <c r="GN93" s="179"/>
      <c r="GO93" s="179"/>
      <c r="GP93" s="133"/>
      <c r="GQ93" s="179"/>
      <c r="GR93" s="179"/>
      <c r="GS93" s="179"/>
      <c r="GT93" s="179"/>
      <c r="GU93" s="179"/>
      <c r="GV93" s="179"/>
      <c r="GW93" s="179"/>
      <c r="GX93" s="179"/>
      <c r="GY93" s="179"/>
      <c r="GZ93" s="179"/>
      <c r="HA93" s="133"/>
      <c r="HB93" s="179"/>
      <c r="HC93" s="179"/>
      <c r="HD93" s="179"/>
      <c r="HE93" s="179"/>
      <c r="HF93" s="179"/>
      <c r="HG93" s="179"/>
      <c r="HH93" s="179"/>
      <c r="HI93" s="179"/>
      <c r="HJ93" s="179"/>
      <c r="HK93" s="179"/>
      <c r="HL93" s="179"/>
      <c r="HM93" s="133"/>
      <c r="HN93" s="179"/>
      <c r="HO93" s="179"/>
      <c r="HP93" s="179"/>
      <c r="HQ93" s="179"/>
      <c r="HR93" s="179"/>
      <c r="HS93" s="179"/>
      <c r="HT93" s="179"/>
      <c r="HU93" s="179"/>
      <c r="HV93" s="179"/>
      <c r="HW93" s="179"/>
      <c r="HX93" s="179"/>
      <c r="HY93" s="227"/>
      <c r="HZ93" s="133"/>
      <c r="IA93" s="180"/>
      <c r="IB93" s="158"/>
      <c r="IC93" s="158"/>
      <c r="ID93" s="158"/>
      <c r="IE93" s="158"/>
      <c r="IF93" s="133"/>
    </row>
    <row r="94" spans="24:240" ht="15" customHeight="1">
      <c r="X94" s="133"/>
      <c r="Y94" s="133"/>
      <c r="AA94" s="133"/>
      <c r="AB94" s="133"/>
      <c r="AC94" s="133"/>
      <c r="AD94" s="133"/>
      <c r="AF94" s="133"/>
      <c r="AG94" s="133"/>
      <c r="AH94" s="299"/>
      <c r="AI94" s="133"/>
      <c r="AK94" s="133"/>
      <c r="AL94" s="133"/>
      <c r="AM94" s="133"/>
      <c r="AN94" s="133"/>
      <c r="AP94" s="133"/>
      <c r="AQ94" s="133"/>
      <c r="AR94" s="133"/>
      <c r="AS94" s="133"/>
      <c r="AU94" s="133"/>
      <c r="AV94" s="133"/>
      <c r="AW94" s="133"/>
      <c r="AX94" s="133"/>
      <c r="AZ94" s="133"/>
      <c r="BA94" s="133"/>
      <c r="BB94" s="133"/>
      <c r="BC94" s="133"/>
      <c r="BE94" s="133"/>
      <c r="BF94" s="133"/>
      <c r="BG94" s="133"/>
      <c r="BH94" s="133"/>
      <c r="BI94" s="133"/>
      <c r="EG94" s="302"/>
      <c r="EH94" s="302"/>
      <c r="EI94" s="302"/>
      <c r="EJ94" s="302"/>
      <c r="FE94" s="302"/>
      <c r="FF94" s="302"/>
      <c r="FG94" s="302"/>
      <c r="FH94" s="302"/>
      <c r="FI94" s="302"/>
      <c r="FK94" s="454"/>
      <c r="FL94" s="461"/>
      <c r="FM94" s="461"/>
      <c r="FN94" s="461"/>
      <c r="FY94" s="48"/>
      <c r="FZ94" s="133"/>
      <c r="GA94" s="133"/>
      <c r="GB94" s="133"/>
      <c r="GC94" s="158"/>
      <c r="GD94" s="227"/>
      <c r="GE94" s="96"/>
      <c r="GF94" s="158"/>
      <c r="GG94" s="158"/>
      <c r="GH94" s="158"/>
      <c r="GI94" s="158"/>
      <c r="GJ94" s="158"/>
      <c r="GK94" s="158"/>
      <c r="GL94" s="158"/>
      <c r="GM94" s="158"/>
      <c r="GN94" s="158"/>
      <c r="GO94" s="227"/>
      <c r="GP94" s="96"/>
      <c r="GQ94" s="158"/>
      <c r="GR94" s="158"/>
      <c r="GS94" s="158"/>
      <c r="GT94" s="158"/>
      <c r="GU94" s="158"/>
      <c r="GV94" s="158"/>
      <c r="GW94" s="158"/>
      <c r="GX94" s="158"/>
      <c r="GY94" s="158"/>
      <c r="GZ94" s="227"/>
      <c r="HA94" s="96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227"/>
      <c r="HM94" s="96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33"/>
      <c r="HY94" s="227"/>
      <c r="HZ94" s="96"/>
      <c r="IA94" s="158"/>
      <c r="IB94" s="158"/>
      <c r="IC94" s="158"/>
      <c r="ID94" s="158"/>
      <c r="IE94" s="158"/>
      <c r="IF94" s="133"/>
    </row>
    <row r="95" spans="24:240" ht="15" customHeight="1">
      <c r="X95" s="133"/>
      <c r="Y95" s="133"/>
      <c r="AA95" s="133"/>
      <c r="AB95" s="133"/>
      <c r="AC95" s="133"/>
      <c r="AD95" s="133"/>
      <c r="AF95" s="133"/>
      <c r="AG95" s="133"/>
      <c r="AH95" s="299"/>
      <c r="AI95" s="133"/>
      <c r="AK95" s="133"/>
      <c r="AL95" s="133"/>
      <c r="AM95" s="133"/>
      <c r="AN95" s="133"/>
      <c r="AP95" s="133"/>
      <c r="AQ95" s="133"/>
      <c r="AR95" s="133"/>
      <c r="AS95" s="133"/>
      <c r="AU95" s="133"/>
      <c r="AV95" s="133"/>
      <c r="AW95" s="133"/>
      <c r="AX95" s="133"/>
      <c r="AZ95" s="133"/>
      <c r="BA95" s="133"/>
      <c r="BB95" s="133"/>
      <c r="BC95" s="133"/>
      <c r="BE95" s="133"/>
      <c r="BF95" s="133"/>
      <c r="BG95" s="133"/>
      <c r="BH95" s="133"/>
      <c r="BI95" s="133"/>
      <c r="EG95" s="302"/>
      <c r="EH95" s="302"/>
      <c r="EI95" s="302"/>
      <c r="EJ95" s="302"/>
      <c r="FE95" s="302"/>
      <c r="FF95" s="302"/>
      <c r="FG95" s="302"/>
      <c r="FH95" s="302"/>
      <c r="FI95" s="302"/>
      <c r="FK95" s="133"/>
      <c r="FL95" s="461"/>
      <c r="FM95" s="454"/>
      <c r="FN95" s="461"/>
      <c r="FY95" s="133"/>
      <c r="FZ95" s="133"/>
      <c r="GA95" s="133"/>
      <c r="GB95" s="133"/>
      <c r="GC95" s="133"/>
      <c r="GD95" s="230"/>
      <c r="GE95" s="133"/>
      <c r="GF95" s="158"/>
      <c r="GG95" s="158"/>
      <c r="GH95" s="158"/>
      <c r="GI95" s="158"/>
      <c r="GJ95" s="158"/>
      <c r="GK95" s="158"/>
      <c r="GL95" s="158"/>
      <c r="GM95" s="158"/>
      <c r="GN95" s="158"/>
      <c r="GO95" s="133"/>
      <c r="GP95" s="133"/>
      <c r="GQ95" s="158"/>
      <c r="GR95" s="158"/>
      <c r="GS95" s="158"/>
      <c r="GT95" s="158"/>
      <c r="GU95" s="158"/>
      <c r="GV95" s="158"/>
      <c r="GW95" s="158"/>
      <c r="GX95" s="158"/>
      <c r="GY95" s="158"/>
      <c r="GZ95" s="133"/>
      <c r="HA95" s="133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33"/>
      <c r="HM95" s="133"/>
      <c r="HN95" s="133"/>
      <c r="HO95" s="96"/>
      <c r="HP95" s="133"/>
      <c r="HQ95" s="158"/>
      <c r="HR95" s="158"/>
      <c r="HS95" s="158"/>
      <c r="HT95" s="158"/>
      <c r="HU95" s="158"/>
      <c r="HV95" s="158"/>
      <c r="HW95" s="158"/>
      <c r="HX95" s="158"/>
      <c r="HY95" s="133"/>
      <c r="HZ95" s="133"/>
      <c r="IA95" s="158"/>
      <c r="IB95" s="158"/>
      <c r="IC95" s="158"/>
      <c r="ID95" s="158"/>
      <c r="IE95" s="158"/>
      <c r="IF95" s="133"/>
    </row>
    <row r="96" spans="24:240" ht="15" customHeight="1">
      <c r="X96" s="133"/>
      <c r="Y96" s="133"/>
      <c r="AA96" s="133"/>
      <c r="AB96" s="133"/>
      <c r="AC96" s="133"/>
      <c r="AD96" s="133"/>
      <c r="AF96" s="133"/>
      <c r="AG96" s="133"/>
      <c r="AH96" s="299"/>
      <c r="AI96" s="133"/>
      <c r="AK96" s="133"/>
      <c r="AL96" s="133"/>
      <c r="AM96" s="133"/>
      <c r="AN96" s="133"/>
      <c r="AP96" s="133"/>
      <c r="AQ96" s="133"/>
      <c r="AR96" s="133"/>
      <c r="AS96" s="133"/>
      <c r="AU96" s="133"/>
      <c r="AV96" s="133"/>
      <c r="AW96" s="133"/>
      <c r="AX96" s="133"/>
      <c r="AZ96" s="133"/>
      <c r="BA96" s="133"/>
      <c r="BB96" s="133"/>
      <c r="BC96" s="133"/>
      <c r="BE96" s="133"/>
      <c r="BF96" s="133"/>
      <c r="BG96" s="133"/>
      <c r="BH96" s="133"/>
      <c r="BI96" s="133"/>
      <c r="EG96" s="302"/>
      <c r="EH96" s="302"/>
      <c r="EI96" s="302"/>
      <c r="EJ96" s="302"/>
      <c r="FE96" s="302"/>
      <c r="FF96" s="302"/>
      <c r="FG96" s="302"/>
      <c r="FH96" s="302"/>
      <c r="FI96" s="302"/>
      <c r="FK96" s="133"/>
      <c r="FL96" s="461"/>
      <c r="FM96" s="454"/>
      <c r="FN96" s="461"/>
      <c r="FY96" s="48"/>
      <c r="FZ96" s="133"/>
      <c r="GA96" s="133"/>
      <c r="GB96" s="133"/>
      <c r="GC96" s="158"/>
      <c r="GD96" s="230"/>
      <c r="GE96" s="133"/>
      <c r="GF96" s="158"/>
      <c r="GG96" s="158"/>
      <c r="GH96" s="158"/>
      <c r="GI96" s="158"/>
      <c r="GJ96" s="158"/>
      <c r="GK96" s="158"/>
      <c r="GL96" s="158"/>
      <c r="GM96" s="158"/>
      <c r="GN96" s="158"/>
      <c r="GO96" s="133"/>
      <c r="GP96" s="133"/>
      <c r="GQ96" s="158"/>
      <c r="GR96" s="158"/>
      <c r="GS96" s="158"/>
      <c r="GT96" s="158"/>
      <c r="GU96" s="158"/>
      <c r="GV96" s="158"/>
      <c r="GW96" s="158"/>
      <c r="GX96" s="158"/>
      <c r="GY96" s="158"/>
      <c r="GZ96" s="133"/>
      <c r="HA96" s="133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33"/>
      <c r="HM96" s="126"/>
      <c r="HN96" s="62"/>
      <c r="HO96" s="227"/>
      <c r="HP96" s="133"/>
      <c r="HQ96" s="158"/>
      <c r="HR96" s="158"/>
      <c r="HS96" s="158"/>
      <c r="HT96" s="158"/>
      <c r="HU96" s="158"/>
      <c r="HV96" s="158"/>
      <c r="HW96" s="158"/>
      <c r="HX96" s="158"/>
      <c r="HY96" s="133"/>
      <c r="HZ96" s="133"/>
      <c r="IA96" s="158"/>
      <c r="IB96" s="158"/>
      <c r="IC96" s="158"/>
      <c r="ID96" s="158"/>
      <c r="IE96" s="158"/>
      <c r="IF96" s="133"/>
    </row>
    <row r="97" spans="24:240" ht="15" customHeight="1">
      <c r="X97" s="133"/>
      <c r="Y97" s="133"/>
      <c r="AA97" s="133"/>
      <c r="AB97" s="133"/>
      <c r="AC97" s="133"/>
      <c r="AD97" s="133"/>
      <c r="AF97" s="133"/>
      <c r="AG97" s="133"/>
      <c r="AH97" s="299"/>
      <c r="AI97" s="133"/>
      <c r="AK97" s="133"/>
      <c r="AL97" s="133"/>
      <c r="AM97" s="133"/>
      <c r="AN97" s="133"/>
      <c r="AP97" s="133"/>
      <c r="AQ97" s="133"/>
      <c r="AR97" s="133"/>
      <c r="AS97" s="133"/>
      <c r="AU97" s="133"/>
      <c r="AV97" s="133"/>
      <c r="AW97" s="133"/>
      <c r="AX97" s="133"/>
      <c r="AZ97" s="133"/>
      <c r="BA97" s="133"/>
      <c r="BB97" s="133"/>
      <c r="BC97" s="133"/>
      <c r="BE97" s="133"/>
      <c r="BF97" s="133"/>
      <c r="BG97" s="133"/>
      <c r="BH97" s="133"/>
      <c r="BI97" s="133"/>
      <c r="EG97" s="302"/>
      <c r="EH97" s="302"/>
      <c r="EI97" s="302"/>
      <c r="EJ97" s="302"/>
      <c r="FE97" s="302"/>
      <c r="FF97" s="302"/>
      <c r="FG97" s="302"/>
      <c r="FH97" s="302"/>
      <c r="FI97" s="302"/>
      <c r="FK97" s="133"/>
      <c r="FL97" s="464"/>
      <c r="FM97" s="464"/>
      <c r="FN97" s="464"/>
      <c r="FY97" s="48"/>
      <c r="FZ97" s="96"/>
      <c r="GA97" s="133"/>
      <c r="GB97" s="133"/>
      <c r="GC97" s="200"/>
      <c r="GD97" s="230"/>
      <c r="GE97" s="133"/>
      <c r="GF97" s="518"/>
      <c r="GG97" s="133"/>
      <c r="GH97" s="133"/>
      <c r="GI97" s="133"/>
      <c r="GJ97" s="133"/>
      <c r="GK97" s="133"/>
      <c r="GL97" s="133"/>
      <c r="GM97" s="318"/>
      <c r="GN97" s="318"/>
      <c r="GO97" s="133"/>
      <c r="GP97" s="133"/>
      <c r="GQ97" s="318"/>
      <c r="GR97" s="318"/>
      <c r="GS97" s="318"/>
      <c r="GT97" s="318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523"/>
      <c r="HN97" s="218"/>
      <c r="HO97" s="218"/>
      <c r="HP97" s="133"/>
      <c r="HQ97" s="133"/>
      <c r="HR97" s="218"/>
      <c r="HS97" s="133"/>
      <c r="HT97" s="133"/>
      <c r="HU97" s="133"/>
      <c r="HV97" s="133"/>
      <c r="HW97" s="133"/>
      <c r="HX97" s="158"/>
      <c r="HY97" s="133"/>
      <c r="HZ97" s="133"/>
      <c r="IA97" s="133"/>
      <c r="IB97" s="133"/>
      <c r="IC97" s="133"/>
      <c r="ID97" s="133"/>
      <c r="IE97" s="133"/>
      <c r="IF97" s="133"/>
    </row>
    <row r="98" spans="24:240" ht="15" customHeight="1">
      <c r="X98" s="133"/>
      <c r="Y98" s="133"/>
      <c r="AA98" s="133"/>
      <c r="AB98" s="133"/>
      <c r="AC98" s="133"/>
      <c r="AD98" s="133"/>
      <c r="AF98" s="133"/>
      <c r="AG98" s="133"/>
      <c r="AH98" s="299"/>
      <c r="AI98" s="133"/>
      <c r="AK98" s="133"/>
      <c r="AL98" s="133"/>
      <c r="AM98" s="133"/>
      <c r="AN98" s="133"/>
      <c r="AP98" s="133"/>
      <c r="AQ98" s="133"/>
      <c r="AR98" s="133"/>
      <c r="AS98" s="133"/>
      <c r="AU98" s="133"/>
      <c r="AV98" s="133"/>
      <c r="AW98" s="133"/>
      <c r="AX98" s="133"/>
      <c r="AZ98" s="133"/>
      <c r="BA98" s="133"/>
      <c r="BB98" s="133"/>
      <c r="BC98" s="133"/>
      <c r="BE98" s="133"/>
      <c r="BF98" s="133"/>
      <c r="BG98" s="133"/>
      <c r="BH98" s="133"/>
      <c r="BI98" s="133"/>
      <c r="EG98" s="302"/>
      <c r="EH98" s="302"/>
      <c r="EI98" s="302"/>
      <c r="EJ98" s="302"/>
      <c r="FE98" s="302"/>
      <c r="FF98" s="302"/>
      <c r="FG98" s="302"/>
      <c r="FH98" s="302"/>
      <c r="FI98" s="302"/>
      <c r="FK98" s="454"/>
      <c r="FL98" s="454"/>
      <c r="FM98" s="454"/>
      <c r="FN98" s="454"/>
      <c r="FY98" s="48"/>
      <c r="FZ98" s="96"/>
      <c r="GA98" s="133"/>
      <c r="GB98" s="133"/>
      <c r="GC98" s="133"/>
      <c r="GD98" s="230"/>
      <c r="GE98" s="133"/>
      <c r="GF98" s="519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218"/>
      <c r="HO98" s="218"/>
      <c r="HP98" s="133"/>
      <c r="HQ98" s="133"/>
      <c r="HR98" s="133"/>
      <c r="HS98" s="133"/>
      <c r="HT98" s="133"/>
      <c r="HU98" s="133"/>
      <c r="HV98" s="133"/>
      <c r="HW98" s="133"/>
      <c r="HX98" s="158"/>
      <c r="HY98" s="133"/>
      <c r="HZ98" s="133"/>
      <c r="IA98" s="133"/>
      <c r="IB98" s="133"/>
      <c r="IC98" s="133"/>
      <c r="ID98" s="133"/>
      <c r="IE98" s="133"/>
      <c r="IF98" s="133"/>
    </row>
    <row r="99" spans="24:240" ht="15" customHeight="1">
      <c r="X99" s="133"/>
      <c r="Y99" s="133"/>
      <c r="AA99" s="133"/>
      <c r="AB99" s="133"/>
      <c r="AC99" s="133"/>
      <c r="AD99" s="133"/>
      <c r="AF99" s="133"/>
      <c r="AG99" s="133"/>
      <c r="AH99" s="299"/>
      <c r="AI99" s="133"/>
      <c r="AK99" s="133"/>
      <c r="AL99" s="133"/>
      <c r="AM99" s="133"/>
      <c r="AN99" s="133"/>
      <c r="AP99" s="133"/>
      <c r="AQ99" s="133"/>
      <c r="AR99" s="133"/>
      <c r="AS99" s="133"/>
      <c r="AU99" s="133"/>
      <c r="AV99" s="133"/>
      <c r="AW99" s="133"/>
      <c r="AX99" s="133"/>
      <c r="AZ99" s="133"/>
      <c r="BA99" s="133"/>
      <c r="BB99" s="133"/>
      <c r="BC99" s="133"/>
      <c r="BE99" s="133"/>
      <c r="BF99" s="133"/>
      <c r="BG99" s="133"/>
      <c r="BH99" s="133"/>
      <c r="BI99" s="133"/>
      <c r="EG99" s="302"/>
      <c r="EH99" s="302"/>
      <c r="EI99" s="302"/>
      <c r="EJ99" s="302"/>
      <c r="FE99" s="302"/>
      <c r="FF99" s="302"/>
      <c r="FG99" s="302"/>
      <c r="FH99" s="302"/>
      <c r="FI99" s="302"/>
      <c r="FK99" s="302"/>
      <c r="FL99" s="302"/>
      <c r="FM99" s="302"/>
      <c r="FN99" s="302"/>
      <c r="FY99" s="48"/>
      <c r="FZ99" s="133"/>
      <c r="GA99" s="133"/>
      <c r="GB99" s="133"/>
      <c r="GC99" s="180"/>
      <c r="GD99" s="227"/>
      <c r="GE99" s="96"/>
      <c r="GF99" s="158"/>
      <c r="GG99" s="158"/>
      <c r="GH99" s="158"/>
      <c r="GI99" s="158"/>
      <c r="GJ99" s="158"/>
      <c r="GK99" s="158"/>
      <c r="GL99" s="158"/>
      <c r="GM99" s="158"/>
      <c r="GN99" s="158"/>
      <c r="GO99" s="227"/>
      <c r="GP99" s="96"/>
      <c r="GQ99" s="158"/>
      <c r="GR99" s="158"/>
      <c r="GS99" s="158"/>
      <c r="GT99" s="158"/>
      <c r="GU99" s="158"/>
      <c r="GV99" s="158"/>
      <c r="GW99" s="158"/>
      <c r="GX99" s="158"/>
      <c r="GY99" s="158"/>
      <c r="GZ99" s="227"/>
      <c r="HA99" s="96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227"/>
      <c r="HM99" s="133"/>
      <c r="HN99" s="179"/>
      <c r="HO99" s="179"/>
      <c r="HP99" s="133"/>
      <c r="HQ99" s="158"/>
      <c r="HR99" s="158"/>
      <c r="HS99" s="158"/>
      <c r="HT99" s="158"/>
      <c r="HU99" s="158"/>
      <c r="HV99" s="158"/>
      <c r="HW99" s="158"/>
      <c r="HX99" s="133"/>
      <c r="HY99" s="227"/>
      <c r="HZ99" s="133"/>
      <c r="IA99" s="158"/>
      <c r="IB99" s="158"/>
      <c r="IC99" s="158"/>
      <c r="ID99" s="158"/>
      <c r="IE99" s="158"/>
      <c r="IF99" s="133"/>
    </row>
    <row r="100" spans="24:240" ht="15" customHeight="1">
      <c r="X100" s="133"/>
      <c r="Y100" s="133"/>
      <c r="AA100" s="133"/>
      <c r="AB100" s="133"/>
      <c r="AC100" s="133"/>
      <c r="AD100" s="133"/>
      <c r="AF100" s="133"/>
      <c r="AG100" s="133"/>
      <c r="AH100" s="299"/>
      <c r="AI100" s="133"/>
      <c r="AK100" s="133"/>
      <c r="AL100" s="133"/>
      <c r="AM100" s="133"/>
      <c r="AN100" s="133"/>
      <c r="AP100" s="133"/>
      <c r="AQ100" s="133"/>
      <c r="AR100" s="133"/>
      <c r="AS100" s="133"/>
      <c r="AU100" s="133"/>
      <c r="AV100" s="133"/>
      <c r="AW100" s="133"/>
      <c r="AX100" s="133"/>
      <c r="AZ100" s="133"/>
      <c r="BA100" s="133"/>
      <c r="BB100" s="133"/>
      <c r="BC100" s="133"/>
      <c r="BE100" s="133"/>
      <c r="BF100" s="133"/>
      <c r="BG100" s="133"/>
      <c r="BH100" s="133"/>
      <c r="BI100" s="133"/>
      <c r="EG100" s="302"/>
      <c r="EH100" s="302"/>
      <c r="EI100" s="302"/>
      <c r="EJ100" s="302"/>
      <c r="FE100" s="302"/>
      <c r="FF100" s="302"/>
      <c r="FG100" s="302"/>
      <c r="FH100" s="302"/>
      <c r="FI100" s="302"/>
      <c r="FK100" s="302"/>
      <c r="FL100" s="302"/>
      <c r="FM100" s="302"/>
      <c r="FN100" s="302"/>
      <c r="FY100" s="48"/>
      <c r="FZ100" s="133"/>
      <c r="GA100" s="133"/>
      <c r="GB100" s="133"/>
      <c r="GC100" s="133"/>
      <c r="GD100" s="62"/>
      <c r="GE100" s="96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62"/>
      <c r="GP100" s="96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62"/>
      <c r="HA100" s="96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62"/>
      <c r="HM100" s="96"/>
      <c r="HN100" s="158"/>
      <c r="HO100" s="158"/>
      <c r="HP100" s="133"/>
      <c r="HQ100" s="158"/>
      <c r="HR100" s="158"/>
      <c r="HS100" s="158"/>
      <c r="HT100" s="158"/>
      <c r="HU100" s="158"/>
      <c r="HV100" s="158"/>
      <c r="HW100" s="158"/>
      <c r="HX100" s="133"/>
      <c r="HY100" s="62"/>
      <c r="HZ100" s="133"/>
      <c r="IA100" s="158"/>
      <c r="IB100" s="158"/>
      <c r="IC100" s="158"/>
      <c r="ID100" s="158"/>
      <c r="IE100" s="158"/>
      <c r="IF100" s="133"/>
    </row>
    <row r="101" spans="24:240" ht="15" customHeight="1">
      <c r="X101" s="133"/>
      <c r="Y101" s="133"/>
      <c r="AA101" s="133"/>
      <c r="AB101" s="133"/>
      <c r="AC101" s="133"/>
      <c r="AD101" s="133"/>
      <c r="AF101" s="133"/>
      <c r="AG101" s="133"/>
      <c r="AH101" s="299"/>
      <c r="AI101" s="133"/>
      <c r="AK101" s="133"/>
      <c r="AL101" s="133"/>
      <c r="AM101" s="133"/>
      <c r="AN101" s="133"/>
      <c r="AP101" s="133"/>
      <c r="AQ101" s="133"/>
      <c r="AR101" s="133"/>
      <c r="AS101" s="133"/>
      <c r="AU101" s="133"/>
      <c r="AV101" s="133"/>
      <c r="AW101" s="133"/>
      <c r="AX101" s="133"/>
      <c r="AZ101" s="133"/>
      <c r="BA101" s="133"/>
      <c r="BB101" s="133"/>
      <c r="BC101" s="133"/>
      <c r="BE101" s="133"/>
      <c r="BF101" s="133"/>
      <c r="BG101" s="133"/>
      <c r="BH101" s="133"/>
      <c r="BI101" s="133"/>
      <c r="EG101" s="302"/>
      <c r="EH101" s="302"/>
      <c r="EI101" s="302"/>
      <c r="EJ101" s="302"/>
      <c r="FE101" s="302"/>
      <c r="FF101" s="302"/>
      <c r="FG101" s="302"/>
      <c r="FH101" s="302"/>
      <c r="FI101" s="302"/>
      <c r="FK101" s="302"/>
      <c r="FL101" s="302"/>
      <c r="FM101" s="302"/>
      <c r="FN101" s="302"/>
      <c r="FY101" s="48"/>
      <c r="FZ101" s="96"/>
      <c r="GA101" s="133"/>
      <c r="GB101" s="133"/>
      <c r="GC101" s="180"/>
      <c r="GD101" s="230"/>
      <c r="GE101" s="133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33"/>
      <c r="GP101" s="133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33"/>
      <c r="HA101" s="133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33"/>
      <c r="HM101" s="96"/>
      <c r="HN101" s="179"/>
      <c r="HO101" s="179"/>
      <c r="HP101" s="133"/>
      <c r="HQ101" s="158"/>
      <c r="HR101" s="158"/>
      <c r="HS101" s="158"/>
      <c r="HT101" s="158"/>
      <c r="HU101" s="158"/>
      <c r="HV101" s="158"/>
      <c r="HW101" s="158"/>
      <c r="HX101" s="133"/>
      <c r="HY101" s="133"/>
      <c r="HZ101" s="133"/>
      <c r="IA101" s="158"/>
      <c r="IB101" s="158"/>
      <c r="IC101" s="158"/>
      <c r="ID101" s="158"/>
      <c r="IE101" s="158"/>
      <c r="IF101" s="133"/>
    </row>
    <row r="102" spans="24:240" ht="15" customHeight="1">
      <c r="X102" s="133"/>
      <c r="Y102" s="133"/>
      <c r="AA102" s="133"/>
      <c r="AB102" s="133"/>
      <c r="AC102" s="133"/>
      <c r="AD102" s="133"/>
      <c r="AF102" s="133"/>
      <c r="AG102" s="133"/>
      <c r="AH102" s="299"/>
      <c r="AI102" s="133"/>
      <c r="AK102" s="133"/>
      <c r="AL102" s="133"/>
      <c r="AM102" s="133"/>
      <c r="AN102" s="133"/>
      <c r="AP102" s="133"/>
      <c r="AQ102" s="133"/>
      <c r="AR102" s="133"/>
      <c r="AS102" s="133"/>
      <c r="AU102" s="133"/>
      <c r="AV102" s="133"/>
      <c r="AW102" s="133"/>
      <c r="AX102" s="133"/>
      <c r="AZ102" s="133"/>
      <c r="BA102" s="133"/>
      <c r="BB102" s="133"/>
      <c r="BC102" s="133"/>
      <c r="BE102" s="133"/>
      <c r="BF102" s="133"/>
      <c r="BG102" s="133"/>
      <c r="BH102" s="133"/>
      <c r="BI102" s="133"/>
      <c r="EG102" s="302"/>
      <c r="EH102" s="302"/>
      <c r="EI102" s="302"/>
      <c r="EJ102" s="302"/>
      <c r="FE102" s="302"/>
      <c r="FF102" s="302"/>
      <c r="FG102" s="302"/>
      <c r="FH102" s="302"/>
      <c r="FI102" s="302"/>
      <c r="FK102" s="302"/>
      <c r="FL102" s="302"/>
      <c r="FM102" s="302"/>
      <c r="FN102" s="302"/>
      <c r="FY102" s="48"/>
      <c r="FZ102" s="96"/>
      <c r="GA102" s="133"/>
      <c r="GB102" s="133"/>
      <c r="GC102" s="180"/>
      <c r="GD102" s="230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79"/>
      <c r="HO102" s="179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</row>
    <row r="103" spans="24:240" ht="15" customHeight="1">
      <c r="X103" s="133"/>
      <c r="Y103" s="133"/>
      <c r="AA103" s="133"/>
      <c r="AB103" s="133"/>
      <c r="AC103" s="133"/>
      <c r="AD103" s="133"/>
      <c r="AF103" s="133"/>
      <c r="AG103" s="133"/>
      <c r="AH103" s="299"/>
      <c r="AI103" s="133"/>
      <c r="AK103" s="133"/>
      <c r="AL103" s="133"/>
      <c r="AM103" s="133"/>
      <c r="AN103" s="133"/>
      <c r="AP103" s="133"/>
      <c r="AQ103" s="133"/>
      <c r="AR103" s="133"/>
      <c r="AS103" s="133"/>
      <c r="AU103" s="133"/>
      <c r="AV103" s="133"/>
      <c r="AW103" s="133"/>
      <c r="AX103" s="133"/>
      <c r="AZ103" s="133"/>
      <c r="BA103" s="133"/>
      <c r="BB103" s="133"/>
      <c r="BC103" s="133"/>
      <c r="BE103" s="133"/>
      <c r="BF103" s="133"/>
      <c r="BG103" s="133"/>
      <c r="BH103" s="133"/>
      <c r="BI103" s="133"/>
      <c r="EG103" s="302"/>
      <c r="EH103" s="302"/>
      <c r="EI103" s="302"/>
      <c r="EJ103" s="302"/>
      <c r="FE103" s="302"/>
      <c r="FF103" s="302"/>
      <c r="FG103" s="302"/>
      <c r="FH103" s="302"/>
      <c r="FI103" s="302"/>
      <c r="FK103" s="302"/>
      <c r="FL103" s="302"/>
      <c r="FM103" s="302"/>
      <c r="FN103" s="302"/>
      <c r="FY103" s="48"/>
      <c r="FZ103" s="133"/>
      <c r="GA103" s="133"/>
      <c r="GB103" s="133"/>
      <c r="GC103" s="133"/>
      <c r="GD103" s="230"/>
      <c r="GE103" s="133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33"/>
    </row>
    <row r="104" spans="24:240" ht="15" customHeight="1">
      <c r="X104" s="133"/>
      <c r="Y104" s="133"/>
      <c r="AA104" s="133"/>
      <c r="AB104" s="133"/>
      <c r="AC104" s="133"/>
      <c r="AD104" s="133"/>
      <c r="AF104" s="133"/>
      <c r="AG104" s="133"/>
      <c r="AH104" s="299"/>
      <c r="AI104" s="133"/>
      <c r="AK104" s="133"/>
      <c r="AL104" s="133"/>
      <c r="AM104" s="133"/>
      <c r="AN104" s="133"/>
      <c r="AP104" s="133"/>
      <c r="AQ104" s="133"/>
      <c r="AR104" s="133"/>
      <c r="AS104" s="133"/>
      <c r="AU104" s="133"/>
      <c r="AV104" s="133"/>
      <c r="AW104" s="133"/>
      <c r="AX104" s="133"/>
      <c r="AZ104" s="133"/>
      <c r="BA104" s="133"/>
      <c r="BB104" s="133"/>
      <c r="BC104" s="133"/>
      <c r="BE104" s="133"/>
      <c r="BF104" s="133"/>
      <c r="BG104" s="133"/>
      <c r="BH104" s="133"/>
      <c r="BI104" s="133"/>
      <c r="EG104" s="302"/>
      <c r="EH104" s="302"/>
      <c r="EI104" s="302"/>
      <c r="EJ104" s="302"/>
      <c r="FE104" s="302"/>
      <c r="FF104" s="302"/>
      <c r="FG104" s="302"/>
      <c r="FH104" s="302"/>
      <c r="FI104" s="302"/>
      <c r="FK104" s="302"/>
      <c r="FL104" s="302"/>
      <c r="FM104" s="302"/>
      <c r="FN104" s="302"/>
      <c r="FY104" s="48"/>
      <c r="FZ104" s="133"/>
      <c r="GA104" s="133"/>
      <c r="GB104" s="133"/>
      <c r="GC104" s="531"/>
      <c r="GD104" s="230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532"/>
      <c r="HZ104" s="316"/>
      <c r="IA104" s="212"/>
      <c r="IB104" s="212"/>
      <c r="IC104" s="212"/>
      <c r="ID104" s="212"/>
      <c r="IE104" s="212"/>
      <c r="IF104" s="133"/>
    </row>
    <row r="105" spans="24:240" ht="15" customHeight="1">
      <c r="X105" s="133"/>
      <c r="Y105" s="133"/>
      <c r="AA105" s="133"/>
      <c r="AB105" s="133"/>
      <c r="AC105" s="133"/>
      <c r="AD105" s="133"/>
      <c r="AF105" s="133"/>
      <c r="AG105" s="133"/>
      <c r="AH105" s="299"/>
      <c r="AI105" s="133"/>
      <c r="AK105" s="133"/>
      <c r="AL105" s="133"/>
      <c r="AM105" s="133"/>
      <c r="AN105" s="133"/>
      <c r="AP105" s="133"/>
      <c r="AQ105" s="133"/>
      <c r="AR105" s="133"/>
      <c r="AS105" s="133"/>
      <c r="AU105" s="133"/>
      <c r="AV105" s="133"/>
      <c r="AW105" s="133"/>
      <c r="AX105" s="133"/>
      <c r="AZ105" s="133"/>
      <c r="BA105" s="133"/>
      <c r="BB105" s="133"/>
      <c r="BC105" s="133"/>
      <c r="BE105" s="133"/>
      <c r="BF105" s="133"/>
      <c r="BG105" s="133"/>
      <c r="BH105" s="133"/>
      <c r="BI105" s="133"/>
      <c r="EG105" s="302"/>
      <c r="EH105" s="302"/>
      <c r="EI105" s="302"/>
      <c r="EJ105" s="302"/>
      <c r="FE105" s="302"/>
      <c r="FF105" s="302"/>
      <c r="FG105" s="302"/>
      <c r="FH105" s="302"/>
      <c r="FI105" s="302"/>
      <c r="FK105" s="302"/>
      <c r="FL105" s="302"/>
      <c r="FM105" s="302"/>
      <c r="FN105" s="302"/>
      <c r="FY105" s="48"/>
      <c r="FZ105" s="133"/>
      <c r="GA105" s="133"/>
      <c r="GB105" s="133"/>
      <c r="GC105" s="471"/>
      <c r="GD105" s="230"/>
      <c r="GE105" s="133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33"/>
    </row>
    <row r="106" spans="24:240" ht="15" customHeight="1">
      <c r="X106" s="133"/>
      <c r="Y106" s="133"/>
      <c r="AA106" s="133"/>
      <c r="AB106" s="133"/>
      <c r="AC106" s="133"/>
      <c r="AD106" s="133"/>
      <c r="AF106" s="133"/>
      <c r="AG106" s="133"/>
      <c r="AI106" s="133"/>
      <c r="AK106" s="133"/>
      <c r="AL106" s="133"/>
      <c r="AM106" s="133"/>
      <c r="AN106" s="133"/>
      <c r="AP106" s="133"/>
      <c r="AQ106" s="133"/>
      <c r="AR106" s="133"/>
      <c r="AS106" s="133"/>
      <c r="AU106" s="133"/>
      <c r="AV106" s="133"/>
      <c r="AW106" s="133"/>
      <c r="AX106" s="133"/>
      <c r="AZ106" s="133"/>
      <c r="BA106" s="133"/>
      <c r="BB106" s="133"/>
      <c r="BC106" s="133"/>
      <c r="BE106" s="133"/>
      <c r="BF106" s="133"/>
      <c r="BG106" s="133"/>
      <c r="BH106" s="133"/>
      <c r="BI106" s="133"/>
      <c r="EG106" s="302"/>
      <c r="EH106" s="302"/>
      <c r="EI106" s="302"/>
      <c r="EJ106" s="302"/>
      <c r="FE106" s="302"/>
      <c r="FF106" s="302"/>
      <c r="FG106" s="302"/>
      <c r="FH106" s="302"/>
      <c r="FI106" s="302"/>
      <c r="FK106" s="302"/>
      <c r="FL106" s="302"/>
      <c r="FM106" s="302"/>
      <c r="FN106" s="302"/>
      <c r="FY106" s="48"/>
      <c r="FZ106" s="96"/>
      <c r="GA106" s="133"/>
      <c r="GB106" s="133"/>
      <c r="GC106" s="133"/>
      <c r="GD106" s="230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58"/>
      <c r="HZ106" s="158"/>
      <c r="IA106" s="158"/>
      <c r="IB106" s="158"/>
      <c r="IC106" s="158"/>
      <c r="ID106" s="158"/>
      <c r="IE106" s="158"/>
      <c r="IF106" s="133"/>
    </row>
    <row r="107" spans="24:240" ht="15" customHeight="1">
      <c r="X107" s="133"/>
      <c r="Y107" s="133"/>
      <c r="AA107" s="133"/>
      <c r="AB107" s="133"/>
      <c r="AC107" s="133"/>
      <c r="AD107" s="133"/>
      <c r="AF107" s="133"/>
      <c r="AG107" s="133"/>
      <c r="AI107" s="133"/>
      <c r="AK107" s="133"/>
      <c r="AL107" s="133"/>
      <c r="AM107" s="133"/>
      <c r="AN107" s="133"/>
      <c r="AP107" s="133"/>
      <c r="AQ107" s="133"/>
      <c r="AR107" s="133"/>
      <c r="AS107" s="133"/>
      <c r="AU107" s="133"/>
      <c r="AV107" s="133"/>
      <c r="AW107" s="133"/>
      <c r="AX107" s="133"/>
      <c r="AZ107" s="133"/>
      <c r="BA107" s="133"/>
      <c r="BB107" s="133"/>
      <c r="BC107" s="133"/>
      <c r="BE107" s="133"/>
      <c r="BF107" s="133"/>
      <c r="BG107" s="133"/>
      <c r="BH107" s="133"/>
      <c r="BI107" s="133"/>
      <c r="EG107" s="302"/>
      <c r="EH107" s="302"/>
      <c r="EI107" s="302"/>
      <c r="EJ107" s="302"/>
      <c r="FE107" s="302"/>
      <c r="FF107" s="302"/>
      <c r="FG107" s="302"/>
      <c r="FH107" s="302"/>
      <c r="FI107" s="302"/>
      <c r="FK107" s="302"/>
      <c r="FL107" s="302"/>
      <c r="FM107" s="302"/>
      <c r="FN107" s="302"/>
      <c r="FY107" s="48"/>
      <c r="FZ107" s="96"/>
      <c r="GA107" s="133"/>
      <c r="GB107" s="133"/>
      <c r="GC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</row>
    <row r="108" spans="24:240" ht="15" customHeight="1">
      <c r="X108" s="133"/>
      <c r="Y108" s="133"/>
      <c r="AA108" s="133"/>
      <c r="AB108" s="133"/>
      <c r="AC108" s="133"/>
      <c r="AD108" s="133"/>
      <c r="AF108" s="133"/>
      <c r="AG108" s="133"/>
      <c r="AI108" s="133"/>
      <c r="AK108" s="133"/>
      <c r="AL108" s="133"/>
      <c r="AM108" s="133"/>
      <c r="AN108" s="133"/>
      <c r="AP108" s="133"/>
      <c r="AQ108" s="133"/>
      <c r="AR108" s="133"/>
      <c r="AS108" s="133"/>
      <c r="AU108" s="133"/>
      <c r="AV108" s="133"/>
      <c r="AW108" s="133"/>
      <c r="AX108" s="133"/>
      <c r="AZ108" s="133"/>
      <c r="BA108" s="133"/>
      <c r="BB108" s="133"/>
      <c r="BC108" s="133"/>
      <c r="BE108" s="133"/>
      <c r="BF108" s="133"/>
      <c r="BG108" s="133"/>
      <c r="BH108" s="133"/>
      <c r="BI108" s="133"/>
      <c r="EG108" s="302"/>
      <c r="EH108" s="302"/>
      <c r="EI108" s="302"/>
      <c r="EJ108" s="302"/>
      <c r="FE108" s="302"/>
      <c r="FF108" s="302"/>
      <c r="FG108" s="302"/>
      <c r="FH108" s="302"/>
      <c r="FI108" s="302"/>
      <c r="FK108" s="302"/>
      <c r="FL108" s="302"/>
      <c r="FM108" s="302"/>
      <c r="FN108" s="302"/>
      <c r="FY108" s="48"/>
      <c r="FZ108" s="133"/>
      <c r="GA108" s="133"/>
      <c r="GB108" s="133"/>
      <c r="GC108" s="133"/>
      <c r="GE108" s="133"/>
      <c r="GF108" s="158"/>
      <c r="GG108" s="158"/>
      <c r="GH108" s="158"/>
      <c r="GI108" s="158"/>
      <c r="GJ108" s="158"/>
      <c r="GK108" s="158"/>
      <c r="GL108" s="158"/>
      <c r="GM108" s="158"/>
      <c r="GN108" s="158"/>
      <c r="GO108" s="158"/>
      <c r="GP108" s="158"/>
      <c r="GQ108" s="158"/>
      <c r="GR108" s="158"/>
      <c r="GS108" s="158"/>
      <c r="GT108" s="158"/>
      <c r="GU108" s="158"/>
      <c r="GV108" s="158"/>
      <c r="GW108" s="158"/>
      <c r="GX108" s="158"/>
      <c r="GY108" s="158"/>
      <c r="GZ108" s="158"/>
      <c r="HA108" s="158"/>
      <c r="HB108" s="158"/>
      <c r="HC108" s="158"/>
      <c r="HD108" s="158"/>
      <c r="HE108" s="158"/>
      <c r="HF108" s="158"/>
      <c r="HG108" s="158"/>
      <c r="HH108" s="158"/>
      <c r="HI108" s="158"/>
      <c r="HJ108" s="158"/>
      <c r="HK108" s="158"/>
      <c r="HL108" s="158"/>
      <c r="HM108" s="158"/>
      <c r="HN108" s="158"/>
      <c r="HO108" s="158"/>
      <c r="HP108" s="158"/>
      <c r="HQ108" s="158"/>
      <c r="HR108" s="158"/>
      <c r="HS108" s="158"/>
      <c r="HT108" s="158"/>
      <c r="HU108" s="158"/>
      <c r="HV108" s="158"/>
      <c r="HW108" s="158"/>
      <c r="HX108" s="158"/>
      <c r="HY108" s="158"/>
      <c r="HZ108" s="158"/>
      <c r="IA108" s="158"/>
      <c r="IB108" s="158"/>
      <c r="IC108" s="158"/>
      <c r="ID108" s="133"/>
      <c r="IE108" s="133"/>
      <c r="IF108" s="133"/>
    </row>
    <row r="109" spans="24:240" ht="15" customHeight="1">
      <c r="X109" s="133"/>
      <c r="Y109" s="133"/>
      <c r="AA109" s="133"/>
      <c r="AB109" s="133"/>
      <c r="AC109" s="133"/>
      <c r="AD109" s="133"/>
      <c r="AF109" s="133"/>
      <c r="AG109" s="133"/>
      <c r="AI109" s="133"/>
      <c r="AK109" s="133"/>
      <c r="AL109" s="133"/>
      <c r="AM109" s="133"/>
      <c r="AN109" s="133"/>
      <c r="AP109" s="133"/>
      <c r="AQ109" s="133"/>
      <c r="AR109" s="133"/>
      <c r="AS109" s="133"/>
      <c r="AU109" s="133"/>
      <c r="AV109" s="133"/>
      <c r="AW109" s="133"/>
      <c r="AX109" s="133"/>
      <c r="AZ109" s="133"/>
      <c r="BA109" s="133"/>
      <c r="BB109" s="133"/>
      <c r="BC109" s="133"/>
      <c r="BE109" s="133"/>
      <c r="BF109" s="133"/>
      <c r="BG109" s="133"/>
      <c r="BH109" s="133"/>
      <c r="BI109" s="133"/>
      <c r="EG109" s="302"/>
      <c r="EH109" s="302"/>
      <c r="EI109" s="302"/>
      <c r="EJ109" s="302"/>
      <c r="FE109" s="302"/>
      <c r="FF109" s="302"/>
      <c r="FG109" s="302"/>
      <c r="FH109" s="302"/>
      <c r="FI109" s="302"/>
      <c r="FK109" s="302"/>
      <c r="FL109" s="302"/>
      <c r="FM109" s="302"/>
      <c r="FN109" s="302"/>
      <c r="FY109" s="48"/>
      <c r="FZ109" s="133"/>
      <c r="GA109" s="133"/>
      <c r="GB109" s="133"/>
      <c r="GC109" s="133"/>
      <c r="GE109" s="133"/>
      <c r="GF109" s="550"/>
      <c r="GG109" s="540"/>
      <c r="GH109" s="540"/>
      <c r="GI109" s="540"/>
      <c r="GJ109" s="540"/>
      <c r="GK109" s="540"/>
      <c r="GL109" s="540"/>
      <c r="GM109" s="540"/>
      <c r="GN109" s="540"/>
      <c r="GO109" s="48"/>
      <c r="GP109" s="96"/>
      <c r="GQ109" s="540"/>
      <c r="GR109" s="540"/>
      <c r="GS109" s="540"/>
      <c r="GT109" s="540"/>
      <c r="GU109" s="540"/>
      <c r="GV109" s="540"/>
      <c r="GW109" s="540"/>
      <c r="GX109" s="540"/>
      <c r="GY109" s="540"/>
      <c r="GZ109" s="48"/>
      <c r="HA109" s="133"/>
      <c r="HB109" s="540"/>
      <c r="HC109" s="540"/>
      <c r="HD109" s="540"/>
      <c r="HE109" s="540"/>
      <c r="HF109" s="540"/>
      <c r="HG109" s="540"/>
      <c r="HH109" s="540"/>
      <c r="HI109" s="540"/>
      <c r="HJ109" s="540"/>
      <c r="HK109" s="540"/>
      <c r="HL109" s="48"/>
      <c r="HM109" s="133"/>
      <c r="HN109" s="540"/>
      <c r="HO109" s="540"/>
      <c r="HP109" s="540"/>
      <c r="HQ109" s="540"/>
      <c r="HR109" s="540"/>
      <c r="HS109" s="550"/>
      <c r="HT109" s="540"/>
      <c r="HU109" s="550"/>
      <c r="HV109" s="540"/>
      <c r="HW109" s="550"/>
      <c r="HX109" s="550"/>
      <c r="HY109" s="48"/>
      <c r="HZ109" s="133"/>
      <c r="IA109" s="550"/>
      <c r="IB109" s="550"/>
      <c r="IC109" s="550"/>
      <c r="ID109" s="133"/>
      <c r="IE109" s="133"/>
      <c r="IF109" s="133"/>
    </row>
    <row r="110" spans="24:240" ht="15" customHeight="1">
      <c r="X110" s="133"/>
      <c r="Y110" s="133"/>
      <c r="AA110" s="133"/>
      <c r="AB110" s="133"/>
      <c r="AC110" s="133"/>
      <c r="AD110" s="133"/>
      <c r="AF110" s="133"/>
      <c r="AG110" s="133"/>
      <c r="AI110" s="133"/>
      <c r="AK110" s="133"/>
      <c r="AL110" s="133"/>
      <c r="AM110" s="133"/>
      <c r="AN110" s="133"/>
      <c r="AP110" s="133"/>
      <c r="AQ110" s="133"/>
      <c r="AR110" s="133"/>
      <c r="AS110" s="133"/>
      <c r="AU110" s="133"/>
      <c r="AV110" s="133"/>
      <c r="AW110" s="133"/>
      <c r="AX110" s="133"/>
      <c r="AZ110" s="133"/>
      <c r="BA110" s="133"/>
      <c r="BB110" s="133"/>
      <c r="BC110" s="133"/>
      <c r="BE110" s="133"/>
      <c r="BF110" s="133"/>
      <c r="BG110" s="133"/>
      <c r="BH110" s="133"/>
      <c r="BI110" s="133"/>
      <c r="EG110" s="302"/>
      <c r="EH110" s="302"/>
      <c r="EI110" s="302"/>
      <c r="EJ110" s="302"/>
      <c r="FE110" s="302"/>
      <c r="FF110" s="302"/>
      <c r="FG110" s="302"/>
      <c r="FH110" s="302"/>
      <c r="FI110" s="302"/>
      <c r="FK110" s="302"/>
      <c r="FL110" s="302"/>
      <c r="FM110" s="302"/>
      <c r="FN110" s="302"/>
      <c r="GE110" s="133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8"/>
      <c r="IC110" s="158"/>
      <c r="ID110" s="133"/>
      <c r="IE110" s="133"/>
      <c r="IF110" s="133"/>
    </row>
    <row r="111" spans="24:240" ht="15" customHeight="1">
      <c r="X111" s="133"/>
      <c r="Y111" s="133"/>
      <c r="AA111" s="133"/>
      <c r="AB111" s="133"/>
      <c r="AC111" s="133"/>
      <c r="AD111" s="133"/>
      <c r="AF111" s="133"/>
      <c r="AG111" s="133"/>
      <c r="AI111" s="133"/>
      <c r="AK111" s="133"/>
      <c r="AL111" s="133"/>
      <c r="AM111" s="133"/>
      <c r="AN111" s="133"/>
      <c r="AP111" s="133"/>
      <c r="AQ111" s="133"/>
      <c r="AR111" s="133"/>
      <c r="AS111" s="133"/>
      <c r="AU111" s="133"/>
      <c r="AV111" s="133"/>
      <c r="AW111" s="133"/>
      <c r="AX111" s="133"/>
      <c r="AZ111" s="133"/>
      <c r="BA111" s="133"/>
      <c r="BB111" s="133"/>
      <c r="BC111" s="133"/>
      <c r="BE111" s="133"/>
      <c r="BF111" s="133"/>
      <c r="BG111" s="133"/>
      <c r="BH111" s="133"/>
      <c r="BI111" s="133"/>
      <c r="EG111" s="302"/>
      <c r="EH111" s="302"/>
      <c r="EI111" s="302"/>
      <c r="EJ111" s="302"/>
      <c r="FE111" s="302"/>
      <c r="FF111" s="302"/>
      <c r="FG111" s="302"/>
      <c r="FH111" s="302"/>
      <c r="FI111" s="302"/>
      <c r="FK111" s="302"/>
      <c r="FL111" s="302"/>
      <c r="FM111" s="302"/>
      <c r="FN111" s="302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</row>
    <row r="112" spans="24:170" ht="15" customHeight="1">
      <c r="X112" s="133"/>
      <c r="Y112" s="133"/>
      <c r="AA112" s="133"/>
      <c r="AB112" s="133"/>
      <c r="AC112" s="133"/>
      <c r="AD112" s="133"/>
      <c r="AF112" s="133"/>
      <c r="AG112" s="133"/>
      <c r="AI112" s="133"/>
      <c r="AK112" s="133"/>
      <c r="AL112" s="133"/>
      <c r="AM112" s="133"/>
      <c r="AN112" s="133"/>
      <c r="AP112" s="133"/>
      <c r="AQ112" s="133"/>
      <c r="AR112" s="133"/>
      <c r="AS112" s="133"/>
      <c r="AU112" s="133"/>
      <c r="AV112" s="133"/>
      <c r="AW112" s="133"/>
      <c r="AX112" s="133"/>
      <c r="AZ112" s="133"/>
      <c r="BA112" s="133"/>
      <c r="BB112" s="133"/>
      <c r="BC112" s="133"/>
      <c r="BE112" s="133"/>
      <c r="BF112" s="133"/>
      <c r="BG112" s="133"/>
      <c r="BH112" s="133"/>
      <c r="BI112" s="133"/>
      <c r="EG112" s="302"/>
      <c r="EH112" s="302"/>
      <c r="EI112" s="302"/>
      <c r="EJ112" s="302"/>
      <c r="FE112" s="302"/>
      <c r="FF112" s="302"/>
      <c r="FG112" s="302"/>
      <c r="FH112" s="302"/>
      <c r="FI112" s="302"/>
      <c r="FK112" s="302"/>
      <c r="FL112" s="302"/>
      <c r="FM112" s="302"/>
      <c r="FN112" s="302"/>
    </row>
    <row r="113" spans="24:170" ht="15" customHeight="1">
      <c r="X113" s="133"/>
      <c r="Y113" s="133"/>
      <c r="AA113" s="133"/>
      <c r="AB113" s="133"/>
      <c r="AC113" s="133"/>
      <c r="AD113" s="133"/>
      <c r="AF113" s="133"/>
      <c r="AG113" s="133"/>
      <c r="AI113" s="133"/>
      <c r="AK113" s="133"/>
      <c r="AL113" s="133"/>
      <c r="AM113" s="133"/>
      <c r="AN113" s="133"/>
      <c r="AP113" s="133"/>
      <c r="AQ113" s="133"/>
      <c r="AR113" s="133"/>
      <c r="AS113" s="133"/>
      <c r="AU113" s="133"/>
      <c r="AV113" s="133"/>
      <c r="AW113" s="133"/>
      <c r="AX113" s="133"/>
      <c r="AZ113" s="133"/>
      <c r="BA113" s="133"/>
      <c r="BB113" s="133"/>
      <c r="BC113" s="133"/>
      <c r="BE113" s="133"/>
      <c r="BF113" s="133"/>
      <c r="BG113" s="133"/>
      <c r="BH113" s="133"/>
      <c r="BI113" s="133"/>
      <c r="EG113" s="302"/>
      <c r="EH113" s="302"/>
      <c r="EI113" s="302"/>
      <c r="EJ113" s="302"/>
      <c r="FE113" s="302"/>
      <c r="FF113" s="302"/>
      <c r="FG113" s="302"/>
      <c r="FH113" s="302"/>
      <c r="FI113" s="302"/>
      <c r="FK113" s="302"/>
      <c r="FL113" s="302"/>
      <c r="FM113" s="302"/>
      <c r="FN113" s="302"/>
    </row>
    <row r="114" spans="24:165" ht="15" customHeight="1">
      <c r="X114" s="133"/>
      <c r="Y114" s="133"/>
      <c r="AA114" s="133"/>
      <c r="AB114" s="133"/>
      <c r="AC114" s="133"/>
      <c r="AD114" s="133"/>
      <c r="AF114" s="133"/>
      <c r="AG114" s="133"/>
      <c r="AI114" s="133"/>
      <c r="AK114" s="133"/>
      <c r="AL114" s="133"/>
      <c r="AM114" s="133"/>
      <c r="AN114" s="133"/>
      <c r="AP114" s="133"/>
      <c r="AQ114" s="133"/>
      <c r="AR114" s="133"/>
      <c r="AS114" s="133"/>
      <c r="AU114" s="133"/>
      <c r="AV114" s="133"/>
      <c r="AW114" s="133"/>
      <c r="AX114" s="133"/>
      <c r="AZ114" s="133"/>
      <c r="BA114" s="133"/>
      <c r="BB114" s="133"/>
      <c r="BC114" s="133"/>
      <c r="BE114" s="133"/>
      <c r="BF114" s="133"/>
      <c r="BG114" s="133"/>
      <c r="BH114" s="133"/>
      <c r="BI114" s="133"/>
      <c r="FE114" s="302"/>
      <c r="FF114" s="302"/>
      <c r="FG114" s="302"/>
      <c r="FH114" s="302"/>
      <c r="FI114" s="302"/>
    </row>
    <row r="115" spans="24:165" ht="15" customHeight="1">
      <c r="X115" s="133"/>
      <c r="Y115" s="133"/>
      <c r="AA115" s="133"/>
      <c r="AB115" s="133"/>
      <c r="AC115" s="133"/>
      <c r="AD115" s="133"/>
      <c r="AF115" s="133"/>
      <c r="AG115" s="133"/>
      <c r="AI115" s="133"/>
      <c r="AK115" s="133"/>
      <c r="AL115" s="133"/>
      <c r="AM115" s="133"/>
      <c r="AN115" s="133"/>
      <c r="AP115" s="133"/>
      <c r="AQ115" s="133"/>
      <c r="AR115" s="133"/>
      <c r="AS115" s="133"/>
      <c r="AU115" s="133"/>
      <c r="AV115" s="133"/>
      <c r="AW115" s="133"/>
      <c r="AX115" s="133"/>
      <c r="AZ115" s="133"/>
      <c r="BA115" s="133"/>
      <c r="BB115" s="133"/>
      <c r="BC115" s="133"/>
      <c r="BE115" s="133"/>
      <c r="BF115" s="133"/>
      <c r="BG115" s="133"/>
      <c r="BH115" s="133"/>
      <c r="BI115" s="133"/>
      <c r="FE115" s="302"/>
      <c r="FF115" s="302"/>
      <c r="FG115" s="302"/>
      <c r="FH115" s="302"/>
      <c r="FI115" s="302"/>
    </row>
    <row r="116" spans="24:165" ht="15" customHeight="1">
      <c r="X116" s="133"/>
      <c r="Y116" s="133"/>
      <c r="AA116" s="133"/>
      <c r="AB116" s="133"/>
      <c r="AC116" s="133"/>
      <c r="AD116" s="133"/>
      <c r="AF116" s="133"/>
      <c r="AG116" s="133"/>
      <c r="AI116" s="133"/>
      <c r="AK116" s="133"/>
      <c r="AL116" s="133"/>
      <c r="AM116" s="133"/>
      <c r="AN116" s="133"/>
      <c r="AP116" s="133"/>
      <c r="AQ116" s="133"/>
      <c r="AR116" s="133"/>
      <c r="AS116" s="133"/>
      <c r="AU116" s="133"/>
      <c r="AV116" s="133"/>
      <c r="AW116" s="133"/>
      <c r="AX116" s="133"/>
      <c r="AZ116" s="133"/>
      <c r="BA116" s="133"/>
      <c r="BB116" s="133"/>
      <c r="BC116" s="133"/>
      <c r="BE116" s="133"/>
      <c r="BF116" s="133"/>
      <c r="BG116" s="133"/>
      <c r="BH116" s="133"/>
      <c r="BI116" s="133"/>
      <c r="FF116" s="302"/>
      <c r="FG116" s="302"/>
      <c r="FH116" s="302"/>
      <c r="FI116" s="302"/>
    </row>
    <row r="117" spans="24:165" ht="15" customHeight="1">
      <c r="X117" s="133"/>
      <c r="Y117" s="133"/>
      <c r="AA117" s="133"/>
      <c r="AB117" s="133"/>
      <c r="AC117" s="133"/>
      <c r="AD117" s="133"/>
      <c r="AF117" s="133"/>
      <c r="AG117" s="133"/>
      <c r="AI117" s="133"/>
      <c r="AK117" s="133"/>
      <c r="AL117" s="133"/>
      <c r="AM117" s="133"/>
      <c r="AN117" s="133"/>
      <c r="AP117" s="133"/>
      <c r="AQ117" s="133"/>
      <c r="AR117" s="133"/>
      <c r="AS117" s="133"/>
      <c r="AU117" s="133"/>
      <c r="AV117" s="133"/>
      <c r="AW117" s="133"/>
      <c r="AX117" s="133"/>
      <c r="AZ117" s="133"/>
      <c r="BA117" s="133"/>
      <c r="BB117" s="133"/>
      <c r="BC117" s="133"/>
      <c r="BE117" s="133"/>
      <c r="BF117" s="133"/>
      <c r="BG117" s="133"/>
      <c r="BH117" s="133"/>
      <c r="BI117" s="133"/>
      <c r="FF117" s="302"/>
      <c r="FG117" s="302"/>
      <c r="FH117" s="302"/>
      <c r="FI117" s="302"/>
    </row>
    <row r="118" spans="24:165" ht="15" customHeight="1">
      <c r="X118" s="133"/>
      <c r="Y118" s="133"/>
      <c r="AA118" s="133"/>
      <c r="AB118" s="133"/>
      <c r="AC118" s="133"/>
      <c r="AD118" s="133"/>
      <c r="AF118" s="133"/>
      <c r="AG118" s="133"/>
      <c r="AI118" s="133"/>
      <c r="AK118" s="133"/>
      <c r="AL118" s="133"/>
      <c r="AM118" s="133"/>
      <c r="AN118" s="133"/>
      <c r="AP118" s="133"/>
      <c r="AQ118" s="133"/>
      <c r="AR118" s="133"/>
      <c r="AS118" s="133"/>
      <c r="AU118" s="133"/>
      <c r="AV118" s="133"/>
      <c r="AW118" s="133"/>
      <c r="AX118" s="133"/>
      <c r="AZ118" s="133"/>
      <c r="BA118" s="133"/>
      <c r="BB118" s="133"/>
      <c r="BC118" s="133"/>
      <c r="BE118" s="133"/>
      <c r="BF118" s="133"/>
      <c r="BG118" s="133"/>
      <c r="BH118" s="133"/>
      <c r="BI118" s="133"/>
      <c r="FF118" s="302"/>
      <c r="FG118" s="302"/>
      <c r="FH118" s="302"/>
      <c r="FI118" s="302"/>
    </row>
    <row r="119" spans="24:61" ht="15" customHeight="1">
      <c r="X119" s="133"/>
      <c r="Y119" s="133"/>
      <c r="AA119" s="133"/>
      <c r="AB119" s="133"/>
      <c r="AC119" s="133"/>
      <c r="AD119" s="133"/>
      <c r="AF119" s="133"/>
      <c r="AG119" s="133"/>
      <c r="AI119" s="133"/>
      <c r="AK119" s="133"/>
      <c r="AL119" s="133"/>
      <c r="AM119" s="133"/>
      <c r="AN119" s="133"/>
      <c r="AP119" s="133"/>
      <c r="AQ119" s="133"/>
      <c r="AR119" s="133"/>
      <c r="AS119" s="133"/>
      <c r="AU119" s="133"/>
      <c r="AV119" s="133"/>
      <c r="AW119" s="133"/>
      <c r="AX119" s="133"/>
      <c r="AZ119" s="133"/>
      <c r="BA119" s="133"/>
      <c r="BB119" s="133"/>
      <c r="BC119" s="133"/>
      <c r="BE119" s="133"/>
      <c r="BF119" s="133"/>
      <c r="BG119" s="133"/>
      <c r="BH119" s="133"/>
      <c r="BI119" s="133"/>
    </row>
    <row r="120" spans="24:61" ht="15" customHeight="1">
      <c r="X120" s="133"/>
      <c r="Y120" s="133"/>
      <c r="AA120" s="133"/>
      <c r="AB120" s="133"/>
      <c r="AC120" s="133"/>
      <c r="AD120" s="133"/>
      <c r="AF120" s="133"/>
      <c r="AG120" s="133"/>
      <c r="AI120" s="133"/>
      <c r="AK120" s="133"/>
      <c r="AL120" s="133"/>
      <c r="AM120" s="133"/>
      <c r="AN120" s="133"/>
      <c r="AP120" s="133"/>
      <c r="AQ120" s="133"/>
      <c r="AR120" s="133"/>
      <c r="AS120" s="133"/>
      <c r="AU120" s="133"/>
      <c r="AV120" s="133"/>
      <c r="AW120" s="133"/>
      <c r="AX120" s="133"/>
      <c r="AZ120" s="133"/>
      <c r="BA120" s="133"/>
      <c r="BB120" s="133"/>
      <c r="BC120" s="133"/>
      <c r="BE120" s="133"/>
      <c r="BF120" s="133"/>
      <c r="BG120" s="133"/>
      <c r="BH120" s="133"/>
      <c r="BI120" s="133"/>
    </row>
    <row r="121" spans="24:61" ht="15" customHeight="1">
      <c r="X121" s="133"/>
      <c r="Y121" s="133"/>
      <c r="AA121" s="133"/>
      <c r="AB121" s="133"/>
      <c r="AC121" s="133"/>
      <c r="AD121" s="133"/>
      <c r="AF121" s="133"/>
      <c r="AG121" s="133"/>
      <c r="AI121" s="133"/>
      <c r="AK121" s="133"/>
      <c r="AL121" s="133"/>
      <c r="AM121" s="133"/>
      <c r="AN121" s="133"/>
      <c r="AP121" s="133"/>
      <c r="AQ121" s="133"/>
      <c r="AR121" s="133"/>
      <c r="AS121" s="133"/>
      <c r="AU121" s="133"/>
      <c r="AV121" s="133"/>
      <c r="AW121" s="133"/>
      <c r="AX121" s="133"/>
      <c r="AZ121" s="133"/>
      <c r="BA121" s="133"/>
      <c r="BB121" s="133"/>
      <c r="BC121" s="133"/>
      <c r="BE121" s="133"/>
      <c r="BF121" s="133"/>
      <c r="BG121" s="133"/>
      <c r="BH121" s="133"/>
      <c r="BI121" s="133"/>
    </row>
    <row r="122" spans="24:61" ht="15" customHeight="1">
      <c r="X122" s="133"/>
      <c r="Y122" s="133"/>
      <c r="AA122" s="133"/>
      <c r="AB122" s="133"/>
      <c r="AC122" s="133"/>
      <c r="AD122" s="133"/>
      <c r="AF122" s="133"/>
      <c r="AG122" s="133"/>
      <c r="AI122" s="133"/>
      <c r="AK122" s="133"/>
      <c r="AL122" s="133"/>
      <c r="AM122" s="133"/>
      <c r="AN122" s="133"/>
      <c r="AP122" s="133"/>
      <c r="AQ122" s="133"/>
      <c r="AR122" s="133"/>
      <c r="AS122" s="133"/>
      <c r="AU122" s="133"/>
      <c r="AV122" s="133"/>
      <c r="AW122" s="133"/>
      <c r="AX122" s="133"/>
      <c r="AZ122" s="133"/>
      <c r="BA122" s="133"/>
      <c r="BB122" s="133"/>
      <c r="BC122" s="133"/>
      <c r="BE122" s="133"/>
      <c r="BF122" s="133"/>
      <c r="BG122" s="133"/>
      <c r="BH122" s="133"/>
      <c r="BI122" s="133"/>
    </row>
    <row r="123" spans="24:61" ht="15" customHeight="1">
      <c r="X123" s="133"/>
      <c r="Y123" s="133"/>
      <c r="AA123" s="133"/>
      <c r="AB123" s="133"/>
      <c r="AC123" s="133"/>
      <c r="AD123" s="133"/>
      <c r="AF123" s="133"/>
      <c r="AG123" s="133"/>
      <c r="AI123" s="133"/>
      <c r="AK123" s="133"/>
      <c r="AL123" s="133"/>
      <c r="AM123" s="133"/>
      <c r="AN123" s="133"/>
      <c r="AP123" s="133"/>
      <c r="AQ123" s="133"/>
      <c r="AR123" s="133"/>
      <c r="AS123" s="133"/>
      <c r="AU123" s="133"/>
      <c r="AV123" s="133"/>
      <c r="AW123" s="133"/>
      <c r="AX123" s="133"/>
      <c r="AZ123" s="133"/>
      <c r="BA123" s="133"/>
      <c r="BB123" s="133"/>
      <c r="BC123" s="133"/>
      <c r="BE123" s="133"/>
      <c r="BF123" s="133"/>
      <c r="BG123" s="133"/>
      <c r="BH123" s="133"/>
      <c r="BI123" s="133"/>
    </row>
    <row r="124" spans="24:61" ht="15" customHeight="1">
      <c r="X124" s="133"/>
      <c r="Y124" s="133"/>
      <c r="AA124" s="133"/>
      <c r="AB124" s="133"/>
      <c r="AC124" s="133"/>
      <c r="AD124" s="133"/>
      <c r="AF124" s="133"/>
      <c r="AG124" s="133"/>
      <c r="AI124" s="133"/>
      <c r="AK124" s="133"/>
      <c r="AL124" s="133"/>
      <c r="AM124" s="133"/>
      <c r="AN124" s="133"/>
      <c r="AP124" s="133"/>
      <c r="AQ124" s="133"/>
      <c r="AR124" s="133"/>
      <c r="AS124" s="133"/>
      <c r="AU124" s="133"/>
      <c r="AV124" s="133"/>
      <c r="AW124" s="133"/>
      <c r="AX124" s="133"/>
      <c r="AZ124" s="133"/>
      <c r="BA124" s="133"/>
      <c r="BB124" s="133"/>
      <c r="BC124" s="133"/>
      <c r="BE124" s="133"/>
      <c r="BF124" s="133"/>
      <c r="BG124" s="133"/>
      <c r="BH124" s="133"/>
      <c r="BI124" s="133"/>
    </row>
    <row r="125" spans="24:61" ht="15" customHeight="1">
      <c r="X125" s="133"/>
      <c r="Y125" s="133"/>
      <c r="AA125" s="133"/>
      <c r="AB125" s="133"/>
      <c r="AC125" s="133"/>
      <c r="AD125" s="133"/>
      <c r="AF125" s="133"/>
      <c r="AG125" s="133"/>
      <c r="AI125" s="133"/>
      <c r="AK125" s="133"/>
      <c r="AL125" s="133"/>
      <c r="AM125" s="133"/>
      <c r="AN125" s="133"/>
      <c r="AP125" s="133"/>
      <c r="AQ125" s="133"/>
      <c r="AR125" s="133"/>
      <c r="AS125" s="133"/>
      <c r="AU125" s="133"/>
      <c r="AV125" s="133"/>
      <c r="AW125" s="133"/>
      <c r="AX125" s="133"/>
      <c r="AZ125" s="133"/>
      <c r="BA125" s="133"/>
      <c r="BB125" s="133"/>
      <c r="BC125" s="133"/>
      <c r="BE125" s="133"/>
      <c r="BF125" s="133"/>
      <c r="BG125" s="133"/>
      <c r="BH125" s="133"/>
      <c r="BI125" s="133"/>
    </row>
    <row r="126" spans="24:61" ht="15" customHeight="1">
      <c r="X126" s="133"/>
      <c r="Y126" s="133"/>
      <c r="AA126" s="133"/>
      <c r="AB126" s="133"/>
      <c r="AC126" s="133"/>
      <c r="AD126" s="133"/>
      <c r="AK126" s="133"/>
      <c r="AL126" s="133"/>
      <c r="AM126" s="133"/>
      <c r="AN126" s="133"/>
      <c r="AP126" s="133"/>
      <c r="AQ126" s="133"/>
      <c r="AR126" s="133"/>
      <c r="AS126" s="133"/>
      <c r="AU126" s="133"/>
      <c r="AV126" s="133"/>
      <c r="AW126" s="133"/>
      <c r="AX126" s="133"/>
      <c r="AZ126" s="133"/>
      <c r="BA126" s="133"/>
      <c r="BB126" s="133"/>
      <c r="BC126" s="133"/>
      <c r="BE126" s="133"/>
      <c r="BF126" s="133"/>
      <c r="BG126" s="133"/>
      <c r="BH126" s="133"/>
      <c r="BI126" s="133"/>
    </row>
    <row r="127" spans="24:61" ht="15" customHeight="1">
      <c r="X127" s="133"/>
      <c r="Y127" s="133"/>
      <c r="AA127" s="133"/>
      <c r="AB127" s="133"/>
      <c r="AC127" s="133"/>
      <c r="AD127" s="133"/>
      <c r="AK127" s="133"/>
      <c r="AL127" s="133"/>
      <c r="AM127" s="133"/>
      <c r="AN127" s="133"/>
      <c r="AP127" s="133"/>
      <c r="AQ127" s="133"/>
      <c r="AR127" s="133"/>
      <c r="AS127" s="133"/>
      <c r="AU127" s="133"/>
      <c r="AV127" s="133"/>
      <c r="AW127" s="133"/>
      <c r="AX127" s="133"/>
      <c r="BE127" s="133"/>
      <c r="BF127" s="133"/>
      <c r="BG127" s="133"/>
      <c r="BH127" s="133"/>
      <c r="BI127" s="133"/>
    </row>
    <row r="128" spans="24:61" ht="15" customHeight="1">
      <c r="X128" s="133"/>
      <c r="Y128" s="133"/>
      <c r="AA128" s="133"/>
      <c r="AB128" s="133"/>
      <c r="AC128" s="133"/>
      <c r="AD128" s="133"/>
      <c r="AK128" s="133"/>
      <c r="AL128" s="133"/>
      <c r="AM128" s="133"/>
      <c r="AN128" s="133"/>
      <c r="AP128" s="133"/>
      <c r="AQ128" s="133"/>
      <c r="AR128" s="133"/>
      <c r="AS128" s="133"/>
      <c r="AU128" s="133"/>
      <c r="AV128" s="133"/>
      <c r="AW128" s="133"/>
      <c r="AX128" s="133"/>
      <c r="BI128" s="133"/>
    </row>
    <row r="129" spans="24:50" ht="15" customHeight="1">
      <c r="X129" s="133"/>
      <c r="Y129" s="133"/>
      <c r="AA129" s="133"/>
      <c r="AB129" s="133"/>
      <c r="AC129" s="133"/>
      <c r="AD129" s="133"/>
      <c r="AK129" s="133"/>
      <c r="AL129" s="133"/>
      <c r="AM129" s="133"/>
      <c r="AN129" s="133"/>
      <c r="AP129" s="133"/>
      <c r="AQ129" s="133"/>
      <c r="AR129" s="133"/>
      <c r="AS129" s="133"/>
      <c r="AU129" s="133"/>
      <c r="AV129" s="133"/>
      <c r="AW129" s="133"/>
      <c r="AX129" s="133"/>
    </row>
    <row r="130" spans="24:50" ht="15" customHeight="1">
      <c r="X130" s="133"/>
      <c r="Y130" s="133"/>
      <c r="AA130" s="133"/>
      <c r="AB130" s="133"/>
      <c r="AC130" s="133"/>
      <c r="AD130" s="133"/>
      <c r="AK130" s="133"/>
      <c r="AL130" s="133"/>
      <c r="AM130" s="133"/>
      <c r="AN130" s="133"/>
      <c r="AU130" s="133"/>
      <c r="AV130" s="133"/>
      <c r="AW130" s="133"/>
      <c r="AX130" s="133"/>
    </row>
    <row r="131" spans="24:50" ht="15" customHeight="1">
      <c r="X131" s="133"/>
      <c r="Y131" s="133"/>
      <c r="AA131" s="133"/>
      <c r="AB131" s="133"/>
      <c r="AC131" s="133"/>
      <c r="AD131" s="133"/>
      <c r="AK131" s="133"/>
      <c r="AL131" s="133"/>
      <c r="AM131" s="133"/>
      <c r="AN131" s="133"/>
      <c r="AU131" s="133"/>
      <c r="AV131" s="133"/>
      <c r="AW131" s="133"/>
      <c r="AX131" s="133"/>
    </row>
    <row r="132" spans="24:50" ht="15" customHeight="1">
      <c r="X132" s="133"/>
      <c r="Y132" s="133"/>
      <c r="AA132" s="133"/>
      <c r="AB132" s="133"/>
      <c r="AC132" s="133"/>
      <c r="AD132" s="133"/>
      <c r="AU132" s="133"/>
      <c r="AV132" s="133"/>
      <c r="AW132" s="133"/>
      <c r="AX132" s="133"/>
    </row>
    <row r="133" spans="24:50" ht="15" customHeight="1">
      <c r="X133" s="133"/>
      <c r="Y133" s="133"/>
      <c r="AA133" s="133"/>
      <c r="AB133" s="133"/>
      <c r="AC133" s="133"/>
      <c r="AD133" s="133"/>
      <c r="AU133" s="133"/>
      <c r="AV133" s="133"/>
      <c r="AW133" s="133"/>
      <c r="AX133" s="133"/>
    </row>
    <row r="134" spans="24:50" ht="15" customHeight="1">
      <c r="X134" s="133"/>
      <c r="Y134" s="133"/>
      <c r="AA134" s="133"/>
      <c r="AB134" s="133"/>
      <c r="AC134" s="133"/>
      <c r="AD134" s="133"/>
      <c r="AU134" s="133"/>
      <c r="AV134" s="133"/>
      <c r="AW134" s="133"/>
      <c r="AX134" s="133"/>
    </row>
    <row r="135" spans="24:50" ht="15" customHeight="1">
      <c r="X135" s="133"/>
      <c r="Y135" s="133"/>
      <c r="AA135" s="133"/>
      <c r="AB135" s="133"/>
      <c r="AC135" s="133"/>
      <c r="AD135" s="133"/>
      <c r="AU135" s="133"/>
      <c r="AV135" s="133"/>
      <c r="AW135" s="133"/>
      <c r="AX135" s="133"/>
    </row>
    <row r="136" spans="24:30" ht="15" customHeight="1">
      <c r="X136" s="133"/>
      <c r="Y136" s="133"/>
      <c r="AA136" s="133"/>
      <c r="AB136" s="133"/>
      <c r="AC136" s="133"/>
      <c r="AD136" s="133"/>
    </row>
    <row r="137" spans="24:30" ht="15" customHeight="1">
      <c r="X137" s="133"/>
      <c r="Y137" s="133"/>
      <c r="AA137" s="133"/>
      <c r="AB137" s="133"/>
      <c r="AC137" s="133"/>
      <c r="AD137" s="133"/>
    </row>
    <row r="138" spans="27:30" ht="15" customHeight="1">
      <c r="AA138" s="133"/>
      <c r="AB138" s="133"/>
      <c r="AC138" s="133"/>
      <c r="AD138" s="133"/>
    </row>
    <row r="139" spans="27:30" ht="15" customHeight="1">
      <c r="AA139" s="133"/>
      <c r="AB139" s="133"/>
      <c r="AC139" s="133"/>
      <c r="AD139" s="133"/>
    </row>
    <row r="140" spans="27:30" ht="15" customHeight="1">
      <c r="AA140" s="133"/>
      <c r="AB140" s="133"/>
      <c r="AC140" s="133"/>
      <c r="AD140" s="133"/>
    </row>
    <row r="141" spans="27:30" ht="15" customHeight="1">
      <c r="AA141" s="133"/>
      <c r="AB141" s="133"/>
      <c r="AC141" s="133"/>
      <c r="AD141" s="133"/>
    </row>
    <row r="142" spans="27:30" ht="15" customHeight="1">
      <c r="AA142" s="133"/>
      <c r="AB142" s="133"/>
      <c r="AC142" s="133"/>
      <c r="AD142" s="133"/>
    </row>
    <row r="143" spans="27:30" ht="15" customHeight="1">
      <c r="AA143" s="133"/>
      <c r="AB143" s="133"/>
      <c r="AC143" s="133"/>
      <c r="AD143" s="133"/>
    </row>
    <row r="144" spans="27:30" ht="15" customHeight="1">
      <c r="AA144" s="133"/>
      <c r="AB144" s="133"/>
      <c r="AC144" s="133"/>
      <c r="AD144" s="133"/>
    </row>
    <row r="145" spans="27:30" ht="15" customHeight="1">
      <c r="AA145" s="133"/>
      <c r="AB145" s="133"/>
      <c r="AC145" s="133"/>
      <c r="AD145" s="133"/>
    </row>
    <row r="146" spans="27:30" ht="15" customHeight="1">
      <c r="AA146" s="133"/>
      <c r="AB146" s="133"/>
      <c r="AC146" s="133"/>
      <c r="AD146" s="133"/>
    </row>
    <row r="147" spans="27:30" ht="15" customHeight="1">
      <c r="AA147" s="133"/>
      <c r="AB147" s="133"/>
      <c r="AC147" s="133"/>
      <c r="AD147" s="133"/>
    </row>
    <row r="148" spans="27:30" ht="15" customHeight="1">
      <c r="AA148" s="133"/>
      <c r="AB148" s="133"/>
      <c r="AC148" s="133"/>
      <c r="AD148" s="133"/>
    </row>
    <row r="149" spans="27:30" ht="15" customHeight="1">
      <c r="AA149" s="133"/>
      <c r="AB149" s="133"/>
      <c r="AC149" s="133"/>
      <c r="AD149" s="133"/>
    </row>
    <row r="150" spans="27:30" ht="15" customHeight="1">
      <c r="AA150" s="133"/>
      <c r="AB150" s="133"/>
      <c r="AC150" s="133"/>
      <c r="AD150" s="133"/>
    </row>
    <row r="151" spans="27:30" ht="15" customHeight="1">
      <c r="AA151" s="133"/>
      <c r="AB151" s="133"/>
      <c r="AC151" s="133"/>
      <c r="AD151" s="133"/>
    </row>
    <row r="152" spans="27:30" ht="15" customHeight="1">
      <c r="AA152" s="133"/>
      <c r="AB152" s="133"/>
      <c r="AC152" s="133"/>
      <c r="AD152" s="133"/>
    </row>
  </sheetData>
  <conditionalFormatting sqref="GF65:IC65">
    <cfRule type="cellIs" priority="1" dxfId="0" operator="equal" stopIfTrue="1">
      <formula>"OK"</formula>
    </cfRule>
    <cfRule type="cellIs" priority="2" dxfId="1" operator="equal" stopIfTrue="1">
      <formula>"ERROR"</formula>
    </cfRule>
  </conditionalFormatting>
  <conditionalFormatting sqref="T29">
    <cfRule type="cellIs" priority="3" dxfId="1" operator="notEqual" stopIfTrue="1">
      <formula>0</formula>
    </cfRule>
  </conditionalFormatting>
  <conditionalFormatting sqref="A1:IV1">
    <cfRule type="cellIs" priority="4" dxfId="2" operator="notEqual" stopIfTrue="1">
      <formula>0</formula>
    </cfRule>
  </conditionalFormatting>
  <printOptions horizontalCentered="1"/>
  <pageMargins left="0.25" right="0.75" top="0.56" bottom="0.66" header="0.2" footer="0.16"/>
  <pageSetup fitToHeight="1" fitToWidth="1" horizontalDpi="600" verticalDpi="600" orientation="landscape" scale="57" r:id="rId3"/>
  <colBreaks count="4" manualBreakCount="4">
    <brk id="196" max="65535" man="1"/>
    <brk id="207" max="65535" man="1"/>
    <brk id="219" min="1" max="59" man="1"/>
    <brk id="232" min="1" max="5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No Name</cp:lastModifiedBy>
  <cp:lastPrinted>2008-09-04T18:07:18Z</cp:lastPrinted>
  <dcterms:created xsi:type="dcterms:W3CDTF">1997-10-13T22:59:17Z</dcterms:created>
  <dcterms:modified xsi:type="dcterms:W3CDTF">2008-09-09T00:03:21Z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2008-09-09T00:00:00Z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