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M:\2020\2020 WA Elec and Gas GRC\Adjustments\3.11-3.15 Pro Forma 2020 Major Capital Additions\"/>
    </mc:Choice>
  </mc:AlternateContent>
  <xr:revisionPtr revIDLastSave="0" documentId="13_ncr:1_{16D6C847-7E3C-4B5F-8549-38EB1D7C4E13}" xr6:coauthVersionLast="44" xr6:coauthVersionMax="44" xr10:uidLastSave="{00000000-0000-0000-0000-000000000000}"/>
  <bookViews>
    <workbookView xWindow="28680" yWindow="-120" windowWidth="29040" windowHeight="15840" xr2:uid="{E17B583A-EA4F-42E8-BD93-54249AD62347}"/>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SUMMARY'!$A$2:$H$33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0" r:id="rId15"/>
    <pivotCache cacheId="1" r:id="rId16"/>
    <pivotCache cacheId="2" r:id="rId17"/>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10" i="42" l="1"/>
  <c r="AS10" i="42"/>
  <c r="AR10" i="42"/>
  <c r="AQ10" i="42"/>
  <c r="AP10" i="42"/>
  <c r="AD10" i="42"/>
  <c r="AH10" i="42"/>
  <c r="AG10" i="42"/>
  <c r="AF10" i="42"/>
  <c r="AE10" i="42"/>
  <c r="AT14" i="42"/>
  <c r="AS14" i="42"/>
  <c r="AR14" i="42"/>
  <c r="AQ14" i="42"/>
  <c r="AP14" i="42"/>
  <c r="AH14" i="42"/>
  <c r="AG14" i="42"/>
  <c r="AF14" i="42"/>
  <c r="AE14" i="42"/>
  <c r="AD14" i="42"/>
  <c r="D9" i="42" l="1"/>
  <c r="Y16" i="45" l="1"/>
  <c r="X16" i="45"/>
  <c r="CV240" i="25"/>
  <c r="CU240" i="25"/>
  <c r="CT240" i="25"/>
  <c r="CS240" i="25"/>
  <c r="CR240" i="25"/>
  <c r="CQ240" i="25"/>
  <c r="CP240" i="25"/>
  <c r="CO240" i="25"/>
  <c r="CN240" i="25"/>
  <c r="CM240" i="25"/>
  <c r="CL240" i="25"/>
  <c r="CK240" i="25"/>
  <c r="CJ240" i="25"/>
  <c r="CV239" i="25"/>
  <c r="CU239" i="25"/>
  <c r="CT239" i="25"/>
  <c r="CS239" i="25"/>
  <c r="CR239" i="25"/>
  <c r="CQ239" i="25"/>
  <c r="CP239" i="25"/>
  <c r="CO239" i="25"/>
  <c r="CN239" i="25"/>
  <c r="CM239" i="25"/>
  <c r="CL239" i="25"/>
  <c r="CK239" i="25"/>
  <c r="CJ239" i="25"/>
  <c r="CV238" i="25"/>
  <c r="CU238" i="25"/>
  <c r="CT238" i="25"/>
  <c r="CS238" i="25"/>
  <c r="CR238" i="25"/>
  <c r="CQ238" i="25"/>
  <c r="CP238" i="25"/>
  <c r="CO238" i="25"/>
  <c r="CN238" i="25"/>
  <c r="CM238" i="25"/>
  <c r="CL238" i="25"/>
  <c r="CK238" i="25"/>
  <c r="CJ238" i="25"/>
  <c r="CV228" i="25"/>
  <c r="CU228" i="25"/>
  <c r="CT228" i="25"/>
  <c r="CS228" i="25"/>
  <c r="CR228" i="25"/>
  <c r="CQ228" i="25"/>
  <c r="CP228" i="25"/>
  <c r="CO228" i="25"/>
  <c r="CN228" i="25"/>
  <c r="CM228" i="25"/>
  <c r="CL228" i="25"/>
  <c r="CK228" i="25"/>
  <c r="CJ228" i="25"/>
  <c r="CV227" i="25"/>
  <c r="CU227" i="25"/>
  <c r="CT227" i="25"/>
  <c r="CS227" i="25"/>
  <c r="CR227" i="25"/>
  <c r="CQ227" i="25"/>
  <c r="CP227" i="25"/>
  <c r="CO227" i="25"/>
  <c r="CN227" i="25"/>
  <c r="CM227" i="25"/>
  <c r="CL227" i="25"/>
  <c r="CK227" i="25"/>
  <c r="CJ227" i="25"/>
  <c r="CV215" i="25"/>
  <c r="CU215" i="25"/>
  <c r="CT215" i="25"/>
  <c r="CS215" i="25"/>
  <c r="CR215" i="25"/>
  <c r="CQ215" i="25"/>
  <c r="CP215" i="25"/>
  <c r="CO215" i="25"/>
  <c r="CN215" i="25"/>
  <c r="CM215" i="25"/>
  <c r="CL215" i="25"/>
  <c r="CK215" i="25"/>
  <c r="CJ215" i="25"/>
  <c r="CV213" i="25"/>
  <c r="CU213" i="25"/>
  <c r="CT213" i="25"/>
  <c r="CS213" i="25"/>
  <c r="CR213" i="25"/>
  <c r="CQ213" i="25"/>
  <c r="CP213" i="25"/>
  <c r="CO213" i="25"/>
  <c r="CN213" i="25"/>
  <c r="CM213" i="25"/>
  <c r="CL213" i="25"/>
  <c r="CK213" i="25"/>
  <c r="CJ213" i="25"/>
  <c r="CV210" i="25"/>
  <c r="CU210" i="25"/>
  <c r="CT210" i="25"/>
  <c r="CS210" i="25"/>
  <c r="CR210" i="25"/>
  <c r="CQ210" i="25"/>
  <c r="CP210" i="25"/>
  <c r="CO210" i="25"/>
  <c r="CN210" i="25"/>
  <c r="CM210" i="25"/>
  <c r="CL210" i="25"/>
  <c r="CK210" i="25"/>
  <c r="CJ210" i="25"/>
  <c r="CH240" i="25"/>
  <c r="CG240" i="25"/>
  <c r="CF240" i="25"/>
  <c r="CE240" i="25"/>
  <c r="CD240" i="25"/>
  <c r="CC240" i="25"/>
  <c r="CB240" i="25"/>
  <c r="CA240" i="25"/>
  <c r="BZ240" i="25"/>
  <c r="BY240" i="25"/>
  <c r="BX240" i="25"/>
  <c r="BW240" i="25"/>
  <c r="BV240" i="25"/>
  <c r="CH239" i="25"/>
  <c r="CG239" i="25"/>
  <c r="CF239" i="25"/>
  <c r="CE239" i="25"/>
  <c r="CD239" i="25"/>
  <c r="CC239" i="25"/>
  <c r="CB239" i="25"/>
  <c r="CA239" i="25"/>
  <c r="BZ239" i="25"/>
  <c r="BY239" i="25"/>
  <c r="BX239" i="25"/>
  <c r="BW239" i="25"/>
  <c r="BV239" i="25"/>
  <c r="CH238" i="25"/>
  <c r="CG238" i="25"/>
  <c r="CF238" i="25"/>
  <c r="CE238" i="25"/>
  <c r="CD238" i="25"/>
  <c r="CC238" i="25"/>
  <c r="CB238" i="25"/>
  <c r="CA238" i="25"/>
  <c r="BZ238" i="25"/>
  <c r="BY238" i="25"/>
  <c r="BX238" i="25"/>
  <c r="BW238" i="25"/>
  <c r="BV238" i="25"/>
  <c r="CH228" i="25"/>
  <c r="CG228" i="25"/>
  <c r="CF228" i="25"/>
  <c r="CE228" i="25"/>
  <c r="CD228" i="25"/>
  <c r="CC228" i="25"/>
  <c r="CB228" i="25"/>
  <c r="CA228" i="25"/>
  <c r="BZ228" i="25"/>
  <c r="BY228" i="25"/>
  <c r="BX228" i="25"/>
  <c r="BW228" i="25"/>
  <c r="BV228" i="25"/>
  <c r="CH227" i="25"/>
  <c r="CG227" i="25"/>
  <c r="CF227" i="25"/>
  <c r="CE227" i="25"/>
  <c r="CD227" i="25"/>
  <c r="CC227" i="25"/>
  <c r="CB227" i="25"/>
  <c r="CA227" i="25"/>
  <c r="BZ227" i="25"/>
  <c r="BY227" i="25"/>
  <c r="BX227" i="25"/>
  <c r="BW227" i="25"/>
  <c r="BV227" i="25"/>
  <c r="CH215" i="25"/>
  <c r="CG215" i="25"/>
  <c r="CF215" i="25"/>
  <c r="CE215" i="25"/>
  <c r="CD215" i="25"/>
  <c r="CC215" i="25"/>
  <c r="CB215" i="25"/>
  <c r="CA215" i="25"/>
  <c r="BZ215" i="25"/>
  <c r="BY215" i="25"/>
  <c r="BX215" i="25"/>
  <c r="BW215" i="25"/>
  <c r="BV215" i="25"/>
  <c r="CH213" i="25"/>
  <c r="CG213" i="25"/>
  <c r="CF213" i="25"/>
  <c r="CE213" i="25"/>
  <c r="CD213" i="25"/>
  <c r="CC213" i="25"/>
  <c r="CB213" i="25"/>
  <c r="CA213" i="25"/>
  <c r="BZ213" i="25"/>
  <c r="BY213" i="25"/>
  <c r="BX213" i="25"/>
  <c r="BW213" i="25"/>
  <c r="BV213" i="25"/>
  <c r="CH210" i="25"/>
  <c r="CG210" i="25"/>
  <c r="CF210" i="25"/>
  <c r="CE210" i="25"/>
  <c r="CD210" i="25"/>
  <c r="CC210" i="25"/>
  <c r="CB210" i="25"/>
  <c r="CA210" i="25"/>
  <c r="BZ210" i="25"/>
  <c r="BY210" i="25"/>
  <c r="BX210" i="25"/>
  <c r="BW210" i="25"/>
  <c r="BV210" i="25"/>
  <c r="BT240" i="25"/>
  <c r="BS240" i="25"/>
  <c r="BR240" i="25"/>
  <c r="BQ240" i="25"/>
  <c r="BP240" i="25"/>
  <c r="BO240" i="25"/>
  <c r="BN240" i="25"/>
  <c r="BM240" i="25"/>
  <c r="BL240" i="25"/>
  <c r="BK240" i="25"/>
  <c r="BJ240" i="25"/>
  <c r="BI240" i="25"/>
  <c r="BH240" i="25"/>
  <c r="BT239" i="25"/>
  <c r="BS239" i="25"/>
  <c r="BR239" i="25"/>
  <c r="BQ239" i="25"/>
  <c r="BP239" i="25"/>
  <c r="BO239" i="25"/>
  <c r="BN239" i="25"/>
  <c r="BM239" i="25"/>
  <c r="BL239" i="25"/>
  <c r="BK239" i="25"/>
  <c r="BJ239" i="25"/>
  <c r="BI239" i="25"/>
  <c r="BH239" i="25"/>
  <c r="BT238" i="25"/>
  <c r="BS238" i="25"/>
  <c r="BR238" i="25"/>
  <c r="BQ238" i="25"/>
  <c r="BP238" i="25"/>
  <c r="BO238" i="25"/>
  <c r="BN238" i="25"/>
  <c r="BM238" i="25"/>
  <c r="BL238" i="25"/>
  <c r="BK238" i="25"/>
  <c r="BJ238" i="25"/>
  <c r="BI238" i="25"/>
  <c r="BH238" i="25"/>
  <c r="BT228" i="25"/>
  <c r="BS228" i="25"/>
  <c r="BR228" i="25"/>
  <c r="BQ228" i="25"/>
  <c r="BP228" i="25"/>
  <c r="BO228" i="25"/>
  <c r="BN228" i="25"/>
  <c r="BM228" i="25"/>
  <c r="BL228" i="25"/>
  <c r="BK228" i="25"/>
  <c r="BJ228" i="25"/>
  <c r="BI228" i="25"/>
  <c r="BH228" i="25"/>
  <c r="BT227" i="25"/>
  <c r="BS227" i="25"/>
  <c r="BR227" i="25"/>
  <c r="BQ227" i="25"/>
  <c r="BP227" i="25"/>
  <c r="BO227" i="25"/>
  <c r="BN227" i="25"/>
  <c r="BM227" i="25"/>
  <c r="BL227" i="25"/>
  <c r="BK227" i="25"/>
  <c r="BJ227" i="25"/>
  <c r="BI227" i="25"/>
  <c r="BH227" i="25"/>
  <c r="BT215" i="25"/>
  <c r="BS215" i="25"/>
  <c r="BR215" i="25"/>
  <c r="BQ215" i="25"/>
  <c r="BP215" i="25"/>
  <c r="BO215" i="25"/>
  <c r="BN215" i="25"/>
  <c r="BM215" i="25"/>
  <c r="BL215" i="25"/>
  <c r="BK215" i="25"/>
  <c r="BJ215" i="25"/>
  <c r="BI215" i="25"/>
  <c r="BH215" i="25"/>
  <c r="BT213" i="25"/>
  <c r="BS213" i="25"/>
  <c r="BR213" i="25"/>
  <c r="BQ213" i="25"/>
  <c r="BP213" i="25"/>
  <c r="BO213" i="25"/>
  <c r="BN213" i="25"/>
  <c r="BM213" i="25"/>
  <c r="BL213" i="25"/>
  <c r="BK213" i="25"/>
  <c r="BJ213" i="25"/>
  <c r="BI213" i="25"/>
  <c r="BH213" i="25"/>
  <c r="BT210" i="25"/>
  <c r="BS210" i="25"/>
  <c r="BR210" i="25"/>
  <c r="BQ210" i="25"/>
  <c r="BP210" i="25"/>
  <c r="BO210" i="25"/>
  <c r="BN210" i="25"/>
  <c r="BM210" i="25"/>
  <c r="BL210" i="25"/>
  <c r="BK210" i="25"/>
  <c r="BJ210" i="25"/>
  <c r="BI210" i="25"/>
  <c r="BH210" i="25"/>
  <c r="BF240" i="25"/>
  <c r="BE240" i="25"/>
  <c r="BD240" i="25"/>
  <c r="BC240" i="25"/>
  <c r="BB240" i="25"/>
  <c r="BA240" i="25"/>
  <c r="AZ240" i="25"/>
  <c r="AY240" i="25"/>
  <c r="AX240" i="25"/>
  <c r="AW240" i="25"/>
  <c r="AV240" i="25"/>
  <c r="AU240" i="25"/>
  <c r="AT240" i="25"/>
  <c r="BF239" i="25"/>
  <c r="BE239" i="25"/>
  <c r="BD239" i="25"/>
  <c r="BC239" i="25"/>
  <c r="BB239" i="25"/>
  <c r="BA239" i="25"/>
  <c r="AZ239" i="25"/>
  <c r="AY239" i="25"/>
  <c r="AX239" i="25"/>
  <c r="AW239" i="25"/>
  <c r="AV239" i="25"/>
  <c r="AU239" i="25"/>
  <c r="AT239" i="25"/>
  <c r="BF238" i="25"/>
  <c r="BE238" i="25"/>
  <c r="BD238" i="25"/>
  <c r="BC238" i="25"/>
  <c r="BB238" i="25"/>
  <c r="BA238" i="25"/>
  <c r="AZ238" i="25"/>
  <c r="AY238" i="25"/>
  <c r="AX238" i="25"/>
  <c r="AW238" i="25"/>
  <c r="AV238" i="25"/>
  <c r="AU238" i="25"/>
  <c r="AT238" i="25"/>
  <c r="BF228" i="25"/>
  <c r="BE228" i="25"/>
  <c r="BD228" i="25"/>
  <c r="BC228" i="25"/>
  <c r="BB228" i="25"/>
  <c r="BA228" i="25"/>
  <c r="AZ228" i="25"/>
  <c r="AY228" i="25"/>
  <c r="AX228" i="25"/>
  <c r="AW228" i="25"/>
  <c r="AV228" i="25"/>
  <c r="AU228" i="25"/>
  <c r="AT228" i="25"/>
  <c r="BF227" i="25"/>
  <c r="BE227" i="25"/>
  <c r="BD227" i="25"/>
  <c r="BC227" i="25"/>
  <c r="BB227" i="25"/>
  <c r="BA227" i="25"/>
  <c r="AZ227" i="25"/>
  <c r="AY227" i="25"/>
  <c r="AX227" i="25"/>
  <c r="AW227" i="25"/>
  <c r="AV227" i="25"/>
  <c r="AU227" i="25"/>
  <c r="AT227" i="25"/>
  <c r="BF215" i="25"/>
  <c r="BE215" i="25"/>
  <c r="BD215" i="25"/>
  <c r="BC215" i="25"/>
  <c r="BB215" i="25"/>
  <c r="BA215" i="25"/>
  <c r="AZ215" i="25"/>
  <c r="AY215" i="25"/>
  <c r="AX215" i="25"/>
  <c r="AW215" i="25"/>
  <c r="AV215" i="25"/>
  <c r="AU215" i="25"/>
  <c r="AT215" i="25"/>
  <c r="BF213" i="25"/>
  <c r="BE213" i="25"/>
  <c r="BD213" i="25"/>
  <c r="BC213" i="25"/>
  <c r="BB213" i="25"/>
  <c r="BA213" i="25"/>
  <c r="AZ213" i="25"/>
  <c r="AY213" i="25"/>
  <c r="AX213" i="25"/>
  <c r="AW213" i="25"/>
  <c r="AV213" i="25"/>
  <c r="AU213" i="25"/>
  <c r="AT213" i="25"/>
  <c r="BF210" i="25"/>
  <c r="BE210" i="25"/>
  <c r="BD210" i="25"/>
  <c r="BC210" i="25"/>
  <c r="BB210" i="25"/>
  <c r="BA210" i="25"/>
  <c r="AZ210" i="25"/>
  <c r="AY210" i="25"/>
  <c r="AX210" i="25"/>
  <c r="AW210" i="25"/>
  <c r="AV210" i="25"/>
  <c r="AU210" i="25"/>
  <c r="AT210" i="25"/>
  <c r="AR240" i="25"/>
  <c r="AQ240" i="25"/>
  <c r="AP240" i="25"/>
  <c r="AO240" i="25"/>
  <c r="AN240" i="25"/>
  <c r="AM240" i="25"/>
  <c r="AL240" i="25"/>
  <c r="AK240" i="25"/>
  <c r="AJ240" i="25"/>
  <c r="AI240" i="25"/>
  <c r="AH240" i="25"/>
  <c r="AG240" i="25"/>
  <c r="AF240" i="25"/>
  <c r="AR239" i="25"/>
  <c r="AQ239" i="25"/>
  <c r="AP239" i="25"/>
  <c r="AO239" i="25"/>
  <c r="AN239" i="25"/>
  <c r="AM239" i="25"/>
  <c r="AL239" i="25"/>
  <c r="AK239" i="25"/>
  <c r="AJ239" i="25"/>
  <c r="AI239" i="25"/>
  <c r="AH239" i="25"/>
  <c r="AG239" i="25"/>
  <c r="AF239" i="25"/>
  <c r="AR238" i="25"/>
  <c r="AQ238" i="25"/>
  <c r="AP238" i="25"/>
  <c r="AO238" i="25"/>
  <c r="AN238" i="25"/>
  <c r="AM238" i="25"/>
  <c r="AL238" i="25"/>
  <c r="AK238" i="25"/>
  <c r="AJ238" i="25"/>
  <c r="AI238" i="25"/>
  <c r="AH238" i="25"/>
  <c r="AG238" i="25"/>
  <c r="AF238" i="25"/>
  <c r="AR228" i="25"/>
  <c r="AQ228" i="25"/>
  <c r="AP228" i="25"/>
  <c r="AO228" i="25"/>
  <c r="AN228" i="25"/>
  <c r="AM228" i="25"/>
  <c r="AL228" i="25"/>
  <c r="AK228" i="25"/>
  <c r="AJ228" i="25"/>
  <c r="AI228" i="25"/>
  <c r="AH228" i="25"/>
  <c r="AG228" i="25"/>
  <c r="AF228" i="25"/>
  <c r="AR227" i="25"/>
  <c r="AQ227" i="25"/>
  <c r="AP227" i="25"/>
  <c r="AO227" i="25"/>
  <c r="AN227" i="25"/>
  <c r="AM227" i="25"/>
  <c r="AL227" i="25"/>
  <c r="AK227" i="25"/>
  <c r="AJ227" i="25"/>
  <c r="AI227" i="25"/>
  <c r="AH227" i="25"/>
  <c r="AG227" i="25"/>
  <c r="AF227" i="25"/>
  <c r="AR215" i="25"/>
  <c r="AQ215" i="25"/>
  <c r="AP215" i="25"/>
  <c r="AO215" i="25"/>
  <c r="AN215" i="25"/>
  <c r="AM215" i="25"/>
  <c r="AL215" i="25"/>
  <c r="AK215" i="25"/>
  <c r="AJ215" i="25"/>
  <c r="AI215" i="25"/>
  <c r="AH215" i="25"/>
  <c r="AG215" i="25"/>
  <c r="AF215" i="25"/>
  <c r="AR213" i="25"/>
  <c r="AQ213" i="25"/>
  <c r="AP213" i="25"/>
  <c r="AO213" i="25"/>
  <c r="AN213" i="25"/>
  <c r="AM213" i="25"/>
  <c r="AL213" i="25"/>
  <c r="AK213" i="25"/>
  <c r="AJ213" i="25"/>
  <c r="AI213" i="25"/>
  <c r="AH213" i="25"/>
  <c r="AG213" i="25"/>
  <c r="AF213" i="25"/>
  <c r="AR210" i="25"/>
  <c r="AQ210" i="25"/>
  <c r="AP210" i="25"/>
  <c r="AO210" i="25"/>
  <c r="AN210" i="25"/>
  <c r="AM210" i="25"/>
  <c r="AL210" i="25"/>
  <c r="AK210" i="25"/>
  <c r="AJ210" i="25"/>
  <c r="AI210" i="25"/>
  <c r="AH210" i="25"/>
  <c r="AG210" i="25"/>
  <c r="AF210" i="25"/>
  <c r="S207" i="25"/>
  <c r="T207" i="25"/>
  <c r="U207" i="25"/>
  <c r="V207" i="25"/>
  <c r="W207" i="25"/>
  <c r="X207" i="25"/>
  <c r="Y207" i="25"/>
  <c r="Z207" i="25"/>
  <c r="AA207" i="25"/>
  <c r="AB207" i="25"/>
  <c r="AC207" i="25"/>
  <c r="S208" i="25"/>
  <c r="T208" i="25"/>
  <c r="U208" i="25"/>
  <c r="V208" i="25"/>
  <c r="W208" i="25"/>
  <c r="X208" i="25"/>
  <c r="Y208" i="25"/>
  <c r="Z208" i="25"/>
  <c r="AA208" i="25"/>
  <c r="AB208" i="25"/>
  <c r="AC208" i="25"/>
  <c r="S209" i="25"/>
  <c r="T209" i="25"/>
  <c r="U209" i="25"/>
  <c r="V209" i="25"/>
  <c r="W209" i="25"/>
  <c r="X209" i="25"/>
  <c r="Y209" i="25"/>
  <c r="Z209" i="25"/>
  <c r="AA209" i="25"/>
  <c r="AB209" i="25"/>
  <c r="AC209" i="25"/>
  <c r="S210" i="25"/>
  <c r="T210" i="25"/>
  <c r="U210" i="25"/>
  <c r="V210" i="25"/>
  <c r="W210" i="25"/>
  <c r="X210" i="25"/>
  <c r="Y210" i="25"/>
  <c r="Z210" i="25"/>
  <c r="AA210" i="25"/>
  <c r="AB210" i="25"/>
  <c r="AC210" i="25"/>
  <c r="AD210" i="25"/>
  <c r="S211" i="25"/>
  <c r="T211" i="25"/>
  <c r="U211" i="25"/>
  <c r="V211" i="25"/>
  <c r="W211" i="25"/>
  <c r="X211" i="25"/>
  <c r="Y211" i="25"/>
  <c r="Z211" i="25"/>
  <c r="AA211" i="25"/>
  <c r="AB211" i="25"/>
  <c r="AC211" i="25"/>
  <c r="S212" i="25"/>
  <c r="T212" i="25"/>
  <c r="U212" i="25"/>
  <c r="V212" i="25"/>
  <c r="W212" i="25"/>
  <c r="X212" i="25"/>
  <c r="Y212" i="25"/>
  <c r="Z212" i="25"/>
  <c r="AA212" i="25"/>
  <c r="AB212" i="25"/>
  <c r="AC212" i="25"/>
  <c r="S213" i="25"/>
  <c r="T213" i="25"/>
  <c r="U213" i="25"/>
  <c r="V213" i="25"/>
  <c r="W213" i="25"/>
  <c r="X213" i="25"/>
  <c r="Y213" i="25"/>
  <c r="Z213" i="25"/>
  <c r="AA213" i="25"/>
  <c r="AB213" i="25"/>
  <c r="AC213" i="25"/>
  <c r="AD213" i="25"/>
  <c r="S214" i="25"/>
  <c r="T214" i="25"/>
  <c r="U214" i="25"/>
  <c r="V214" i="25"/>
  <c r="W214" i="25"/>
  <c r="X214" i="25"/>
  <c r="Y214" i="25"/>
  <c r="Z214" i="25"/>
  <c r="AA214" i="25"/>
  <c r="AB214" i="25"/>
  <c r="AC214" i="25"/>
  <c r="S215" i="25"/>
  <c r="T215" i="25"/>
  <c r="U215" i="25"/>
  <c r="V215" i="25"/>
  <c r="W215" i="25"/>
  <c r="X215" i="25"/>
  <c r="Y215" i="25"/>
  <c r="Z215" i="25"/>
  <c r="AA215" i="25"/>
  <c r="AB215" i="25"/>
  <c r="AC215" i="25"/>
  <c r="AD215" i="25"/>
  <c r="S216" i="25"/>
  <c r="T216" i="25"/>
  <c r="U216" i="25"/>
  <c r="V216" i="25"/>
  <c r="W216" i="25"/>
  <c r="X216" i="25"/>
  <c r="Y216" i="25"/>
  <c r="Z216" i="25"/>
  <c r="AA216" i="25"/>
  <c r="AB216" i="25"/>
  <c r="AC216" i="25"/>
  <c r="S217" i="25"/>
  <c r="T217" i="25"/>
  <c r="U217" i="25"/>
  <c r="V217" i="25"/>
  <c r="W217" i="25"/>
  <c r="X217" i="25"/>
  <c r="Y217" i="25"/>
  <c r="Z217" i="25"/>
  <c r="AA217" i="25"/>
  <c r="AB217" i="25"/>
  <c r="AC217" i="25"/>
  <c r="S223" i="25"/>
  <c r="T223" i="25"/>
  <c r="U223" i="25"/>
  <c r="V223" i="25"/>
  <c r="W223" i="25"/>
  <c r="X223" i="25"/>
  <c r="Y223" i="25"/>
  <c r="Z223" i="25"/>
  <c r="AA223" i="25"/>
  <c r="AB223" i="25"/>
  <c r="AC223" i="25"/>
  <c r="S224" i="25"/>
  <c r="T224" i="25"/>
  <c r="U224" i="25"/>
  <c r="V224" i="25"/>
  <c r="W224" i="25"/>
  <c r="X224" i="25"/>
  <c r="Y224" i="25"/>
  <c r="Z224" i="25"/>
  <c r="AA224" i="25"/>
  <c r="AB224" i="25"/>
  <c r="AC224" i="25"/>
  <c r="S225" i="25"/>
  <c r="T225" i="25"/>
  <c r="U225" i="25"/>
  <c r="V225" i="25"/>
  <c r="W225" i="25"/>
  <c r="X225" i="25"/>
  <c r="Y225" i="25"/>
  <c r="Z225" i="25"/>
  <c r="AA225" i="25"/>
  <c r="AB225" i="25"/>
  <c r="AC225" i="25"/>
  <c r="S226" i="25"/>
  <c r="T226" i="25"/>
  <c r="U226" i="25"/>
  <c r="V226" i="25"/>
  <c r="W226" i="25"/>
  <c r="X226" i="25"/>
  <c r="Y226" i="25"/>
  <c r="Z226" i="25"/>
  <c r="AA226" i="25"/>
  <c r="AB226" i="25"/>
  <c r="AC226" i="25"/>
  <c r="S227" i="25"/>
  <c r="T227" i="25"/>
  <c r="U227" i="25"/>
  <c r="V227" i="25"/>
  <c r="W227" i="25"/>
  <c r="X227" i="25"/>
  <c r="Y227" i="25"/>
  <c r="Z227" i="25"/>
  <c r="AA227" i="25"/>
  <c r="AB227" i="25"/>
  <c r="AC227" i="25"/>
  <c r="AD227" i="25"/>
  <c r="S228" i="25"/>
  <c r="T228" i="25"/>
  <c r="U228" i="25"/>
  <c r="V228" i="25"/>
  <c r="W228" i="25"/>
  <c r="X228" i="25"/>
  <c r="Y228" i="25"/>
  <c r="Z228" i="25"/>
  <c r="AA228" i="25"/>
  <c r="AB228" i="25"/>
  <c r="AC228" i="25"/>
  <c r="AD228" i="25"/>
  <c r="S229" i="25"/>
  <c r="T229" i="25"/>
  <c r="U229" i="25"/>
  <c r="V229" i="25"/>
  <c r="W229" i="25"/>
  <c r="X229" i="25"/>
  <c r="Y229" i="25"/>
  <c r="Z229" i="25"/>
  <c r="AA229" i="25"/>
  <c r="AB229" i="25"/>
  <c r="AC229" i="25"/>
  <c r="S236" i="25"/>
  <c r="T236" i="25"/>
  <c r="U236" i="25"/>
  <c r="V236" i="25"/>
  <c r="W236" i="25"/>
  <c r="X236" i="25"/>
  <c r="Y236" i="25"/>
  <c r="Z236" i="25"/>
  <c r="AA236" i="25"/>
  <c r="AB236" i="25"/>
  <c r="AC236" i="25"/>
  <c r="S237" i="25"/>
  <c r="T237" i="25"/>
  <c r="U237" i="25"/>
  <c r="V237" i="25"/>
  <c r="W237" i="25"/>
  <c r="X237" i="25"/>
  <c r="Y237" i="25"/>
  <c r="Z237" i="25"/>
  <c r="AA237" i="25"/>
  <c r="AB237" i="25"/>
  <c r="AC237" i="25"/>
  <c r="S238" i="25"/>
  <c r="T238" i="25"/>
  <c r="U238" i="25"/>
  <c r="V238" i="25"/>
  <c r="W238" i="25"/>
  <c r="X238" i="25"/>
  <c r="Y238" i="25"/>
  <c r="Z238" i="25"/>
  <c r="AA238" i="25"/>
  <c r="AB238" i="25"/>
  <c r="AC238" i="25"/>
  <c r="AD238" i="25"/>
  <c r="S239" i="25"/>
  <c r="T239" i="25"/>
  <c r="U239" i="25"/>
  <c r="V239" i="25"/>
  <c r="W239" i="25"/>
  <c r="X239" i="25"/>
  <c r="Y239" i="25"/>
  <c r="Z239" i="25"/>
  <c r="AA239" i="25"/>
  <c r="AB239" i="25"/>
  <c r="AC239" i="25"/>
  <c r="AD239" i="25"/>
  <c r="S240" i="25"/>
  <c r="T240" i="25"/>
  <c r="U240" i="25"/>
  <c r="V240" i="25"/>
  <c r="W240" i="25"/>
  <c r="X240" i="25"/>
  <c r="Y240" i="25"/>
  <c r="Z240" i="25"/>
  <c r="AA240" i="25"/>
  <c r="AB240" i="25"/>
  <c r="AC240" i="25"/>
  <c r="AD240" i="25"/>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G29" i="47" l="1"/>
  <c r="G33" i="47" s="1"/>
  <c r="G33" i="46"/>
  <c r="G37" i="46" s="1"/>
  <c r="U241" i="25"/>
  <c r="U243" i="25" s="1"/>
  <c r="W230" i="25"/>
  <c r="W232" i="25" s="1"/>
  <c r="S230" i="25"/>
  <c r="S232" i="25" s="1"/>
  <c r="Y230" i="25"/>
  <c r="Y232" i="25" s="1"/>
  <c r="AB218" i="25"/>
  <c r="AB220" i="25" s="1"/>
  <c r="X218" i="25"/>
  <c r="X220" i="25" s="1"/>
  <c r="T218" i="25"/>
  <c r="T220" i="25" s="1"/>
  <c r="U230" i="25"/>
  <c r="U232" i="25" s="1"/>
  <c r="W218" i="25"/>
  <c r="W220" i="25" s="1"/>
  <c r="S218" i="25"/>
  <c r="S220" i="25" s="1"/>
  <c r="V218" i="25"/>
  <c r="V220" i="25" s="1"/>
  <c r="X230" i="25"/>
  <c r="X232" i="25" s="1"/>
  <c r="T230" i="25"/>
  <c r="T232" i="25" s="1"/>
  <c r="Y218" i="25"/>
  <c r="Y220" i="25" s="1"/>
  <c r="U218" i="25"/>
  <c r="U220" i="25" s="1"/>
  <c r="AB241" i="25"/>
  <c r="AB243" i="25" s="1"/>
  <c r="X241" i="25"/>
  <c r="X243" i="25" s="1"/>
  <c r="T241" i="25"/>
  <c r="T243" i="25" s="1"/>
  <c r="W241" i="25"/>
  <c r="W243" i="25" s="1"/>
  <c r="S241" i="25"/>
  <c r="S243" i="25" s="1"/>
  <c r="V230" i="25"/>
  <c r="V232" i="25" s="1"/>
  <c r="AC241" i="25"/>
  <c r="AC243" i="25" s="1"/>
  <c r="AA218" i="25"/>
  <c r="AA220" i="25" s="1"/>
  <c r="Z230" i="25"/>
  <c r="Z232" i="25" s="1"/>
  <c r="AB230" i="25"/>
  <c r="AB232" i="25" s="1"/>
  <c r="Z218" i="25"/>
  <c r="Z220" i="25" s="1"/>
  <c r="AA230" i="25"/>
  <c r="AA232" i="25" s="1"/>
  <c r="Z241" i="25"/>
  <c r="Z243" i="25" s="1"/>
  <c r="Y241" i="25"/>
  <c r="Y243" i="25" s="1"/>
  <c r="AC218" i="25"/>
  <c r="AC220" i="25" s="1"/>
  <c r="V241" i="25"/>
  <c r="V243" i="25" s="1"/>
  <c r="AA241" i="25"/>
  <c r="AA243" i="25" s="1"/>
  <c r="AC230" i="25"/>
  <c r="AC232" i="25" s="1"/>
  <c r="AQ24" i="42"/>
  <c r="Y24" i="15" s="1"/>
  <c r="AR24" i="42"/>
  <c r="AS24" i="42"/>
  <c r="AT24" i="42"/>
  <c r="AP24" i="42"/>
  <c r="AQ23" i="42"/>
  <c r="AR23" i="42"/>
  <c r="AS23" i="42"/>
  <c r="AT23" i="42"/>
  <c r="AP23" i="42"/>
  <c r="AQ22" i="42"/>
  <c r="Y23" i="15" s="1"/>
  <c r="AR22" i="42"/>
  <c r="AS22" i="42"/>
  <c r="AT22" i="42"/>
  <c r="AP22" i="42"/>
  <c r="AQ20" i="42"/>
  <c r="Y28" i="15" s="1"/>
  <c r="Y29" i="15" s="1"/>
  <c r="AR20" i="42"/>
  <c r="AS20" i="42"/>
  <c r="AT20" i="42"/>
  <c r="AP20" i="42"/>
  <c r="AQ18" i="42"/>
  <c r="Y15" i="15" s="1"/>
  <c r="AR18" i="42"/>
  <c r="AS18" i="42"/>
  <c r="AT18" i="42"/>
  <c r="AP18" i="42"/>
  <c r="AQ16" i="42"/>
  <c r="AR16" i="42"/>
  <c r="AS16" i="42"/>
  <c r="AT16" i="42"/>
  <c r="AT26" i="42" s="1"/>
  <c r="AP16" i="42"/>
  <c r="AK24" i="42"/>
  <c r="Y30" i="45" s="1"/>
  <c r="AL24" i="42"/>
  <c r="AM24" i="42"/>
  <c r="AN24" i="42"/>
  <c r="AJ24" i="42"/>
  <c r="AK23" i="42"/>
  <c r="AL23" i="42"/>
  <c r="AM23" i="42"/>
  <c r="AN23" i="42"/>
  <c r="AJ23" i="42"/>
  <c r="AK22" i="42"/>
  <c r="AL22" i="42"/>
  <c r="AM22" i="42"/>
  <c r="AN22" i="42"/>
  <c r="AJ22" i="42"/>
  <c r="AN20" i="42"/>
  <c r="AM20" i="42"/>
  <c r="AL20" i="42"/>
  <c r="AK20" i="42"/>
  <c r="Y34" i="45" s="1"/>
  <c r="AJ20" i="42"/>
  <c r="AK12" i="42"/>
  <c r="AL12" i="42"/>
  <c r="AL14" i="42" s="1"/>
  <c r="AM12" i="42"/>
  <c r="AM14" i="42" s="1"/>
  <c r="AN12" i="42"/>
  <c r="AN14" i="42" s="1"/>
  <c r="AJ12" i="42"/>
  <c r="AJ14" i="42" s="1"/>
  <c r="AK8" i="42"/>
  <c r="AL8" i="42"/>
  <c r="AL10" i="42" s="1"/>
  <c r="AM8" i="42"/>
  <c r="AM10" i="42" s="1"/>
  <c r="AN8" i="42"/>
  <c r="AN10" i="42" s="1"/>
  <c r="AJ8" i="42"/>
  <c r="AJ10" i="42" s="1"/>
  <c r="AK6" i="42"/>
  <c r="Y18" i="45" s="1"/>
  <c r="AL6" i="42"/>
  <c r="AM6" i="42"/>
  <c r="AN6" i="42"/>
  <c r="AJ6" i="42"/>
  <c r="AK5" i="42"/>
  <c r="Y17" i="45" s="1"/>
  <c r="AL5" i="42"/>
  <c r="AM5" i="42"/>
  <c r="AN5" i="42"/>
  <c r="AN26" i="42" s="1"/>
  <c r="AJ5" i="42"/>
  <c r="AK4" i="42"/>
  <c r="AE24" i="42"/>
  <c r="X24" i="15" s="1"/>
  <c r="AF24" i="42"/>
  <c r="AG24" i="42"/>
  <c r="AH24" i="42"/>
  <c r="AD24" i="42"/>
  <c r="AE23" i="42"/>
  <c r="AF23" i="42"/>
  <c r="AG23" i="42"/>
  <c r="AH23" i="42"/>
  <c r="AD23" i="42"/>
  <c r="AE22" i="42"/>
  <c r="AF22" i="42"/>
  <c r="AG22" i="42"/>
  <c r="AH22" i="42"/>
  <c r="AD22" i="42"/>
  <c r="AE20" i="42"/>
  <c r="X28" i="15" s="1"/>
  <c r="AF20" i="42"/>
  <c r="AG20" i="42"/>
  <c r="AH20" i="42"/>
  <c r="AD20" i="42"/>
  <c r="AE18" i="42"/>
  <c r="X15" i="15" s="1"/>
  <c r="AF18" i="42"/>
  <c r="AG18" i="42"/>
  <c r="AH18" i="42"/>
  <c r="AD18" i="42"/>
  <c r="AE16" i="42"/>
  <c r="AF16" i="42"/>
  <c r="AG16" i="42"/>
  <c r="AH16" i="42"/>
  <c r="AD16" i="42"/>
  <c r="AD26" i="42" s="1"/>
  <c r="Y24" i="42"/>
  <c r="X30" i="45" s="1"/>
  <c r="Z24" i="42"/>
  <c r="AA24" i="42"/>
  <c r="AB24" i="42"/>
  <c r="X24" i="42"/>
  <c r="Y23" i="42"/>
  <c r="Z23" i="42"/>
  <c r="AA23" i="42"/>
  <c r="AB23" i="42"/>
  <c r="X23" i="42"/>
  <c r="Y22" i="42"/>
  <c r="Z22" i="42"/>
  <c r="AA22" i="42"/>
  <c r="AB22" i="42"/>
  <c r="X22" i="42"/>
  <c r="Y20" i="42"/>
  <c r="X34" i="45" s="1"/>
  <c r="X35" i="45" s="1"/>
  <c r="Z20" i="42"/>
  <c r="AA20" i="42"/>
  <c r="AB20" i="42"/>
  <c r="X20" i="42"/>
  <c r="Y5" i="42"/>
  <c r="X17" i="45" s="1"/>
  <c r="Z5" i="42"/>
  <c r="AA5" i="42"/>
  <c r="AB5" i="42"/>
  <c r="AB26" i="42" s="1"/>
  <c r="Y6" i="42"/>
  <c r="X18" i="45" s="1"/>
  <c r="Z6" i="42"/>
  <c r="AA6" i="42"/>
  <c r="AB6" i="42"/>
  <c r="X6" i="42"/>
  <c r="X5" i="42"/>
  <c r="Y12" i="42"/>
  <c r="Z12" i="42"/>
  <c r="Z14" i="42" s="1"/>
  <c r="AA12" i="42"/>
  <c r="AA14" i="42" s="1"/>
  <c r="AB12" i="42"/>
  <c r="AB14" i="42" s="1"/>
  <c r="X12" i="42"/>
  <c r="X14" i="42" s="1"/>
  <c r="Y8" i="42"/>
  <c r="Z8" i="42"/>
  <c r="Z10" i="42" s="1"/>
  <c r="AA8" i="42"/>
  <c r="AA10" i="42" s="1"/>
  <c r="AB8" i="42"/>
  <c r="AB10" i="42" s="1"/>
  <c r="X8" i="42"/>
  <c r="X10" i="42" s="1"/>
  <c r="AA26" i="42" l="1"/>
  <c r="AH26" i="42"/>
  <c r="AM26" i="42"/>
  <c r="AS26" i="42"/>
  <c r="X26" i="42"/>
  <c r="Z26" i="42"/>
  <c r="AG26" i="42"/>
  <c r="AL26" i="42"/>
  <c r="AR26" i="42"/>
  <c r="Y26" i="15"/>
  <c r="X18" i="15"/>
  <c r="AE26" i="42"/>
  <c r="AF26" i="42"/>
  <c r="X23" i="15"/>
  <c r="AJ26" i="42"/>
  <c r="AP26" i="42"/>
  <c r="Y18" i="15"/>
  <c r="Y21" i="15" s="1"/>
  <c r="AQ26" i="42"/>
  <c r="Y31" i="15"/>
  <c r="X29" i="45"/>
  <c r="X32" i="45" s="1"/>
  <c r="Y29" i="45"/>
  <c r="X19" i="45"/>
  <c r="R241" i="25"/>
  <c r="R243" i="25" s="1"/>
  <c r="Y33" i="15" l="1"/>
  <c r="BV202" i="25"/>
  <c r="CJ202" i="25" s="1"/>
  <c r="BW202" i="25"/>
  <c r="BX202" i="25"/>
  <c r="BY202" i="25"/>
  <c r="BZ202" i="25"/>
  <c r="CA202" i="25"/>
  <c r="CB202" i="25"/>
  <c r="CC202" i="25"/>
  <c r="CD202" i="25"/>
  <c r="CE202" i="25"/>
  <c r="CF202" i="25"/>
  <c r="CG202" i="25"/>
  <c r="BV203" i="25"/>
  <c r="BW203" i="25"/>
  <c r="BW207" i="25" s="1"/>
  <c r="BX203" i="25"/>
  <c r="BX207" i="25" s="1"/>
  <c r="BY203" i="25"/>
  <c r="BY207" i="25" s="1"/>
  <c r="BZ203" i="25"/>
  <c r="BZ207" i="25" s="1"/>
  <c r="CA203" i="25"/>
  <c r="CA207" i="25" s="1"/>
  <c r="CB203" i="25"/>
  <c r="CB207" i="25" s="1"/>
  <c r="CC203" i="25"/>
  <c r="CC207" i="25" s="1"/>
  <c r="CD203" i="25"/>
  <c r="CD207" i="25" s="1"/>
  <c r="CE203" i="25"/>
  <c r="CE207" i="25" s="1"/>
  <c r="CF203" i="25"/>
  <c r="CF207" i="25" s="1"/>
  <c r="CG203" i="25"/>
  <c r="CG207" i="25" s="1"/>
  <c r="BE202" i="25"/>
  <c r="BE203" i="25"/>
  <c r="BE207" i="25" s="1"/>
  <c r="AT202" i="25"/>
  <c r="AU202" i="25"/>
  <c r="AV202" i="25"/>
  <c r="AW202" i="25"/>
  <c r="AX202" i="25"/>
  <c r="AY202" i="25"/>
  <c r="AZ202" i="25"/>
  <c r="BA202" i="25"/>
  <c r="BB202" i="25"/>
  <c r="BC202" i="25"/>
  <c r="BD202" i="25"/>
  <c r="AT203" i="25"/>
  <c r="AT207" i="25" s="1"/>
  <c r="AU203" i="25"/>
  <c r="AU207" i="25" s="1"/>
  <c r="AV203" i="25"/>
  <c r="AV207" i="25" s="1"/>
  <c r="AW203" i="25"/>
  <c r="AW207" i="25" s="1"/>
  <c r="AX203" i="25"/>
  <c r="AX207" i="25" s="1"/>
  <c r="AY203" i="25"/>
  <c r="AY207" i="25" s="1"/>
  <c r="AZ203" i="25"/>
  <c r="AZ207" i="25" s="1"/>
  <c r="BA203" i="25"/>
  <c r="BA207" i="25" s="1"/>
  <c r="BB203" i="25"/>
  <c r="BB207" i="25" s="1"/>
  <c r="BC203" i="25"/>
  <c r="BC207" i="25" s="1"/>
  <c r="BD203" i="25"/>
  <c r="BD207" i="25" s="1"/>
  <c r="AP202" i="25"/>
  <c r="AQ202" i="25"/>
  <c r="AF203" i="25"/>
  <c r="AF207" i="25" s="1"/>
  <c r="AG203" i="25"/>
  <c r="AG207" i="25" s="1"/>
  <c r="AH203" i="25"/>
  <c r="AH207" i="25" s="1"/>
  <c r="AI203" i="25"/>
  <c r="AI207" i="25" s="1"/>
  <c r="AJ203" i="25"/>
  <c r="AJ207" i="25" s="1"/>
  <c r="AK203" i="25"/>
  <c r="AK207" i="25" s="1"/>
  <c r="AL203" i="25"/>
  <c r="AL207" i="25" s="1"/>
  <c r="AM203" i="25"/>
  <c r="AM207" i="25" s="1"/>
  <c r="AN203" i="25"/>
  <c r="AN207" i="25" s="1"/>
  <c r="AO203" i="25"/>
  <c r="AO207" i="25" s="1"/>
  <c r="AP203" i="25"/>
  <c r="AP207" i="25" s="1"/>
  <c r="AQ203" i="25"/>
  <c r="AQ207" i="25" s="1"/>
  <c r="AF202" i="25"/>
  <c r="AG202" i="25"/>
  <c r="AH202" i="25"/>
  <c r="AI202" i="25"/>
  <c r="AJ202" i="25"/>
  <c r="AK202" i="25"/>
  <c r="AL202" i="25"/>
  <c r="AM202" i="25"/>
  <c r="AN202" i="25"/>
  <c r="AO202" i="25"/>
  <c r="AD203" i="25"/>
  <c r="AD202" i="25"/>
  <c r="P202" i="25" s="1"/>
  <c r="M203" i="25"/>
  <c r="M202" i="25"/>
  <c r="B10" i="42" l="1"/>
  <c r="O9" i="42"/>
  <c r="M9" i="42"/>
  <c r="E9" i="42"/>
  <c r="P203" i="25"/>
  <c r="AD207" i="25"/>
  <c r="CJ203" i="25"/>
  <c r="CJ207" i="25" s="1"/>
  <c r="BV207" i="25"/>
  <c r="BK203" i="25"/>
  <c r="BK207" i="25" s="1"/>
  <c r="AR203" i="25"/>
  <c r="AR207" i="25" s="1"/>
  <c r="CM203" i="25"/>
  <c r="CM207" i="25" s="1"/>
  <c r="CM202" i="25"/>
  <c r="BN203" i="25"/>
  <c r="BN207" i="25" s="1"/>
  <c r="BK202" i="25"/>
  <c r="CP203" i="25"/>
  <c r="CP207" i="25" s="1"/>
  <c r="CL202" i="25"/>
  <c r="CH203" i="25"/>
  <c r="CH207" i="25" s="1"/>
  <c r="BR203" i="25"/>
  <c r="BR207" i="25" s="1"/>
  <c r="BJ203" i="25"/>
  <c r="BJ207" i="25" s="1"/>
  <c r="BN202" i="25"/>
  <c r="CQ203" i="25"/>
  <c r="CQ207" i="25" s="1"/>
  <c r="CU202" i="25"/>
  <c r="CQ202" i="25"/>
  <c r="BQ203" i="25"/>
  <c r="BQ207" i="25" s="1"/>
  <c r="BI203" i="25"/>
  <c r="BI207" i="25" s="1"/>
  <c r="BM202" i="25"/>
  <c r="CL203" i="25"/>
  <c r="CL207" i="25" s="1"/>
  <c r="BH203" i="25"/>
  <c r="BH207" i="25" s="1"/>
  <c r="CK202" i="25"/>
  <c r="BR202" i="25"/>
  <c r="BJ202" i="25"/>
  <c r="CU203" i="25"/>
  <c r="CU207" i="25" s="1"/>
  <c r="BF203" i="25"/>
  <c r="BF207" i="25" s="1"/>
  <c r="BM203" i="25"/>
  <c r="BM207" i="25" s="1"/>
  <c r="BQ202" i="25"/>
  <c r="BI202" i="25"/>
  <c r="CT203" i="25"/>
  <c r="CT207" i="25" s="1"/>
  <c r="CT202" i="25"/>
  <c r="CP202" i="25"/>
  <c r="Q203" i="25"/>
  <c r="BP203" i="25"/>
  <c r="BP207" i="25" s="1"/>
  <c r="BL203" i="25"/>
  <c r="BL207" i="25" s="1"/>
  <c r="BP202" i="25"/>
  <c r="BL202" i="25"/>
  <c r="BH202" i="25"/>
  <c r="CH202" i="25"/>
  <c r="CS203" i="25"/>
  <c r="CS207" i="25" s="1"/>
  <c r="CO203" i="25"/>
  <c r="CO207" i="25" s="1"/>
  <c r="CK203" i="25"/>
  <c r="CK207" i="25" s="1"/>
  <c r="CS202" i="25"/>
  <c r="CO202" i="25"/>
  <c r="BF202" i="25"/>
  <c r="BS203" i="25"/>
  <c r="BS207" i="25" s="1"/>
  <c r="BO203" i="25"/>
  <c r="BO207" i="25" s="1"/>
  <c r="BS202" i="25"/>
  <c r="BO202" i="25"/>
  <c r="CR203" i="25"/>
  <c r="CR207" i="25" s="1"/>
  <c r="CN203" i="25"/>
  <c r="CN207" i="25" s="1"/>
  <c r="CR202" i="25"/>
  <c r="CN202" i="25"/>
  <c r="AR202" i="25"/>
  <c r="Q202" i="25"/>
  <c r="Y4" i="42"/>
  <c r="B14" i="42" l="1"/>
  <c r="Y9" i="42"/>
  <c r="M10" i="42"/>
  <c r="O10" i="42"/>
  <c r="E13" i="42"/>
  <c r="N13" i="42"/>
  <c r="N26" i="42" s="1"/>
  <c r="E10" i="42"/>
  <c r="B26" i="42"/>
  <c r="AK9" i="42"/>
  <c r="T9" i="42"/>
  <c r="R9" i="42"/>
  <c r="BT203" i="25"/>
  <c r="BT207" i="25" s="1"/>
  <c r="BT202" i="25"/>
  <c r="CV203" i="25"/>
  <c r="CV207" i="25" s="1"/>
  <c r="CV202" i="25"/>
  <c r="M13" i="42" l="1"/>
  <c r="M26" i="42" s="1"/>
  <c r="P13" i="42"/>
  <c r="P26" i="42" s="1"/>
  <c r="O13" i="42"/>
  <c r="O14" i="42" s="1"/>
  <c r="Q13" i="42"/>
  <c r="Q26" i="42" s="1"/>
  <c r="AK10" i="42"/>
  <c r="Y21" i="45" s="1"/>
  <c r="R10" i="42"/>
  <c r="S13" i="42"/>
  <c r="S26" i="42" s="1"/>
  <c r="T13" i="42"/>
  <c r="T14" i="42" s="1"/>
  <c r="R13" i="42"/>
  <c r="E14" i="42"/>
  <c r="T10" i="42"/>
  <c r="E26" i="42"/>
  <c r="M14" i="42"/>
  <c r="Y13" i="42"/>
  <c r="Y14" i="42" s="1"/>
  <c r="X24" i="45" s="1"/>
  <c r="X27" i="45" s="1"/>
  <c r="Y26" i="42"/>
  <c r="Y10" i="42"/>
  <c r="X21" i="45" s="1"/>
  <c r="F87" i="44"/>
  <c r="G87" i="44"/>
  <c r="J87" i="44" s="1"/>
  <c r="K87" i="44"/>
  <c r="N87" i="44" s="1"/>
  <c r="F88" i="44"/>
  <c r="F89" i="44"/>
  <c r="F81" i="24"/>
  <c r="F82" i="24"/>
  <c r="O26" i="42" l="1"/>
  <c r="AK13" i="42"/>
  <c r="R14" i="42"/>
  <c r="T26" i="42"/>
  <c r="X37" i="45"/>
  <c r="X39" i="45" s="1"/>
  <c r="R26" i="42"/>
  <c r="M87" i="44"/>
  <c r="I87" i="44"/>
  <c r="L87" i="44"/>
  <c r="H87" i="44"/>
  <c r="AK14" i="42" l="1"/>
  <c r="Y24" i="45" s="1"/>
  <c r="AK26" i="42"/>
  <c r="R218" i="25"/>
  <c r="R220" i="25" s="1"/>
  <c r="AG5" i="25" l="1"/>
  <c r="AF5" i="25"/>
  <c r="AD5" i="25"/>
  <c r="F25" i="45" l="1"/>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E19" i="47" s="1"/>
  <c r="E25" i="47" s="1"/>
  <c r="N18" i="42"/>
  <c r="M18" i="42"/>
  <c r="E18" i="42"/>
  <c r="S18" i="42" s="1"/>
  <c r="Q16" i="42"/>
  <c r="P16" i="42"/>
  <c r="O16" i="42"/>
  <c r="N16" i="42"/>
  <c r="M16" i="42"/>
  <c r="E16" i="42"/>
  <c r="T16" i="42" s="1"/>
  <c r="Q12" i="42"/>
  <c r="P12" i="42"/>
  <c r="O12" i="42"/>
  <c r="N12" i="42"/>
  <c r="M12" i="42"/>
  <c r="E12" i="42"/>
  <c r="U12" i="42" s="1"/>
  <c r="Q8" i="42"/>
  <c r="P8" i="42"/>
  <c r="O8" i="42"/>
  <c r="N8" i="42"/>
  <c r="M8" i="42"/>
  <c r="E8" i="42"/>
  <c r="U8" i="42" s="1"/>
  <c r="Q6" i="42"/>
  <c r="P6" i="42"/>
  <c r="O6" i="42"/>
  <c r="N6" i="42"/>
  <c r="M6" i="42"/>
  <c r="E49" i="46" s="1"/>
  <c r="E55" i="46" s="1"/>
  <c r="E6" i="42"/>
  <c r="U6" i="42" s="1"/>
  <c r="Q5" i="42"/>
  <c r="P5" i="42"/>
  <c r="O5" i="42"/>
  <c r="N5" i="42"/>
  <c r="M5" i="42"/>
  <c r="E48" i="46" s="1"/>
  <c r="E54" i="46" s="1"/>
  <c r="E5" i="42"/>
  <c r="V5" i="42" s="1"/>
  <c r="Q4" i="42"/>
  <c r="P4" i="42"/>
  <c r="O4" i="42"/>
  <c r="N4" i="42"/>
  <c r="M4" i="42"/>
  <c r="E4" i="42"/>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BW159" i="25"/>
  <c r="BX159" i="25"/>
  <c r="BY159" i="25"/>
  <c r="BZ159" i="25"/>
  <c r="CA159" i="25"/>
  <c r="CB159" i="25"/>
  <c r="CC159" i="25"/>
  <c r="CD159" i="25"/>
  <c r="CE159" i="25"/>
  <c r="CF159" i="25"/>
  <c r="CG159" i="25"/>
  <c r="BV160" i="25"/>
  <c r="BW160" i="25"/>
  <c r="BW226" i="25" s="1"/>
  <c r="BX160" i="25"/>
  <c r="BX226" i="25" s="1"/>
  <c r="BY160" i="25"/>
  <c r="BY226" i="25" s="1"/>
  <c r="BZ160" i="25"/>
  <c r="BZ226" i="25" s="1"/>
  <c r="CA160" i="25"/>
  <c r="CA226" i="25" s="1"/>
  <c r="CB160" i="25"/>
  <c r="CB226" i="25" s="1"/>
  <c r="CC160" i="25"/>
  <c r="CC226" i="25" s="1"/>
  <c r="CD160" i="25"/>
  <c r="CD226" i="25" s="1"/>
  <c r="CE160" i="25"/>
  <c r="CE226" i="25" s="1"/>
  <c r="CF160" i="25"/>
  <c r="CF226" i="25" s="1"/>
  <c r="CG160" i="25"/>
  <c r="CG226" i="25" s="1"/>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BW193" i="25"/>
  <c r="BW217" i="25" s="1"/>
  <c r="BX193" i="25"/>
  <c r="BX217" i="25" s="1"/>
  <c r="BY193" i="25"/>
  <c r="BY217" i="25" s="1"/>
  <c r="BZ193" i="25"/>
  <c r="BZ217" i="25" s="1"/>
  <c r="CA193" i="25"/>
  <c r="CA217" i="25" s="1"/>
  <c r="CB193" i="25"/>
  <c r="CB217" i="25" s="1"/>
  <c r="CC193" i="25"/>
  <c r="CC217" i="25" s="1"/>
  <c r="CD193" i="25"/>
  <c r="CD217" i="25" s="1"/>
  <c r="CE193" i="25"/>
  <c r="CE217" i="25" s="1"/>
  <c r="CF193" i="25"/>
  <c r="CF217" i="25" s="1"/>
  <c r="CG193" i="25"/>
  <c r="CG217" i="25" s="1"/>
  <c r="BV194" i="25"/>
  <c r="BV211" i="25" s="1"/>
  <c r="BW194" i="25"/>
  <c r="BW211" i="25" s="1"/>
  <c r="BX194" i="25"/>
  <c r="BX211" i="25" s="1"/>
  <c r="BY194" i="25"/>
  <c r="BY211" i="25" s="1"/>
  <c r="BZ194" i="25"/>
  <c r="BZ211" i="25" s="1"/>
  <c r="CA194" i="25"/>
  <c r="CA211" i="25" s="1"/>
  <c r="CB194" i="25"/>
  <c r="CB211" i="25" s="1"/>
  <c r="CC194" i="25"/>
  <c r="CC211" i="25" s="1"/>
  <c r="CD194" i="25"/>
  <c r="CD211" i="25" s="1"/>
  <c r="CE194" i="25"/>
  <c r="CE211" i="25" s="1"/>
  <c r="CF194" i="25"/>
  <c r="CF211" i="25" s="1"/>
  <c r="CG194" i="25"/>
  <c r="CG211" i="25" s="1"/>
  <c r="BV195" i="25"/>
  <c r="CJ195" i="25" s="1"/>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Y5" i="25"/>
  <c r="BZ5" i="25"/>
  <c r="CA5" i="25"/>
  <c r="CB5" i="25"/>
  <c r="CC5" i="25"/>
  <c r="CD5" i="25"/>
  <c r="CF5" i="25"/>
  <c r="CG5" i="25"/>
  <c r="BV5" i="25"/>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T226" i="25" s="1"/>
  <c r="AU160" i="25"/>
  <c r="AU226" i="25" s="1"/>
  <c r="AV160" i="25"/>
  <c r="AV226" i="25" s="1"/>
  <c r="AW160" i="25"/>
  <c r="AW226" i="25" s="1"/>
  <c r="AX160" i="25"/>
  <c r="AX226" i="25" s="1"/>
  <c r="AY160" i="25"/>
  <c r="AY226" i="25" s="1"/>
  <c r="AZ160" i="25"/>
  <c r="AZ226" i="25" s="1"/>
  <c r="BA160" i="25"/>
  <c r="BA226" i="25" s="1"/>
  <c r="BB160" i="25"/>
  <c r="BB226" i="25" s="1"/>
  <c r="BC160" i="25"/>
  <c r="BC226" i="25" s="1"/>
  <c r="BD160" i="25"/>
  <c r="BD226" i="25" s="1"/>
  <c r="BE160" i="25"/>
  <c r="BE226" i="25" s="1"/>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T217" i="25" s="1"/>
  <c r="AU193" i="25"/>
  <c r="AU217" i="25" s="1"/>
  <c r="AV193" i="25"/>
  <c r="AV217" i="25" s="1"/>
  <c r="AW193" i="25"/>
  <c r="AW217" i="25" s="1"/>
  <c r="AX193" i="25"/>
  <c r="AX217" i="25" s="1"/>
  <c r="AY193" i="25"/>
  <c r="AY217" i="25" s="1"/>
  <c r="AZ193" i="25"/>
  <c r="AZ217" i="25" s="1"/>
  <c r="BA193" i="25"/>
  <c r="BA217" i="25" s="1"/>
  <c r="BB193" i="25"/>
  <c r="BB217" i="25" s="1"/>
  <c r="BC193" i="25"/>
  <c r="BC217" i="25" s="1"/>
  <c r="BD193" i="25"/>
  <c r="BD217" i="25" s="1"/>
  <c r="BE193" i="25"/>
  <c r="BE217" i="25" s="1"/>
  <c r="AT194" i="25"/>
  <c r="AT211" i="25" s="1"/>
  <c r="AU194" i="25"/>
  <c r="AU211" i="25" s="1"/>
  <c r="AV194" i="25"/>
  <c r="AV211" i="25" s="1"/>
  <c r="AW194" i="25"/>
  <c r="AW211" i="25" s="1"/>
  <c r="AX194" i="25"/>
  <c r="AX211" i="25" s="1"/>
  <c r="AY194" i="25"/>
  <c r="AY211" i="25" s="1"/>
  <c r="AZ194" i="25"/>
  <c r="AZ211" i="25" s="1"/>
  <c r="BA194" i="25"/>
  <c r="BA211" i="25" s="1"/>
  <c r="BB194" i="25"/>
  <c r="BB211" i="25" s="1"/>
  <c r="BC194" i="25"/>
  <c r="BC211" i="25" s="1"/>
  <c r="BD194" i="25"/>
  <c r="BD211" i="25" s="1"/>
  <c r="BE194" i="25"/>
  <c r="BE211" i="25" s="1"/>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CK92" i="25" l="1"/>
  <c r="BD214" i="25"/>
  <c r="AZ214" i="25"/>
  <c r="BD223" i="25"/>
  <c r="BD209" i="25"/>
  <c r="AZ223" i="25"/>
  <c r="AZ209" i="25"/>
  <c r="AV223" i="25"/>
  <c r="AV209" i="25"/>
  <c r="BD229" i="25"/>
  <c r="BD212" i="25"/>
  <c r="AZ229" i="25"/>
  <c r="AZ212" i="25"/>
  <c r="AV229" i="25"/>
  <c r="AV212" i="25"/>
  <c r="CE214" i="25"/>
  <c r="CA214" i="25"/>
  <c r="BW214" i="25"/>
  <c r="CE223" i="25"/>
  <c r="CE209" i="25"/>
  <c r="CA223" i="25"/>
  <c r="CA209" i="25"/>
  <c r="BW223" i="25"/>
  <c r="BW209" i="25"/>
  <c r="CE229" i="25"/>
  <c r="CE212" i="25"/>
  <c r="CA229" i="25"/>
  <c r="CA212" i="25"/>
  <c r="BW229" i="25"/>
  <c r="BW212" i="25"/>
  <c r="AV214" i="25"/>
  <c r="BC214" i="25"/>
  <c r="AY214" i="25"/>
  <c r="AU214" i="25"/>
  <c r="BC223" i="25"/>
  <c r="BC209" i="25"/>
  <c r="AY223" i="25"/>
  <c r="AY209" i="25"/>
  <c r="AU223" i="25"/>
  <c r="AU209" i="25"/>
  <c r="BC229" i="25"/>
  <c r="BC212" i="25"/>
  <c r="AY229" i="25"/>
  <c r="AY212" i="25"/>
  <c r="AU229" i="25"/>
  <c r="AU212" i="25"/>
  <c r="CJ193" i="25"/>
  <c r="CJ217" i="25" s="1"/>
  <c r="BV217" i="25"/>
  <c r="CD214" i="25"/>
  <c r="BZ214" i="25"/>
  <c r="CJ171" i="25"/>
  <c r="CJ214" i="25" s="1"/>
  <c r="BV214" i="25"/>
  <c r="CJ160" i="25"/>
  <c r="CJ226" i="25" s="1"/>
  <c r="BV226" i="25"/>
  <c r="CD223" i="25"/>
  <c r="CD209" i="25"/>
  <c r="BZ223" i="25"/>
  <c r="BZ209" i="25"/>
  <c r="CJ159" i="25"/>
  <c r="BV209" i="25"/>
  <c r="BV223" i="25"/>
  <c r="CD212" i="25"/>
  <c r="CD229" i="25"/>
  <c r="BZ212" i="25"/>
  <c r="BZ229" i="25"/>
  <c r="CJ154" i="25"/>
  <c r="BV212" i="25"/>
  <c r="BV229" i="25"/>
  <c r="BB214" i="25"/>
  <c r="AX214" i="25"/>
  <c r="AT214" i="25"/>
  <c r="BB223" i="25"/>
  <c r="BB209" i="25"/>
  <c r="AX223" i="25"/>
  <c r="AX209" i="25"/>
  <c r="AT223" i="25"/>
  <c r="AT209" i="25"/>
  <c r="BB229" i="25"/>
  <c r="BB212" i="25"/>
  <c r="AX229" i="25"/>
  <c r="AX212" i="25"/>
  <c r="AT229" i="25"/>
  <c r="AT212" i="25"/>
  <c r="CG214" i="25"/>
  <c r="CC214" i="25"/>
  <c r="BY214" i="25"/>
  <c r="CG223" i="25"/>
  <c r="CG209" i="25"/>
  <c r="CC223" i="25"/>
  <c r="CC209" i="25"/>
  <c r="BY223" i="25"/>
  <c r="BY209" i="25"/>
  <c r="CG229" i="25"/>
  <c r="CG212" i="25"/>
  <c r="CC229" i="25"/>
  <c r="CC212" i="25"/>
  <c r="BY229" i="25"/>
  <c r="BY212" i="25"/>
  <c r="BE214" i="25"/>
  <c r="BA214" i="25"/>
  <c r="AW214" i="25"/>
  <c r="BE223" i="25"/>
  <c r="BE209" i="25"/>
  <c r="BA223" i="25"/>
  <c r="BA209" i="25"/>
  <c r="AW223" i="25"/>
  <c r="AW209" i="25"/>
  <c r="BE229" i="25"/>
  <c r="BE212" i="25"/>
  <c r="BA212" i="25"/>
  <c r="BA229" i="25"/>
  <c r="AW212" i="25"/>
  <c r="AW229" i="25"/>
  <c r="CF214" i="25"/>
  <c r="CB214" i="25"/>
  <c r="BX214" i="25"/>
  <c r="CF223" i="25"/>
  <c r="CF209" i="25"/>
  <c r="CB223" i="25"/>
  <c r="CB209" i="25"/>
  <c r="BX223" i="25"/>
  <c r="BX209" i="25"/>
  <c r="CF229" i="25"/>
  <c r="CF212" i="25"/>
  <c r="CB229" i="25"/>
  <c r="CB212" i="25"/>
  <c r="BX229" i="25"/>
  <c r="BX212" i="25"/>
  <c r="BD225" i="25"/>
  <c r="BD216" i="25"/>
  <c r="BD236" i="25"/>
  <c r="AZ225" i="25"/>
  <c r="AZ216" i="25"/>
  <c r="AZ236" i="25"/>
  <c r="AV225" i="25"/>
  <c r="AV216" i="25"/>
  <c r="AV236" i="25"/>
  <c r="BD224" i="25"/>
  <c r="BD208" i="25"/>
  <c r="BD237" i="25"/>
  <c r="AZ224" i="25"/>
  <c r="AZ230" i="25" s="1"/>
  <c r="AZ232" i="25" s="1"/>
  <c r="AZ208" i="25"/>
  <c r="AZ237" i="25"/>
  <c r="AV224" i="25"/>
  <c r="AV208" i="25"/>
  <c r="AV218" i="25" s="1"/>
  <c r="AV220" i="25" s="1"/>
  <c r="AV237" i="25"/>
  <c r="CE236" i="25"/>
  <c r="CE225" i="25"/>
  <c r="CE216" i="25"/>
  <c r="CA236" i="25"/>
  <c r="CA225" i="25"/>
  <c r="CA216" i="25"/>
  <c r="BW236" i="25"/>
  <c r="BW225" i="25"/>
  <c r="BW216" i="25"/>
  <c r="CE237" i="25"/>
  <c r="CE208" i="25"/>
  <c r="CE218" i="25" s="1"/>
  <c r="CE220" i="25" s="1"/>
  <c r="CE224" i="25"/>
  <c r="CE230" i="25" s="1"/>
  <c r="CE232" i="25" s="1"/>
  <c r="CA237" i="25"/>
  <c r="CA208" i="25"/>
  <c r="CA218" i="25" s="1"/>
  <c r="CA220" i="25" s="1"/>
  <c r="CA224" i="25"/>
  <c r="BW237" i="25"/>
  <c r="BW208" i="25"/>
  <c r="BW218" i="25" s="1"/>
  <c r="BW220" i="25" s="1"/>
  <c r="BW224" i="25"/>
  <c r="BC225" i="25"/>
  <c r="BC216" i="25"/>
  <c r="BC236" i="25"/>
  <c r="AY225" i="25"/>
  <c r="AY216" i="25"/>
  <c r="AY236" i="25"/>
  <c r="AU225" i="25"/>
  <c r="AU216" i="25"/>
  <c r="AU236" i="25"/>
  <c r="BC208" i="25"/>
  <c r="BC218" i="25" s="1"/>
  <c r="BC220" i="25" s="1"/>
  <c r="BC224" i="25"/>
  <c r="BC237" i="25"/>
  <c r="AY208" i="25"/>
  <c r="AY218" i="25" s="1"/>
  <c r="AY220" i="25" s="1"/>
  <c r="AY224" i="25"/>
  <c r="AY230" i="25" s="1"/>
  <c r="AY232" i="25" s="1"/>
  <c r="AY237" i="25"/>
  <c r="AU208" i="25"/>
  <c r="AU218" i="25" s="1"/>
  <c r="AU220" i="25" s="1"/>
  <c r="AU224" i="25"/>
  <c r="AU237" i="25"/>
  <c r="CD236" i="25"/>
  <c r="CD225" i="25"/>
  <c r="CD216" i="25"/>
  <c r="BZ236" i="25"/>
  <c r="BZ225" i="25"/>
  <c r="BZ216" i="25"/>
  <c r="BV236" i="25"/>
  <c r="BV225" i="25"/>
  <c r="BV216" i="25"/>
  <c r="CD224" i="25"/>
  <c r="CD230" i="25" s="1"/>
  <c r="CD232" i="25" s="1"/>
  <c r="CD237" i="25"/>
  <c r="CD208" i="25"/>
  <c r="BZ224" i="25"/>
  <c r="BZ230" i="25" s="1"/>
  <c r="BZ232" i="25" s="1"/>
  <c r="BZ237" i="25"/>
  <c r="BZ208" i="25"/>
  <c r="BZ218" i="25" s="1"/>
  <c r="BZ220" i="25" s="1"/>
  <c r="BV224" i="25"/>
  <c r="BV230" i="25" s="1"/>
  <c r="BV232" i="25" s="1"/>
  <c r="BV237" i="25"/>
  <c r="BV208" i="25"/>
  <c r="BB236" i="25"/>
  <c r="BB225" i="25"/>
  <c r="BB216" i="25"/>
  <c r="AX236" i="25"/>
  <c r="AX225" i="25"/>
  <c r="AX216" i="25"/>
  <c r="AT236" i="25"/>
  <c r="AT225" i="25"/>
  <c r="AT216" i="25"/>
  <c r="BB237" i="25"/>
  <c r="BB208" i="25"/>
  <c r="BB218" i="25" s="1"/>
  <c r="BB220" i="25" s="1"/>
  <c r="BB224" i="25"/>
  <c r="AX237" i="25"/>
  <c r="AX224" i="25"/>
  <c r="AX208" i="25"/>
  <c r="AT237" i="25"/>
  <c r="AT208" i="25"/>
  <c r="AT218" i="25" s="1"/>
  <c r="AT220" i="25" s="1"/>
  <c r="AT224" i="25"/>
  <c r="AT230" i="25" s="1"/>
  <c r="AT232" i="25" s="1"/>
  <c r="CG225" i="25"/>
  <c r="CG216" i="25"/>
  <c r="CG236" i="25"/>
  <c r="CC225" i="25"/>
  <c r="CC216" i="25"/>
  <c r="CC236" i="25"/>
  <c r="BY225" i="25"/>
  <c r="BY216" i="25"/>
  <c r="BY236" i="25"/>
  <c r="CG208" i="25"/>
  <c r="CG218" i="25" s="1"/>
  <c r="CG220" i="25" s="1"/>
  <c r="CG224" i="25"/>
  <c r="CG237" i="25"/>
  <c r="CC208" i="25"/>
  <c r="CC218" i="25" s="1"/>
  <c r="CC220" i="25" s="1"/>
  <c r="CC224" i="25"/>
  <c r="CC237" i="25"/>
  <c r="BY208" i="25"/>
  <c r="BY218" i="25" s="1"/>
  <c r="BY220" i="25" s="1"/>
  <c r="BY224" i="25"/>
  <c r="BY237" i="25"/>
  <c r="BE225" i="25"/>
  <c r="BE216" i="25"/>
  <c r="BE236" i="25"/>
  <c r="BA236" i="25"/>
  <c r="BA216" i="25"/>
  <c r="BA225" i="25"/>
  <c r="AW225" i="25"/>
  <c r="AW216" i="25"/>
  <c r="AW236" i="25"/>
  <c r="BE237" i="25"/>
  <c r="BE224" i="25"/>
  <c r="BE208" i="25"/>
  <c r="BA237" i="25"/>
  <c r="BA224" i="25"/>
  <c r="BA230" i="25" s="1"/>
  <c r="BA232" i="25" s="1"/>
  <c r="BA208" i="25"/>
  <c r="AW237" i="25"/>
  <c r="AW224" i="25"/>
  <c r="AW208" i="25"/>
  <c r="CF236" i="25"/>
  <c r="CF225" i="25"/>
  <c r="CF216" i="25"/>
  <c r="CB236" i="25"/>
  <c r="CB225" i="25"/>
  <c r="CB216" i="25"/>
  <c r="BX236" i="25"/>
  <c r="BX225" i="25"/>
  <c r="BX216" i="25"/>
  <c r="CF208" i="25"/>
  <c r="CF224" i="25"/>
  <c r="CF230" i="25" s="1"/>
  <c r="CF232" i="25" s="1"/>
  <c r="CF237" i="25"/>
  <c r="CB208" i="25"/>
  <c r="CB218" i="25" s="1"/>
  <c r="CB220" i="25" s="1"/>
  <c r="CB224" i="25"/>
  <c r="CB237" i="25"/>
  <c r="BX208" i="25"/>
  <c r="BX224" i="25"/>
  <c r="BX237" i="25"/>
  <c r="E23" i="46"/>
  <c r="E30" i="46" s="1"/>
  <c r="CJ176" i="25"/>
  <c r="CJ172" i="25"/>
  <c r="CJ162" i="25"/>
  <c r="CJ156" i="25"/>
  <c r="CJ130" i="25"/>
  <c r="CJ120" i="25"/>
  <c r="CJ53" i="25"/>
  <c r="CJ6" i="25"/>
  <c r="U4" i="42"/>
  <c r="T23" i="42"/>
  <c r="U18" i="42"/>
  <c r="T4" i="42"/>
  <c r="E22" i="46"/>
  <c r="E29" i="46" s="1"/>
  <c r="S23" i="42"/>
  <c r="T8" i="42"/>
  <c r="U16" i="42"/>
  <c r="T18" i="42"/>
  <c r="E11" i="47" s="1"/>
  <c r="S5" i="42"/>
  <c r="T5" i="42"/>
  <c r="CK9" i="25"/>
  <c r="CK8" i="25"/>
  <c r="CK6" i="25"/>
  <c r="CK193" i="25"/>
  <c r="CK217" i="25" s="1"/>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211" i="25" s="1"/>
  <c r="CK190" i="25"/>
  <c r="CK10" i="25"/>
  <c r="BH130" i="25"/>
  <c r="CJ194" i="25"/>
  <c r="CJ211" i="25" s="1"/>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226" i="25" s="1"/>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226" i="25" s="1"/>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E43" i="46" s="1"/>
  <c r="V12" i="42"/>
  <c r="R24" i="42"/>
  <c r="R4" i="42"/>
  <c r="V4" i="42"/>
  <c r="U5" i="42"/>
  <c r="T6" i="42"/>
  <c r="R8" i="42"/>
  <c r="E12" i="46" s="1"/>
  <c r="V8" i="42"/>
  <c r="T12" i="42"/>
  <c r="S16" i="42"/>
  <c r="R18" i="42"/>
  <c r="V18" i="42"/>
  <c r="U23" i="42"/>
  <c r="T24" i="42"/>
  <c r="R12" i="42"/>
  <c r="Y27" i="45" s="1"/>
  <c r="S4" i="42"/>
  <c r="R5" i="42"/>
  <c r="E42" i="46" s="1"/>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G61" i="44" s="1"/>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M211" i="25" s="1"/>
  <c r="BI193" i="25"/>
  <c r="BI217" i="25" s="1"/>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Q217" i="25" s="1"/>
  <c r="BM192" i="25"/>
  <c r="BM190" i="25"/>
  <c r="BF188" i="25"/>
  <c r="BR186" i="25"/>
  <c r="BO181" i="25"/>
  <c r="BR169" i="25"/>
  <c r="BO164" i="25"/>
  <c r="BF161" i="25"/>
  <c r="BF160" i="25"/>
  <c r="BF226" i="25" s="1"/>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J214" i="25" s="1"/>
  <c r="BN157" i="25"/>
  <c r="BO136" i="25"/>
  <c r="BK105" i="25"/>
  <c r="CL198" i="25"/>
  <c r="CP198" i="25"/>
  <c r="CT193" i="25"/>
  <c r="CT217" i="25" s="1"/>
  <c r="CL193" i="25"/>
  <c r="CL217" i="25" s="1"/>
  <c r="CL135" i="25"/>
  <c r="CO135" i="25"/>
  <c r="CL104" i="25"/>
  <c r="CO104" i="25"/>
  <c r="CL103" i="25"/>
  <c r="CS103" i="25"/>
  <c r="CL57" i="25"/>
  <c r="CH57" i="25"/>
  <c r="CL8" i="25"/>
  <c r="CN8" i="25"/>
  <c r="G72" i="44"/>
  <c r="G67" i="44"/>
  <c r="G82" i="44"/>
  <c r="G50" i="44"/>
  <c r="BF197" i="25"/>
  <c r="BF193" i="25"/>
  <c r="BF217" i="25" s="1"/>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J226" i="25" s="1"/>
  <c r="BN160" i="25"/>
  <c r="BN226" i="25" s="1"/>
  <c r="BR160" i="25"/>
  <c r="BR226" i="25" s="1"/>
  <c r="BK160" i="25"/>
  <c r="BK226" i="25" s="1"/>
  <c r="BO160" i="25"/>
  <c r="BO226" i="25" s="1"/>
  <c r="BS160" i="25"/>
  <c r="BS226" i="25" s="1"/>
  <c r="BH160" i="25"/>
  <c r="BH226" i="25" s="1"/>
  <c r="BL160" i="25"/>
  <c r="BL226" i="25" s="1"/>
  <c r="BP160" i="25"/>
  <c r="BP226" i="25" s="1"/>
  <c r="BM160" i="25"/>
  <c r="BM226" i="25" s="1"/>
  <c r="BQ160" i="25"/>
  <c r="BQ226" i="25" s="1"/>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Q211" i="25" s="1"/>
  <c r="BM193" i="25"/>
  <c r="BM217" i="25" s="1"/>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P211" i="25" s="1"/>
  <c r="CL194" i="25"/>
  <c r="CL211" i="25" s="1"/>
  <c r="CL134" i="25"/>
  <c r="CS134" i="25"/>
  <c r="CL126" i="25"/>
  <c r="CS126" i="25"/>
  <c r="CL7" i="25"/>
  <c r="CS7" i="25"/>
  <c r="G68" i="44"/>
  <c r="G83"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211" i="25" s="1"/>
  <c r="BF190" i="25"/>
  <c r="BF186" i="25"/>
  <c r="BF181" i="25"/>
  <c r="BF176" i="25"/>
  <c r="BF172" i="25"/>
  <c r="BK171" i="25"/>
  <c r="BO171" i="25"/>
  <c r="BO214" i="25" s="1"/>
  <c r="BS171" i="25"/>
  <c r="BS214" i="25" s="1"/>
  <c r="BH171" i="25"/>
  <c r="BH214" i="25" s="1"/>
  <c r="BL171" i="25"/>
  <c r="BP171" i="25"/>
  <c r="BP214" i="25" s="1"/>
  <c r="BI171" i="25"/>
  <c r="BI214" i="25" s="1"/>
  <c r="BM171" i="25"/>
  <c r="BM214" i="25" s="1"/>
  <c r="BQ171" i="25"/>
  <c r="BN171" i="25"/>
  <c r="BN214" i="25" s="1"/>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O156" i="25"/>
  <c r="BS156" i="25"/>
  <c r="BH156" i="25"/>
  <c r="BL156" i="25"/>
  <c r="BP156" i="25"/>
  <c r="BI156" i="25"/>
  <c r="BM156" i="25"/>
  <c r="BQ156" i="25"/>
  <c r="BN156" i="25"/>
  <c r="BR156" i="25"/>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I226" i="25" s="1"/>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R195" i="25"/>
  <c r="BK195" i="25"/>
  <c r="BO195" i="25"/>
  <c r="BS195" i="25"/>
  <c r="BH195" i="25"/>
  <c r="BL195" i="25"/>
  <c r="BP195" i="25"/>
  <c r="BJ194" i="25"/>
  <c r="BJ211" i="25" s="1"/>
  <c r="BN194" i="25"/>
  <c r="BN211" i="25" s="1"/>
  <c r="BR194" i="25"/>
  <c r="BR211" i="25" s="1"/>
  <c r="BK194" i="25"/>
  <c r="BK211" i="25" s="1"/>
  <c r="BO194" i="25"/>
  <c r="BO211" i="25" s="1"/>
  <c r="BS194" i="25"/>
  <c r="BS211" i="25" s="1"/>
  <c r="BH194" i="25"/>
  <c r="BH211" i="25" s="1"/>
  <c r="BL194" i="25"/>
  <c r="BL211" i="25" s="1"/>
  <c r="BP194" i="25"/>
  <c r="BP211" i="25" s="1"/>
  <c r="BJ193" i="25"/>
  <c r="BJ217" i="25" s="1"/>
  <c r="BN193" i="25"/>
  <c r="BN217" i="25" s="1"/>
  <c r="BR193" i="25"/>
  <c r="BR217" i="25" s="1"/>
  <c r="BK193" i="25"/>
  <c r="BK217" i="25" s="1"/>
  <c r="BO193" i="25"/>
  <c r="BO217" i="25" s="1"/>
  <c r="BS193" i="25"/>
  <c r="BS217" i="25" s="1"/>
  <c r="BH193" i="25"/>
  <c r="BH217" i="25" s="1"/>
  <c r="BL193" i="25"/>
  <c r="BL217" i="25" s="1"/>
  <c r="BP193" i="25"/>
  <c r="BP217" i="25" s="1"/>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I211" i="25" s="1"/>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P201" i="25"/>
  <c r="CT200" i="25"/>
  <c r="CP197" i="25"/>
  <c r="CP196" i="25"/>
  <c r="CP193" i="25"/>
  <c r="CP217" i="25" s="1"/>
  <c r="CT192" i="25"/>
  <c r="CS186" i="25"/>
  <c r="CS185" i="25"/>
  <c r="CS177" i="25"/>
  <c r="CS176" i="25"/>
  <c r="CS165" i="25"/>
  <c r="CS164" i="25"/>
  <c r="CS163" i="25"/>
  <c r="CS160" i="25"/>
  <c r="CS226" i="25" s="1"/>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M211" i="25" s="1"/>
  <c r="CQ194" i="25"/>
  <c r="CQ211" i="25" s="1"/>
  <c r="CU194" i="25"/>
  <c r="CU211" i="25" s="1"/>
  <c r="CN194" i="25"/>
  <c r="CN211" i="25" s="1"/>
  <c r="CR194" i="25"/>
  <c r="CR211" i="25" s="1"/>
  <c r="CO194" i="25"/>
  <c r="CO211" i="25" s="1"/>
  <c r="CS194" i="25"/>
  <c r="CS211" i="25" s="1"/>
  <c r="CM193" i="25"/>
  <c r="CM217" i="25" s="1"/>
  <c r="CQ193" i="25"/>
  <c r="CQ217" i="25" s="1"/>
  <c r="CU193" i="25"/>
  <c r="CU217" i="25" s="1"/>
  <c r="CN193" i="25"/>
  <c r="CN217" i="25" s="1"/>
  <c r="CR193" i="25"/>
  <c r="CR217" i="25" s="1"/>
  <c r="CO193" i="25"/>
  <c r="CO217" i="25" s="1"/>
  <c r="CS193" i="25"/>
  <c r="CS217" i="25" s="1"/>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P226" i="25" s="1"/>
  <c r="CT160" i="25"/>
  <c r="CT226" i="25" s="1"/>
  <c r="CN160" i="25"/>
  <c r="CN226" i="25" s="1"/>
  <c r="CR160" i="25"/>
  <c r="CR226" i="25" s="1"/>
  <c r="CM160" i="25"/>
  <c r="CM226" i="25" s="1"/>
  <c r="CU160" i="25"/>
  <c r="CU226" i="25" s="1"/>
  <c r="CO160" i="25"/>
  <c r="CO226" i="25" s="1"/>
  <c r="CQ160" i="25"/>
  <c r="CQ226" i="25" s="1"/>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T156" i="25"/>
  <c r="CN156" i="25"/>
  <c r="CR156" i="25"/>
  <c r="CM156" i="25"/>
  <c r="CU156" i="25"/>
  <c r="CO156" i="25"/>
  <c r="CQ156" i="25"/>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T194" i="25"/>
  <c r="CT211" i="25" s="1"/>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226" i="25" s="1"/>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211" i="25" s="1"/>
  <c r="CH193" i="25"/>
  <c r="CH217" i="25" s="1"/>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CK214" i="25" l="1"/>
  <c r="AV230" i="25"/>
  <c r="AV232" i="25" s="1"/>
  <c r="BD241" i="25"/>
  <c r="BD243" i="25" s="1"/>
  <c r="CO214" i="25"/>
  <c r="CN214" i="25"/>
  <c r="BR214" i="25"/>
  <c r="AW230" i="25"/>
  <c r="AW232" i="25" s="1"/>
  <c r="CG230" i="25"/>
  <c r="CG232" i="25" s="1"/>
  <c r="AU230" i="25"/>
  <c r="AU232" i="25" s="1"/>
  <c r="CA230" i="25"/>
  <c r="CA232" i="25" s="1"/>
  <c r="CU214" i="25"/>
  <c r="CT214" i="25"/>
  <c r="BQ214" i="25"/>
  <c r="BL214" i="25"/>
  <c r="CL214" i="25"/>
  <c r="AZ241" i="25"/>
  <c r="AZ243" i="25" s="1"/>
  <c r="BD218" i="25"/>
  <c r="BD220" i="25" s="1"/>
  <c r="CB230" i="25"/>
  <c r="CB232" i="25" s="1"/>
  <c r="BV218" i="25"/>
  <c r="BV220" i="25" s="1"/>
  <c r="BX218" i="25"/>
  <c r="BX220" i="25" s="1"/>
  <c r="AW218" i="25"/>
  <c r="AW220" i="25" s="1"/>
  <c r="AV241" i="25"/>
  <c r="AV243" i="25" s="1"/>
  <c r="AZ218" i="25"/>
  <c r="AZ220" i="25" s="1"/>
  <c r="CH212" i="25"/>
  <c r="CH229" i="25"/>
  <c r="CU229" i="25"/>
  <c r="CU212" i="25"/>
  <c r="CT212" i="25"/>
  <c r="CT229" i="25"/>
  <c r="CU223" i="25"/>
  <c r="CU209" i="25"/>
  <c r="CT209" i="25"/>
  <c r="CT223" i="25"/>
  <c r="BQ229" i="25"/>
  <c r="BQ212" i="25"/>
  <c r="BL229" i="25"/>
  <c r="BL212" i="25"/>
  <c r="BK229" i="25"/>
  <c r="BK212" i="25"/>
  <c r="BM223" i="25"/>
  <c r="BM209" i="25"/>
  <c r="BH209" i="25"/>
  <c r="BH223" i="25"/>
  <c r="BR223" i="25"/>
  <c r="BR209" i="25"/>
  <c r="BF214" i="25"/>
  <c r="CK209" i="25"/>
  <c r="CK223" i="25"/>
  <c r="AX230" i="25"/>
  <c r="AX232" i="25" s="1"/>
  <c r="CD218" i="25"/>
  <c r="CD220" i="25" s="1"/>
  <c r="BD230" i="25"/>
  <c r="BD232" i="25" s="1"/>
  <c r="CJ229" i="25"/>
  <c r="CJ212" i="25"/>
  <c r="CM229" i="25"/>
  <c r="CM212" i="25"/>
  <c r="CP212" i="25"/>
  <c r="CP229" i="25"/>
  <c r="CM223" i="25"/>
  <c r="CM209" i="25"/>
  <c r="CP209" i="25"/>
  <c r="CP223" i="25"/>
  <c r="CS214" i="25"/>
  <c r="CS229" i="25"/>
  <c r="CS212" i="25"/>
  <c r="BM229" i="25"/>
  <c r="BM212" i="25"/>
  <c r="BH229" i="25"/>
  <c r="BH212" i="25"/>
  <c r="BI223" i="25"/>
  <c r="BI209" i="25"/>
  <c r="BS223" i="25"/>
  <c r="BS209" i="25"/>
  <c r="BN223" i="25"/>
  <c r="BN209" i="25"/>
  <c r="CL229" i="25"/>
  <c r="CL212" i="25"/>
  <c r="CH223" i="25"/>
  <c r="CH209" i="25"/>
  <c r="CH214" i="25"/>
  <c r="CQ229" i="25"/>
  <c r="CQ212" i="25"/>
  <c r="CR229" i="25"/>
  <c r="CR212" i="25"/>
  <c r="CQ223" i="25"/>
  <c r="CQ209" i="25"/>
  <c r="CR209" i="25"/>
  <c r="CR223" i="25"/>
  <c r="CM214" i="25"/>
  <c r="CP214" i="25"/>
  <c r="CS209" i="25"/>
  <c r="CS223" i="25"/>
  <c r="BF229" i="25"/>
  <c r="BF212" i="25"/>
  <c r="BR229" i="25"/>
  <c r="BR212" i="25"/>
  <c r="BN229" i="25"/>
  <c r="BN212" i="25"/>
  <c r="BI229" i="25"/>
  <c r="BI212" i="25"/>
  <c r="BS229" i="25"/>
  <c r="BS212" i="25"/>
  <c r="BK214" i="25"/>
  <c r="BP209" i="25"/>
  <c r="BP223" i="25"/>
  <c r="BO223" i="25"/>
  <c r="BO209" i="25"/>
  <c r="BJ223" i="25"/>
  <c r="BJ209" i="25"/>
  <c r="CL209" i="25"/>
  <c r="CL223" i="25"/>
  <c r="CO229" i="25"/>
  <c r="CO212" i="25"/>
  <c r="CN229" i="25"/>
  <c r="CN212" i="25"/>
  <c r="CO209" i="25"/>
  <c r="CO223" i="25"/>
  <c r="CN209" i="25"/>
  <c r="CN223" i="25"/>
  <c r="CQ214" i="25"/>
  <c r="CR214" i="25"/>
  <c r="BF223" i="25"/>
  <c r="BF209" i="25"/>
  <c r="BJ212" i="25"/>
  <c r="BJ229" i="25"/>
  <c r="BP212" i="25"/>
  <c r="BP229" i="25"/>
  <c r="BO229" i="25"/>
  <c r="BO212" i="25"/>
  <c r="BQ223" i="25"/>
  <c r="BQ209" i="25"/>
  <c r="BL209" i="25"/>
  <c r="BL223" i="25"/>
  <c r="BK223" i="25"/>
  <c r="BK209" i="25"/>
  <c r="CK229" i="25"/>
  <c r="CK212" i="25"/>
  <c r="CJ209" i="25"/>
  <c r="CJ223" i="25"/>
  <c r="CF218" i="25"/>
  <c r="CF220" i="25" s="1"/>
  <c r="BE218" i="25"/>
  <c r="BE220" i="25" s="1"/>
  <c r="CC230" i="25"/>
  <c r="CC232" i="25" s="1"/>
  <c r="BB230" i="25"/>
  <c r="BB232" i="25" s="1"/>
  <c r="BW230" i="25"/>
  <c r="BW232" i="25" s="1"/>
  <c r="BX230" i="25"/>
  <c r="BX232" i="25" s="1"/>
  <c r="BA218" i="25"/>
  <c r="BA220" i="25" s="1"/>
  <c r="BE230" i="25"/>
  <c r="BE232" i="25" s="1"/>
  <c r="BY230" i="25"/>
  <c r="BY232" i="25" s="1"/>
  <c r="AX218" i="25"/>
  <c r="AX220" i="25" s="1"/>
  <c r="BC230" i="25"/>
  <c r="BC232" i="25" s="1"/>
  <c r="CH224" i="25"/>
  <c r="CH237" i="25"/>
  <c r="CH208" i="25"/>
  <c r="CS224" i="25"/>
  <c r="CS237" i="25"/>
  <c r="CS208" i="25"/>
  <c r="CU208" i="25"/>
  <c r="CU224" i="25"/>
  <c r="CU237" i="25"/>
  <c r="CP237" i="25"/>
  <c r="CP208" i="25"/>
  <c r="CP224" i="25"/>
  <c r="CQ236" i="25"/>
  <c r="CQ225" i="25"/>
  <c r="CQ216" i="25"/>
  <c r="CR225" i="25"/>
  <c r="CR216" i="25"/>
  <c r="CR236" i="25"/>
  <c r="BR208" i="25"/>
  <c r="BR237" i="25"/>
  <c r="BR224" i="25"/>
  <c r="BM224" i="25"/>
  <c r="BM237" i="25"/>
  <c r="BM208" i="25"/>
  <c r="BH237" i="25"/>
  <c r="BH208" i="25"/>
  <c r="BH224" i="25"/>
  <c r="BH236" i="25"/>
  <c r="BH225" i="25"/>
  <c r="BH216" i="25"/>
  <c r="BK236" i="25"/>
  <c r="BK225" i="25"/>
  <c r="BK216" i="25"/>
  <c r="BQ236" i="25"/>
  <c r="BQ225" i="25"/>
  <c r="BQ216" i="25"/>
  <c r="BL236" i="25"/>
  <c r="BL225" i="25"/>
  <c r="BL216" i="25"/>
  <c r="CK224" i="25"/>
  <c r="CK237" i="25"/>
  <c r="CK208" i="25"/>
  <c r="BA241" i="25"/>
  <c r="BA243" i="25" s="1"/>
  <c r="CC241" i="25"/>
  <c r="CC243" i="25" s="1"/>
  <c r="AX241" i="25"/>
  <c r="AX243" i="25" s="1"/>
  <c r="CH236" i="25"/>
  <c r="CH241" i="25" s="1"/>
  <c r="CH243" i="25" s="1"/>
  <c r="CH225" i="25"/>
  <c r="CH216" i="25"/>
  <c r="CO224" i="25"/>
  <c r="CO237" i="25"/>
  <c r="CO208" i="25"/>
  <c r="CQ208" i="25"/>
  <c r="CQ224" i="25"/>
  <c r="CQ237" i="25"/>
  <c r="CO236" i="25"/>
  <c r="CO225" i="25"/>
  <c r="CO216" i="25"/>
  <c r="CN225" i="25"/>
  <c r="CN216" i="25"/>
  <c r="CN236" i="25"/>
  <c r="CS236" i="25"/>
  <c r="CS241" i="25" s="1"/>
  <c r="CS243" i="25" s="1"/>
  <c r="CS225" i="25"/>
  <c r="CS216" i="25"/>
  <c r="BN208" i="25"/>
  <c r="BN237" i="25"/>
  <c r="BN224" i="25"/>
  <c r="BI224" i="25"/>
  <c r="BI237" i="25"/>
  <c r="BI208" i="25"/>
  <c r="BP236" i="25"/>
  <c r="BP225" i="25"/>
  <c r="BP216" i="25"/>
  <c r="BR225" i="25"/>
  <c r="BR216" i="25"/>
  <c r="BR236" i="25"/>
  <c r="BR241" i="25" s="1"/>
  <c r="BR243" i="25" s="1"/>
  <c r="BM236" i="25"/>
  <c r="BM225" i="25"/>
  <c r="BM216" i="25"/>
  <c r="CL237" i="25"/>
  <c r="CL208" i="25"/>
  <c r="CL224" i="25"/>
  <c r="CL236" i="25"/>
  <c r="CL225" i="25"/>
  <c r="CL216" i="25"/>
  <c r="CJ208" i="25"/>
  <c r="CJ224" i="25"/>
  <c r="CJ237" i="25"/>
  <c r="CF241" i="25"/>
  <c r="CF243" i="25" s="1"/>
  <c r="BE241" i="25"/>
  <c r="BE243" i="25" s="1"/>
  <c r="BY241" i="25"/>
  <c r="BY243" i="25" s="1"/>
  <c r="AT241" i="25"/>
  <c r="AT243" i="25" s="1"/>
  <c r="CD241" i="25"/>
  <c r="CD243" i="25" s="1"/>
  <c r="BC241" i="25"/>
  <c r="BC243" i="25" s="1"/>
  <c r="CE241" i="25"/>
  <c r="CE243" i="25" s="1"/>
  <c r="CR208" i="25"/>
  <c r="CR218" i="25" s="1"/>
  <c r="CR220" i="25" s="1"/>
  <c r="CR224" i="25"/>
  <c r="CR230" i="25" s="1"/>
  <c r="CR232" i="25" s="1"/>
  <c r="CR237" i="25"/>
  <c r="CM208" i="25"/>
  <c r="CM224" i="25"/>
  <c r="CM237" i="25"/>
  <c r="CU236" i="25"/>
  <c r="CU241" i="25" s="1"/>
  <c r="CU243" i="25" s="1"/>
  <c r="CU225" i="25"/>
  <c r="CU216" i="25"/>
  <c r="CT236" i="25"/>
  <c r="CT225" i="25"/>
  <c r="CT216" i="25"/>
  <c r="BF236" i="25"/>
  <c r="BF225" i="25"/>
  <c r="BF216" i="25"/>
  <c r="BO224" i="25"/>
  <c r="BO237" i="25"/>
  <c r="BO208" i="25"/>
  <c r="BJ208" i="25"/>
  <c r="BJ237" i="25"/>
  <c r="BJ224" i="25"/>
  <c r="BP237" i="25"/>
  <c r="BP208" i="25"/>
  <c r="BP224" i="25"/>
  <c r="BS236" i="25"/>
  <c r="BS225" i="25"/>
  <c r="BS216" i="25"/>
  <c r="BN225" i="25"/>
  <c r="BN216" i="25"/>
  <c r="BN236" i="25"/>
  <c r="BI236" i="25"/>
  <c r="BI225" i="25"/>
  <c r="BI216" i="25"/>
  <c r="CJ225" i="25"/>
  <c r="CJ216" i="25"/>
  <c r="CJ236" i="25"/>
  <c r="CB241" i="25"/>
  <c r="CB243" i="25" s="1"/>
  <c r="BZ241" i="25"/>
  <c r="BZ243" i="25" s="1"/>
  <c r="AY241" i="25"/>
  <c r="AY243" i="25" s="1"/>
  <c r="CA241" i="25"/>
  <c r="CA243" i="25" s="1"/>
  <c r="CN208" i="25"/>
  <c r="CN218" i="25" s="1"/>
  <c r="CN220" i="25" s="1"/>
  <c r="CN224" i="25"/>
  <c r="CN237" i="25"/>
  <c r="CT237" i="25"/>
  <c r="CT208" i="25"/>
  <c r="CT224" i="25"/>
  <c r="CM236" i="25"/>
  <c r="CM225" i="25"/>
  <c r="CM216" i="25"/>
  <c r="CP236" i="25"/>
  <c r="CP241" i="25" s="1"/>
  <c r="CP243" i="25" s="1"/>
  <c r="CP225" i="25"/>
  <c r="CP216" i="25"/>
  <c r="BS224" i="25"/>
  <c r="BS230" i="25" s="1"/>
  <c r="BS232" i="25" s="1"/>
  <c r="BS237" i="25"/>
  <c r="BS208" i="25"/>
  <c r="BS218" i="25" s="1"/>
  <c r="BS220" i="25" s="1"/>
  <c r="BK224" i="25"/>
  <c r="BK230" i="25" s="1"/>
  <c r="BK232" i="25" s="1"/>
  <c r="BK237" i="25"/>
  <c r="BK208" i="25"/>
  <c r="BK218" i="25" s="1"/>
  <c r="BK220" i="25" s="1"/>
  <c r="BQ224" i="25"/>
  <c r="BQ230" i="25" s="1"/>
  <c r="BQ232" i="25" s="1"/>
  <c r="BQ237" i="25"/>
  <c r="BQ208" i="25"/>
  <c r="BQ218" i="25" s="1"/>
  <c r="BQ220" i="25" s="1"/>
  <c r="BL237" i="25"/>
  <c r="BL208" i="25"/>
  <c r="BL218" i="25" s="1"/>
  <c r="BL220" i="25" s="1"/>
  <c r="BL224" i="25"/>
  <c r="BL230" i="25" s="1"/>
  <c r="BL232" i="25" s="1"/>
  <c r="BO236" i="25"/>
  <c r="BO241" i="25" s="1"/>
  <c r="BO243" i="25" s="1"/>
  <c r="BO225" i="25"/>
  <c r="BO216" i="25"/>
  <c r="BJ225" i="25"/>
  <c r="BJ216" i="25"/>
  <c r="BJ236" i="25"/>
  <c r="BF237" i="25"/>
  <c r="BF224" i="25"/>
  <c r="BF208" i="25"/>
  <c r="CK236" i="25"/>
  <c r="CK241" i="25" s="1"/>
  <c r="CK243" i="25" s="1"/>
  <c r="CK225" i="25"/>
  <c r="CK216" i="25"/>
  <c r="BX241" i="25"/>
  <c r="BX243" i="25" s="1"/>
  <c r="AW241" i="25"/>
  <c r="AW243" i="25" s="1"/>
  <c r="CG241" i="25"/>
  <c r="CG243" i="25" s="1"/>
  <c r="BB241" i="25"/>
  <c r="BB243" i="25" s="1"/>
  <c r="BV241" i="25"/>
  <c r="BV243" i="25" s="1"/>
  <c r="AU241" i="25"/>
  <c r="AU243" i="25" s="1"/>
  <c r="BW241" i="25"/>
  <c r="BW243" i="25" s="1"/>
  <c r="E13" i="46"/>
  <c r="E24" i="46"/>
  <c r="E31" i="46" s="1"/>
  <c r="G82" i="24"/>
  <c r="I82" i="24" s="1"/>
  <c r="G89" i="44"/>
  <c r="H89" i="44" s="1"/>
  <c r="G88" i="44"/>
  <c r="I88" i="44" s="1"/>
  <c r="G81" i="24"/>
  <c r="J81" i="24" s="1"/>
  <c r="U26" i="42"/>
  <c r="Q28" i="42"/>
  <c r="B28" i="42" s="1"/>
  <c r="B30" i="42" s="1"/>
  <c r="E47" i="46"/>
  <c r="H47" i="46" s="1"/>
  <c r="E41" i="46"/>
  <c r="H41" i="46" s="1"/>
  <c r="Y19" i="45"/>
  <c r="Y32" i="45"/>
  <c r="G44" i="24"/>
  <c r="G73" i="44"/>
  <c r="G37" i="24"/>
  <c r="G52" i="24"/>
  <c r="G44" i="44"/>
  <c r="G54" i="44"/>
  <c r="G69" i="44"/>
  <c r="G78" i="44"/>
  <c r="G63" i="44"/>
  <c r="G49" i="24"/>
  <c r="G46" i="24"/>
  <c r="G58" i="24"/>
  <c r="G58" i="44"/>
  <c r="H58" i="44" s="1"/>
  <c r="G51" i="44"/>
  <c r="H51" i="44" s="1"/>
  <c r="G81" i="44"/>
  <c r="G63" i="24"/>
  <c r="I63" i="24" s="1"/>
  <c r="G47" i="24"/>
  <c r="G59" i="24"/>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I54" i="44"/>
  <c r="J54" i="44"/>
  <c r="H54" i="44"/>
  <c r="J73" i="44"/>
  <c r="H73" i="44"/>
  <c r="I73" i="44"/>
  <c r="J69" i="44"/>
  <c r="H69" i="44"/>
  <c r="I69" i="44"/>
  <c r="I78" i="44"/>
  <c r="J78" i="44"/>
  <c r="H78" i="44"/>
  <c r="H63"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H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V26" i="42"/>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BT217" i="25" s="1"/>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211" i="25" s="1"/>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226" i="25" s="1"/>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217" i="25" s="1"/>
  <c r="CV185" i="25"/>
  <c r="CV177" i="25"/>
  <c r="K62" i="24" s="1"/>
  <c r="K41" i="24"/>
  <c r="CV194" i="25"/>
  <c r="CV211" i="25" s="1"/>
  <c r="CV186" i="25"/>
  <c r="CV178" i="25"/>
  <c r="K63" i="24" s="1"/>
  <c r="CV174" i="25"/>
  <c r="K58" i="24" s="1"/>
  <c r="CV166" i="25"/>
  <c r="CV160" i="25"/>
  <c r="CV226" i="25" s="1"/>
  <c r="CV156" i="25"/>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CT230" i="25" l="1"/>
  <c r="CT232" i="25" s="1"/>
  <c r="BN241" i="25"/>
  <c r="BN243" i="25" s="1"/>
  <c r="BH241" i="25"/>
  <c r="BH243" i="25" s="1"/>
  <c r="BF218" i="25"/>
  <c r="BF220" i="25" s="1"/>
  <c r="CT218" i="25"/>
  <c r="CT220" i="25" s="1"/>
  <c r="BF241" i="25"/>
  <c r="BF243" i="25" s="1"/>
  <c r="CO241" i="25"/>
  <c r="CO243" i="25" s="1"/>
  <c r="CO218" i="25"/>
  <c r="CO220" i="25" s="1"/>
  <c r="BH230" i="25"/>
  <c r="BH232" i="25" s="1"/>
  <c r="V28" i="42"/>
  <c r="E28" i="42" s="1"/>
  <c r="E30" i="42" s="1"/>
  <c r="CQ230" i="25"/>
  <c r="CQ232" i="25" s="1"/>
  <c r="BJ241" i="25"/>
  <c r="BJ243" i="25" s="1"/>
  <c r="CN230" i="25"/>
  <c r="CN232" i="25" s="1"/>
  <c r="BO218" i="25"/>
  <c r="BO220" i="25" s="1"/>
  <c r="CT241" i="25"/>
  <c r="CT243" i="25" s="1"/>
  <c r="BM241" i="25"/>
  <c r="BM243" i="25" s="1"/>
  <c r="CN241" i="25"/>
  <c r="CN243" i="25" s="1"/>
  <c r="CQ218" i="25"/>
  <c r="CQ220" i="25" s="1"/>
  <c r="BM218" i="25"/>
  <c r="BM220" i="25" s="1"/>
  <c r="CS230" i="25"/>
  <c r="CS232" i="25" s="1"/>
  <c r="BJ230" i="25"/>
  <c r="BJ232" i="25" s="1"/>
  <c r="CM230" i="25"/>
  <c r="CM232" i="25" s="1"/>
  <c r="BI230" i="25"/>
  <c r="BI232" i="25" s="1"/>
  <c r="BR218" i="25"/>
  <c r="BR220" i="25" s="1"/>
  <c r="BF230" i="25"/>
  <c r="BF232" i="25" s="1"/>
  <c r="CJ241" i="25"/>
  <c r="CJ243" i="25" s="1"/>
  <c r="BP230" i="25"/>
  <c r="BP232" i="25" s="1"/>
  <c r="BO230" i="25"/>
  <c r="BO232" i="25" s="1"/>
  <c r="CM218" i="25"/>
  <c r="CM220" i="25" s="1"/>
  <c r="CJ230" i="25"/>
  <c r="CJ232" i="25" s="1"/>
  <c r="CL241" i="25"/>
  <c r="CL243" i="25" s="1"/>
  <c r="BP241" i="25"/>
  <c r="BP243" i="25" s="1"/>
  <c r="BN230" i="25"/>
  <c r="BN232" i="25" s="1"/>
  <c r="CK218" i="25"/>
  <c r="CK220" i="25" s="1"/>
  <c r="BQ241" i="25"/>
  <c r="BQ243" i="25" s="1"/>
  <c r="BH218" i="25"/>
  <c r="BH220" i="25" s="1"/>
  <c r="BM230" i="25"/>
  <c r="BM232" i="25" s="1"/>
  <c r="CR241" i="25"/>
  <c r="CR243" i="25" s="1"/>
  <c r="CS218" i="25"/>
  <c r="CS220" i="25" s="1"/>
  <c r="CV214" i="25"/>
  <c r="CM241" i="25"/>
  <c r="CM243" i="25" s="1"/>
  <c r="BI241" i="25"/>
  <c r="BI243" i="25" s="1"/>
  <c r="BP218" i="25"/>
  <c r="BP220" i="25" s="1"/>
  <c r="BJ218" i="25"/>
  <c r="BJ220" i="25" s="1"/>
  <c r="CJ218" i="25"/>
  <c r="CJ220" i="25" s="1"/>
  <c r="CL230" i="25"/>
  <c r="CL232" i="25" s="1"/>
  <c r="BI218" i="25"/>
  <c r="BI220" i="25" s="1"/>
  <c r="CO230" i="25"/>
  <c r="CO232" i="25" s="1"/>
  <c r="BL241" i="25"/>
  <c r="BL243" i="25" s="1"/>
  <c r="BR230" i="25"/>
  <c r="BR232" i="25" s="1"/>
  <c r="CQ241" i="25"/>
  <c r="CQ243" i="25" s="1"/>
  <c r="CH230" i="25"/>
  <c r="CH232" i="25" s="1"/>
  <c r="BT214" i="25"/>
  <c r="CL218" i="25"/>
  <c r="CL220" i="25" s="1"/>
  <c r="BN218" i="25"/>
  <c r="BN220" i="25" s="1"/>
  <c r="CK230" i="25"/>
  <c r="CK232" i="25" s="1"/>
  <c r="CP230" i="25"/>
  <c r="CP232" i="25" s="1"/>
  <c r="CU230" i="25"/>
  <c r="CU232" i="25" s="1"/>
  <c r="BS241" i="25"/>
  <c r="BS243" i="25" s="1"/>
  <c r="BK241" i="25"/>
  <c r="BK243" i="25" s="1"/>
  <c r="CP218" i="25"/>
  <c r="CP220" i="25" s="1"/>
  <c r="CU218" i="25"/>
  <c r="CU220" i="25" s="1"/>
  <c r="CH218" i="25"/>
  <c r="CH220" i="25" s="1"/>
  <c r="CV229" i="25"/>
  <c r="CV212" i="25"/>
  <c r="CV223" i="25"/>
  <c r="CV209" i="25"/>
  <c r="BT223" i="25"/>
  <c r="BT209" i="25"/>
  <c r="BT229" i="25"/>
  <c r="BT212" i="25"/>
  <c r="CV225" i="25"/>
  <c r="CV216" i="25"/>
  <c r="CV236" i="25"/>
  <c r="CV208" i="25"/>
  <c r="CV224" i="25"/>
  <c r="CV237" i="25"/>
  <c r="BT236" i="25"/>
  <c r="BT225" i="25"/>
  <c r="BT216" i="25"/>
  <c r="BT237" i="25"/>
  <c r="BT208" i="25"/>
  <c r="BT224" i="25"/>
  <c r="E14" i="46"/>
  <c r="J82" i="24"/>
  <c r="J88" i="44"/>
  <c r="I89" i="44"/>
  <c r="F49" i="46"/>
  <c r="H49" i="46" s="1"/>
  <c r="J89" i="44"/>
  <c r="H82" i="24"/>
  <c r="D8" i="24"/>
  <c r="C15" i="15" s="1"/>
  <c r="K82" i="24"/>
  <c r="N82" i="24" s="1"/>
  <c r="K89" i="44"/>
  <c r="L89" i="44" s="1"/>
  <c r="H81" i="24"/>
  <c r="H88" i="44"/>
  <c r="I81" i="24"/>
  <c r="K81" i="24"/>
  <c r="L81" i="24" s="1"/>
  <c r="K88" i="44"/>
  <c r="M88" i="44" s="1"/>
  <c r="I58" i="44"/>
  <c r="J51" i="44"/>
  <c r="H76" i="44"/>
  <c r="I51" i="44"/>
  <c r="G83" i="24"/>
  <c r="M82" i="24"/>
  <c r="L82" i="24"/>
  <c r="G90" i="44"/>
  <c r="Y37" i="45"/>
  <c r="Y39" i="45" s="1"/>
  <c r="E44" i="46"/>
  <c r="E11" i="46" s="1"/>
  <c r="E15" i="46" s="1"/>
  <c r="E50" i="46"/>
  <c r="E21" i="46" s="1"/>
  <c r="E25" i="46" s="1"/>
  <c r="E53" i="46"/>
  <c r="H53" i="46" s="1"/>
  <c r="J62" i="24"/>
  <c r="I62" i="24"/>
  <c r="K51" i="44"/>
  <c r="M51" i="44" s="1"/>
  <c r="H66" i="24"/>
  <c r="J74" i="24"/>
  <c r="H50" i="24"/>
  <c r="J66" i="24"/>
  <c r="I74" i="24"/>
  <c r="J50" i="24"/>
  <c r="I57" i="44"/>
  <c r="J57" i="44"/>
  <c r="I55" i="44"/>
  <c r="J58" i="44"/>
  <c r="H55" i="44"/>
  <c r="J69" i="24"/>
  <c r="K54" i="44"/>
  <c r="M54" i="44" s="1"/>
  <c r="H69" i="24"/>
  <c r="K46" i="24"/>
  <c r="N46" i="24" s="1"/>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N17" i="45" s="1"/>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G15" i="15" l="1"/>
  <c r="N54" i="44"/>
  <c r="BT230" i="25"/>
  <c r="BT232" i="25" s="1"/>
  <c r="CV230" i="25"/>
  <c r="CV232" i="25" s="1"/>
  <c r="CV218" i="25"/>
  <c r="CV220" i="25" s="1"/>
  <c r="BT218" i="25"/>
  <c r="BT220" i="25" s="1"/>
  <c r="BT241" i="25"/>
  <c r="BT243" i="25" s="1"/>
  <c r="CV241" i="25"/>
  <c r="CV243" i="25" s="1"/>
  <c r="F43" i="46"/>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E30" i="45"/>
  <c r="I30" i="45" s="1"/>
  <c r="F29" i="44"/>
  <c r="P18" i="45"/>
  <c r="T18" i="45" s="1"/>
  <c r="G30" i="45"/>
  <c r="N30" i="45"/>
  <c r="O30" i="45" s="1"/>
  <c r="Q18" i="45"/>
  <c r="E17" i="45"/>
  <c r="F12" i="44"/>
  <c r="G17" i="45"/>
  <c r="O17" i="45"/>
  <c r="C19" i="45"/>
  <c r="M40" i="24"/>
  <c r="L40" i="24"/>
  <c r="N40" i="24"/>
  <c r="F50" i="46" l="1"/>
  <c r="F21" i="46" s="1"/>
  <c r="H21" i="46" s="1"/>
  <c r="O19" i="45"/>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O31" i="45"/>
  <c r="C35" i="45"/>
  <c r="N34" i="45"/>
  <c r="R34" i="45" s="1"/>
  <c r="G34" i="45"/>
  <c r="G19" i="45"/>
  <c r="F42" i="46"/>
  <c r="H42" i="46" s="1"/>
  <c r="R31" i="45"/>
  <c r="R17" i="45"/>
  <c r="R19" i="45" s="1"/>
  <c r="P17" i="45"/>
  <c r="N19" i="45"/>
  <c r="I17" i="45"/>
  <c r="E1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F226" i="25" s="1"/>
  <c r="AG160" i="25"/>
  <c r="AG226" i="25" s="1"/>
  <c r="AH160" i="25"/>
  <c r="AH226" i="25" s="1"/>
  <c r="AI160" i="25"/>
  <c r="AI226" i="25" s="1"/>
  <c r="AJ160" i="25"/>
  <c r="AJ226" i="25" s="1"/>
  <c r="AK160" i="25"/>
  <c r="AK226" i="25" s="1"/>
  <c r="AL160" i="25"/>
  <c r="AL226" i="25" s="1"/>
  <c r="AM160" i="25"/>
  <c r="AM226" i="25" s="1"/>
  <c r="AN160" i="25"/>
  <c r="AN226" i="25" s="1"/>
  <c r="AO160" i="25"/>
  <c r="AO226" i="25" s="1"/>
  <c r="AP160" i="25"/>
  <c r="AP226" i="25" s="1"/>
  <c r="AQ160" i="25"/>
  <c r="AQ226" i="25" s="1"/>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F217" i="25" s="1"/>
  <c r="AG193" i="25"/>
  <c r="AG217" i="25" s="1"/>
  <c r="AH193" i="25"/>
  <c r="AH217" i="25" s="1"/>
  <c r="AI193" i="25"/>
  <c r="AI217" i="25" s="1"/>
  <c r="AJ193" i="25"/>
  <c r="AJ217" i="25" s="1"/>
  <c r="AK193" i="25"/>
  <c r="AK217" i="25" s="1"/>
  <c r="AL193" i="25"/>
  <c r="AL217" i="25" s="1"/>
  <c r="AM193" i="25"/>
  <c r="AM217" i="25" s="1"/>
  <c r="AN193" i="25"/>
  <c r="AN217" i="25" s="1"/>
  <c r="AO193" i="25"/>
  <c r="AO217" i="25" s="1"/>
  <c r="AP193" i="25"/>
  <c r="AP217" i="25" s="1"/>
  <c r="AQ193" i="25"/>
  <c r="AQ217" i="25" s="1"/>
  <c r="AF194" i="25"/>
  <c r="AF211" i="25" s="1"/>
  <c r="AG194" i="25"/>
  <c r="AG211" i="25" s="1"/>
  <c r="AH194" i="25"/>
  <c r="AH211" i="25" s="1"/>
  <c r="AI194" i="25"/>
  <c r="AI211" i="25" s="1"/>
  <c r="AJ194" i="25"/>
  <c r="AJ211" i="25" s="1"/>
  <c r="AK194" i="25"/>
  <c r="AK211" i="25" s="1"/>
  <c r="AL194" i="25"/>
  <c r="AL211" i="25" s="1"/>
  <c r="AM194" i="25"/>
  <c r="AM211" i="25" s="1"/>
  <c r="AN194" i="25"/>
  <c r="AN211" i="25" s="1"/>
  <c r="AO194" i="25"/>
  <c r="AO211" i="25" s="1"/>
  <c r="AP194" i="25"/>
  <c r="AP211" i="25" s="1"/>
  <c r="AQ194" i="25"/>
  <c r="AQ211" i="25" s="1"/>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K5" i="25"/>
  <c r="AL5" i="25"/>
  <c r="AM5" i="25"/>
  <c r="AN5" i="25"/>
  <c r="AO5" i="25"/>
  <c r="AP5" i="25"/>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AD155" i="25"/>
  <c r="AD156" i="25"/>
  <c r="AD157" i="25"/>
  <c r="AD158" i="25"/>
  <c r="P158" i="25" s="1"/>
  <c r="AD159" i="25"/>
  <c r="AD160" i="25"/>
  <c r="AD226" i="25" s="1"/>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217" i="25" s="1"/>
  <c r="AD194" i="25"/>
  <c r="AD211" i="25" s="1"/>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H44" i="46" l="1"/>
  <c r="R29" i="45"/>
  <c r="Q29" i="45"/>
  <c r="AO214" i="25"/>
  <c r="AN214" i="25"/>
  <c r="AJ214" i="25"/>
  <c r="AF214" i="25"/>
  <c r="AG214" i="25"/>
  <c r="AQ214" i="25"/>
  <c r="AM214" i="25"/>
  <c r="AI214" i="25"/>
  <c r="AK214" i="25"/>
  <c r="AD214" i="25"/>
  <c r="AP214" i="25"/>
  <c r="AL214" i="25"/>
  <c r="AH214" i="25"/>
  <c r="AD209" i="25"/>
  <c r="AD223" i="25"/>
  <c r="P154" i="25"/>
  <c r="AD229" i="25"/>
  <c r="AD212" i="25"/>
  <c r="AQ209" i="25"/>
  <c r="AQ223" i="25"/>
  <c r="AP223" i="25"/>
  <c r="AP209" i="25"/>
  <c r="AO223" i="25"/>
  <c r="AO209" i="25"/>
  <c r="AN209" i="25"/>
  <c r="AN223" i="25"/>
  <c r="AM209" i="25"/>
  <c r="AM223" i="25"/>
  <c r="AL223" i="25"/>
  <c r="AL209" i="25"/>
  <c r="AK223" i="25"/>
  <c r="AK209" i="25"/>
  <c r="AJ223" i="25"/>
  <c r="AJ209" i="25"/>
  <c r="AI223" i="25"/>
  <c r="AI209" i="25"/>
  <c r="AH223" i="25"/>
  <c r="AH209" i="25"/>
  <c r="AG223" i="25"/>
  <c r="AG209" i="25"/>
  <c r="AF223" i="25"/>
  <c r="AF209" i="25"/>
  <c r="AQ212" i="25"/>
  <c r="AQ229" i="25"/>
  <c r="AP229" i="25"/>
  <c r="AP212" i="25"/>
  <c r="AO229" i="25"/>
  <c r="AO212" i="25"/>
  <c r="AN229" i="25"/>
  <c r="AN212" i="25"/>
  <c r="AM212" i="25"/>
  <c r="AM229" i="25"/>
  <c r="AL229" i="25"/>
  <c r="AL212" i="25"/>
  <c r="AK229" i="25"/>
  <c r="AK212" i="25"/>
  <c r="AJ212" i="25"/>
  <c r="AJ229" i="25"/>
  <c r="AI212" i="25"/>
  <c r="AI229" i="25"/>
  <c r="AH229" i="25"/>
  <c r="AH212" i="25"/>
  <c r="AG229" i="25"/>
  <c r="AG212" i="25"/>
  <c r="AF229" i="25"/>
  <c r="AF212" i="25"/>
  <c r="AD216" i="25"/>
  <c r="AD225" i="25"/>
  <c r="AD236" i="25"/>
  <c r="AD208" i="25"/>
  <c r="AD224" i="25"/>
  <c r="AD237" i="25"/>
  <c r="AQ225" i="25"/>
  <c r="AQ216" i="25"/>
  <c r="AQ236" i="25"/>
  <c r="AP236" i="25"/>
  <c r="AP225" i="25"/>
  <c r="AP216" i="25"/>
  <c r="AO236" i="25"/>
  <c r="AO225" i="25"/>
  <c r="AO216" i="25"/>
  <c r="AN216" i="25"/>
  <c r="AN236" i="25"/>
  <c r="AN225" i="25"/>
  <c r="AM225" i="25"/>
  <c r="AM216" i="25"/>
  <c r="AM236" i="25"/>
  <c r="AL236" i="25"/>
  <c r="AL225" i="25"/>
  <c r="AL216" i="25"/>
  <c r="AK236" i="25"/>
  <c r="AK225" i="25"/>
  <c r="AK216" i="25"/>
  <c r="AJ225" i="25"/>
  <c r="AJ236" i="25"/>
  <c r="AJ216" i="25"/>
  <c r="AI225" i="25"/>
  <c r="AI216" i="25"/>
  <c r="AI236" i="25"/>
  <c r="AH236" i="25"/>
  <c r="AH225" i="25"/>
  <c r="AH216" i="25"/>
  <c r="AG236" i="25"/>
  <c r="AG225" i="25"/>
  <c r="AG216" i="25"/>
  <c r="AF216" i="25"/>
  <c r="AF236" i="25"/>
  <c r="AF225" i="25"/>
  <c r="AQ237" i="25"/>
  <c r="AQ208" i="25"/>
  <c r="AQ218" i="25" s="1"/>
  <c r="AQ220" i="25" s="1"/>
  <c r="AQ224" i="25"/>
  <c r="AQ230" i="25" s="1"/>
  <c r="AQ232" i="25" s="1"/>
  <c r="AP237" i="25"/>
  <c r="AP208" i="25"/>
  <c r="AP218" i="25" s="1"/>
  <c r="AP220" i="25" s="1"/>
  <c r="AP224" i="25"/>
  <c r="AO224" i="25"/>
  <c r="AO230" i="25" s="1"/>
  <c r="AO232" i="25" s="1"/>
  <c r="AO237" i="25"/>
  <c r="AO208" i="25"/>
  <c r="AO218" i="25" s="1"/>
  <c r="AO220" i="25" s="1"/>
  <c r="AN224" i="25"/>
  <c r="AN230" i="25" s="1"/>
  <c r="AN232" i="25" s="1"/>
  <c r="AN208" i="25"/>
  <c r="AN218" i="25" s="1"/>
  <c r="AN220" i="25" s="1"/>
  <c r="AN237" i="25"/>
  <c r="AM237" i="25"/>
  <c r="AM208" i="25"/>
  <c r="AM218" i="25" s="1"/>
  <c r="AM220" i="25" s="1"/>
  <c r="AM224" i="25"/>
  <c r="AM230" i="25" s="1"/>
  <c r="AM232" i="25" s="1"/>
  <c r="AL237" i="25"/>
  <c r="AL208" i="25"/>
  <c r="AL218" i="25" s="1"/>
  <c r="AL220" i="25" s="1"/>
  <c r="AL224" i="25"/>
  <c r="AK237" i="25"/>
  <c r="AK208" i="25"/>
  <c r="AK218" i="25" s="1"/>
  <c r="AK220" i="25" s="1"/>
  <c r="AK224" i="25"/>
  <c r="AK230" i="25" s="1"/>
  <c r="AK232" i="25" s="1"/>
  <c r="AJ224" i="25"/>
  <c r="AJ230" i="25" s="1"/>
  <c r="AJ232" i="25" s="1"/>
  <c r="AJ208" i="25"/>
  <c r="AJ218" i="25" s="1"/>
  <c r="AJ220" i="25" s="1"/>
  <c r="AJ237" i="25"/>
  <c r="AI237" i="25"/>
  <c r="AI208" i="25"/>
  <c r="AI218" i="25" s="1"/>
  <c r="AI220" i="25" s="1"/>
  <c r="AI224" i="25"/>
  <c r="AI230" i="25" s="1"/>
  <c r="AI232" i="25" s="1"/>
  <c r="AH237" i="25"/>
  <c r="AH208" i="25"/>
  <c r="AH218" i="25" s="1"/>
  <c r="AH220" i="25" s="1"/>
  <c r="AH224" i="25"/>
  <c r="AH230" i="25" s="1"/>
  <c r="AH232" i="25" s="1"/>
  <c r="AG237" i="25"/>
  <c r="AG224" i="25"/>
  <c r="AG230" i="25" s="1"/>
  <c r="AG232" i="25" s="1"/>
  <c r="AG208" i="25"/>
  <c r="AG218" i="25" s="1"/>
  <c r="AG220" i="25" s="1"/>
  <c r="AF224" i="25"/>
  <c r="AF230" i="25" s="1"/>
  <c r="AF232" i="25" s="1"/>
  <c r="AF237" i="25"/>
  <c r="AF208" i="25"/>
  <c r="AF218" i="25" s="1"/>
  <c r="AF220" i="25" s="1"/>
  <c r="J31" i="45"/>
  <c r="K31" i="45" s="1"/>
  <c r="F54" i="46"/>
  <c r="H54" i="46" s="1"/>
  <c r="H56" i="46" s="1"/>
  <c r="F20" i="46"/>
  <c r="H20" i="46" s="1"/>
  <c r="F24" i="46"/>
  <c r="P172" i="25"/>
  <c r="N32" i="45"/>
  <c r="O32" i="45"/>
  <c r="G32" i="45"/>
  <c r="N91" i="44"/>
  <c r="F32" i="44"/>
  <c r="E32" i="45"/>
  <c r="P195" i="25"/>
  <c r="P175" i="25"/>
  <c r="P162" i="25"/>
  <c r="P130" i="25"/>
  <c r="F26" i="44"/>
  <c r="Q34" i="45"/>
  <c r="Q35" i="45" s="1"/>
  <c r="Q32" i="45"/>
  <c r="P31" i="45"/>
  <c r="T31" i="45" s="1"/>
  <c r="U31" i="45" s="1"/>
  <c r="V31" i="45" s="1"/>
  <c r="U30" i="45"/>
  <c r="V30" i="45" s="1"/>
  <c r="O34" i="45"/>
  <c r="N35" i="45"/>
  <c r="E35" i="45"/>
  <c r="I34" i="45"/>
  <c r="R35" i="45"/>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211" i="25" s="1"/>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226" i="25" s="1"/>
  <c r="AR135" i="25"/>
  <c r="AR67" i="25"/>
  <c r="AR51" i="25"/>
  <c r="Q11" i="25"/>
  <c r="AR193" i="25"/>
  <c r="AR217" i="25" s="1"/>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D230" i="25" l="1"/>
  <c r="AD232" i="25" s="1"/>
  <c r="AD241" i="25"/>
  <c r="AD243" i="25" s="1"/>
  <c r="AJ241" i="25"/>
  <c r="AJ243" i="25" s="1"/>
  <c r="AN241" i="25"/>
  <c r="AN243" i="25" s="1"/>
  <c r="AO241" i="25"/>
  <c r="AO243" i="25" s="1"/>
  <c r="F56" i="46"/>
  <c r="F28" i="46" s="1"/>
  <c r="AH241" i="25"/>
  <c r="AH243" i="25" s="1"/>
  <c r="AL241" i="25"/>
  <c r="AL243" i="25" s="1"/>
  <c r="AP241" i="25"/>
  <c r="AP243" i="25" s="1"/>
  <c r="AF241" i="25"/>
  <c r="AF243" i="25" s="1"/>
  <c r="AI241" i="25"/>
  <c r="AI243" i="25" s="1"/>
  <c r="AK241" i="25"/>
  <c r="AK243" i="25" s="1"/>
  <c r="AM241" i="25"/>
  <c r="AM243" i="25" s="1"/>
  <c r="AQ241" i="25"/>
  <c r="AQ243" i="25" s="1"/>
  <c r="AG241" i="25"/>
  <c r="AG243" i="25" s="1"/>
  <c r="AR214" i="25"/>
  <c r="AL230" i="25"/>
  <c r="AL232" i="25" s="1"/>
  <c r="AP230" i="25"/>
  <c r="AP232" i="25" s="1"/>
  <c r="AD218" i="25"/>
  <c r="AD220" i="25" s="1"/>
  <c r="AR229" i="25"/>
  <c r="AR212" i="25"/>
  <c r="AR209" i="25"/>
  <c r="AR223" i="25"/>
  <c r="AR224" i="25"/>
  <c r="AR208" i="25"/>
  <c r="AR237" i="25"/>
  <c r="AR225" i="25"/>
  <c r="AR236" i="25"/>
  <c r="AR216" i="25"/>
  <c r="O35" i="45"/>
  <c r="H28" i="46"/>
  <c r="F31" i="46"/>
  <c r="F14" i="46"/>
  <c r="H24" i="46"/>
  <c r="P32" i="45"/>
  <c r="P34" i="45"/>
  <c r="F27" i="46"/>
  <c r="H27" i="46" s="1"/>
  <c r="J34" i="45"/>
  <c r="I35" i="45"/>
  <c r="K17" i="45"/>
  <c r="K19" i="45" s="1"/>
  <c r="J19" i="45"/>
  <c r="U17" i="45"/>
  <c r="T32" i="45"/>
  <c r="U29" i="45"/>
  <c r="K29" i="45"/>
  <c r="K32" i="45" s="1"/>
  <c r="J32" i="45"/>
  <c r="AR241" i="25" l="1"/>
  <c r="AR243" i="25" s="1"/>
  <c r="AR218" i="25"/>
  <c r="AR220" i="25" s="1"/>
  <c r="AR230" i="25"/>
  <c r="AR232" i="25" s="1"/>
  <c r="H14" i="46"/>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R230" i="25" l="1"/>
  <c r="R232" i="25" s="1"/>
  <c r="F19" i="15" l="1"/>
  <c r="M5" i="25" l="1"/>
  <c r="Q5" i="25" l="1"/>
  <c r="P5" i="25"/>
  <c r="AU5" i="25" l="1"/>
  <c r="AY5" i="25"/>
  <c r="BC5" i="25"/>
  <c r="AW5" i="25"/>
  <c r="BA5" i="25"/>
  <c r="BE5" i="25"/>
  <c r="AV5" i="25"/>
  <c r="BD5" i="25"/>
  <c r="AX5" i="25"/>
  <c r="AZ5" i="25"/>
  <c r="BB5" i="25"/>
  <c r="BI5" i="25" l="1"/>
  <c r="BM5" i="25"/>
  <c r="BQ5" i="25"/>
  <c r="BJ5" i="25"/>
  <c r="BN5" i="25"/>
  <c r="BR5" i="25"/>
  <c r="BK5" i="25"/>
  <c r="BO5" i="25"/>
  <c r="BS5" i="25"/>
  <c r="BH5" i="25"/>
  <c r="BL5" i="25"/>
  <c r="BP5" i="25"/>
  <c r="BF5" i="25"/>
  <c r="D14" i="44" l="1"/>
  <c r="BT5" i="25"/>
  <c r="D15" i="44" l="1"/>
  <c r="C21" i="45"/>
  <c r="D18" i="44"/>
  <c r="F14" i="44" l="1"/>
  <c r="F15" i="44" s="1"/>
  <c r="E21" i="45" s="1"/>
  <c r="I21" i="45" s="1"/>
  <c r="F22" i="46"/>
  <c r="N21" i="45"/>
  <c r="Q21" i="45" s="1"/>
  <c r="G21" i="45"/>
  <c r="F18" i="44"/>
  <c r="C24" i="45"/>
  <c r="N24" i="45" s="1"/>
  <c r="D21" i="44"/>
  <c r="D35" i="44" s="1"/>
  <c r="D38" i="44" s="1"/>
  <c r="F24" i="24"/>
  <c r="F17" i="24"/>
  <c r="D18" i="24"/>
  <c r="D19" i="24" s="1"/>
  <c r="D24" i="24"/>
  <c r="F12" i="46" l="1"/>
  <c r="H22" i="46"/>
  <c r="F29" i="46"/>
  <c r="O21" i="45"/>
  <c r="R21" i="45"/>
  <c r="J21" i="45"/>
  <c r="K21" i="45" s="1"/>
  <c r="G24" i="45"/>
  <c r="G27" i="45" s="1"/>
  <c r="C27" i="45"/>
  <c r="E24" i="45"/>
  <c r="F21" i="44"/>
  <c r="F35" i="44" s="1"/>
  <c r="F38" i="44" s="1"/>
  <c r="C25" i="15"/>
  <c r="G25" i="15" s="1"/>
  <c r="F18" i="24"/>
  <c r="E25" i="15" s="1"/>
  <c r="J84" i="24"/>
  <c r="C28" i="15"/>
  <c r="D25" i="24"/>
  <c r="E28" i="15"/>
  <c r="E29" i="15" s="1"/>
  <c r="F25" i="24"/>
  <c r="P21" i="45" l="1"/>
  <c r="T21" i="45" s="1"/>
  <c r="U21" i="45" s="1"/>
  <c r="V21" i="45" s="1"/>
  <c r="H29" i="46"/>
  <c r="H12" i="46"/>
  <c r="C37" i="45"/>
  <c r="C44" i="45" s="1"/>
  <c r="F23" i="46"/>
  <c r="H23" i="46" s="1"/>
  <c r="H25" i="46" s="1"/>
  <c r="G37" i="45"/>
  <c r="F13" i="46"/>
  <c r="H13" i="46" s="1"/>
  <c r="R24" i="45"/>
  <c r="N27" i="45"/>
  <c r="N37" i="45" s="1"/>
  <c r="I24" i="45"/>
  <c r="E27" i="45"/>
  <c r="E37" i="45" s="1"/>
  <c r="E44" i="45" s="1"/>
  <c r="O24" i="45"/>
  <c r="O27" i="45" s="1"/>
  <c r="Q24" i="45"/>
  <c r="F19" i="24"/>
  <c r="C29" i="15"/>
  <c r="G28" i="15"/>
  <c r="G29" i="15" s="1"/>
  <c r="O37" i="45" l="1"/>
  <c r="H15" i="46"/>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D22" i="24" l="1"/>
  <c r="C24" i="15" l="1"/>
  <c r="N24" i="15" s="1"/>
  <c r="D28" i="24"/>
  <c r="F19" i="47"/>
  <c r="H19" i="47" s="1"/>
  <c r="C23" i="15"/>
  <c r="N23" i="15" s="1"/>
  <c r="N15" i="15"/>
  <c r="O15" i="15" s="1"/>
  <c r="C18" i="15"/>
  <c r="E15" i="15"/>
  <c r="I15" i="15" s="1"/>
  <c r="F22" i="24"/>
  <c r="F28" i="24" s="1"/>
  <c r="G24" i="15" l="1"/>
  <c r="F25" i="47"/>
  <c r="F11" i="47"/>
  <c r="H11" i="47" s="1"/>
  <c r="J15" i="15"/>
  <c r="K15" i="15" s="1"/>
  <c r="N18" i="15"/>
  <c r="O18" i="15" s="1"/>
  <c r="E24" i="15"/>
  <c r="E23" i="15"/>
  <c r="P15" i="15"/>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F14" i="47" s="1"/>
  <c r="H21" i="47"/>
  <c r="G31" i="15"/>
  <c r="T18" i="15"/>
  <c r="U18" i="15" s="1"/>
  <c r="V18" i="15" s="1"/>
  <c r="F31" i="24"/>
  <c r="E31" i="15" l="1"/>
  <c r="E10" i="47" l="1"/>
  <c r="H10" i="47" s="1"/>
  <c r="E13" i="47"/>
  <c r="X21" i="15"/>
  <c r="I20" i="15"/>
  <c r="E12" i="47"/>
  <c r="U13" i="15"/>
  <c r="T13" i="15"/>
  <c r="H12" i="47" l="1"/>
  <c r="H13" i="47"/>
  <c r="E20" i="47"/>
  <c r="E26" i="47" s="1"/>
  <c r="E28" i="47" s="1"/>
  <c r="E14" i="47"/>
  <c r="X31" i="15"/>
  <c r="X33" i="15" s="1"/>
  <c r="V13" i="15"/>
  <c r="R20" i="15"/>
  <c r="J20" i="15"/>
  <c r="K20" i="15" s="1"/>
  <c r="E22" i="47" l="1"/>
  <c r="E29" i="47" s="1"/>
  <c r="E33" i="47" s="1"/>
  <c r="H14" i="47"/>
  <c r="O20" i="15"/>
  <c r="P20" i="15" s="1"/>
  <c r="T20" i="15" s="1"/>
  <c r="Q20" i="15"/>
  <c r="U20" i="15" l="1"/>
  <c r="V20" i="15" s="1"/>
  <c r="I24" i="15" l="1"/>
  <c r="R19" i="15" l="1"/>
  <c r="C21" i="15"/>
  <c r="J24" i="15"/>
  <c r="K24" i="15" s="1"/>
  <c r="O24" i="15"/>
  <c r="F20" i="47" l="1"/>
  <c r="H20" i="47" s="1"/>
  <c r="H22" i="47" s="1"/>
  <c r="Q24" i="15"/>
  <c r="R21" i="15"/>
  <c r="R24" i="15"/>
  <c r="R15" i="15"/>
  <c r="V15" i="15" s="1"/>
  <c r="Q19" i="15"/>
  <c r="O19" i="15"/>
  <c r="P19" i="15" s="1"/>
  <c r="T19" i="15" s="1"/>
  <c r="P24" i="15"/>
  <c r="T24" i="15" s="1"/>
  <c r="Q28" i="15"/>
  <c r="Q29" i="15" s="1"/>
  <c r="N21" i="15"/>
  <c r="J19" i="15"/>
  <c r="K19" i="15" s="1"/>
  <c r="I28" i="15"/>
  <c r="F22"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<sst xmlns="http://schemas.openxmlformats.org/spreadsheetml/2006/main" count="3281" uniqueCount="879">
  <si>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</si>
  <si>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</si>
  <si>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</si>
  <si>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</si>
  <si>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</si>
  <si>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</si>
  <si>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</si>
  <si>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</si>
  <si>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</si>
  <si>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</si>
  <si>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</si>
  <si>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</si>
  <si>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</si>
  <si>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</si>
  <si>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</si>
  <si>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</si>
  <si>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</si>
  <si>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</si>
  <si>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</si>
  <si>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</si>
  <si>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</si>
  <si>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</si>
  <si>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</si>
  <si>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</si>
  <si>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</si>
  <si>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</si>
  <si>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</si>
  <si>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</si>
  <si>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</si>
  <si>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</si>
  <si>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</si>
  <si>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</si>
  <si>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</si>
  <si>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</si>
  <si>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</si>
  <si>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</si>
  <si>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</si>
  <si>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</si>
  <si>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</si>
  <si>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</si>
  <si>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</si>
  <si>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</si>
  <si>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</si>
  <si>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</si>
  <si>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</si>
  <si>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</si>
  <si>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</si>
  <si>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</si>
  <si>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</si>
  <si>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</si>
  <si>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</si>
  <si>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</si>
  <si>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</si>
  <si>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</si>
  <si>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</si>
  <si>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</si>
  <si>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</si>
  <si>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</si>
  <si>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</si>
  <si>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</si>
  <si>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</si>
  <si>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</si>
  <si>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</si>
  <si>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</si>
  <si>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</si>
  <si>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</si>
  <si>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</si>
  <si>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</si>
  <si>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</si>
  <si>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</si>
  <si>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</si>
  <si>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</si>
  <si>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</si>
  <si>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</si>
  <si>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</si>
  <si>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</si>
  <si>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</si>
  <si>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</si>
  <si>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</si>
  <si>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</si>
  <si>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</si>
  <si>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</si>
  <si>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</si>
  <si>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</si>
  <si>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</si>
  <si>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</si>
  <si>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</si>
  <si>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</si>
  <si>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</si>
  <si>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</si>
  <si>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</si>
  <si>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</si>
  <si>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</si>
  <si>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</si>
  <si>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</si>
  <si>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</si>
  <si>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</si>
  <si>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</si>
  <si>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</si>
  <si>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</si>
  <si>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</si>
  <si>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</si>
  <si>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</si>
  <si>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</si>
  <si>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</si>
  <si>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</si>
  <si>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</si>
  <si>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</si>
  <si>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</si>
  <si>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</si>
  <si>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</si>
  <si>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</si>
  <si>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</si>
  <si>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</si>
  <si>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</si>
  <si>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</si>
  <si>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</si>
  <si>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</si>
  <si>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</si>
  <si>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</si>
  <si>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</si>
  <si>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</si>
  <si>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</si>
  <si>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</si>
  <si>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</si>
  <si>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</si>
  <si>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</si>
  <si>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</si>
  <si>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</si>
  <si>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</si>
  <si>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</si>
  <si>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</si>
  <si>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</si>
  <si>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</si>
  <si>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</si>
  <si>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</si>
  <si>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</si>
  <si>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</si>
  <si>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</si>
  <si>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</si>
  <si>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</si>
  <si>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</si>
  <si>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</si>
  <si>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</si>
  <si>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</si>
  <si>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</si>
  <si>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</si>
  <si>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</si>
  <si>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</si>
  <si>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</si>
  <si>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</si>
  <si>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</si>
  <si>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</si>
  <si>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</si>
  <si>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</si>
  <si>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</si>
  <si>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</si>
  <si>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</si>
  <si>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</si>
  <si>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</si>
  <si>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</si>
  <si>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</si>
  <si>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</si>
  <si>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</si>
  <si>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</si>
  <si>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</si>
  <si>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</si>
  <si>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</si>
  <si>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</si>
  <si>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</si>
  <si>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</si>
  <si>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</si>
  <si>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</si>
  <si>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</si>
  <si>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</si>
  <si>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</si>
  <si>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</si>
  <si>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</si>
  <si>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</si>
  <si>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</si>
  <si>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</si>
  <si>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</si>
  <si>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</si>
  <si>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</si>
  <si>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</si>
  <si>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</si>
  <si>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</si>
  <si>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</si>
  <si>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</si>
  <si>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</si>
  <si>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</si>
  <si>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</si>
  <si>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</si>
  <si>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</si>
  <si>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</si>
  <si>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</si>
  <si>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</si>
  <si>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</si>
  <si>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</si>
  <si>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</si>
  <si>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</si>
  <si>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</si>
  <si>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</si>
  <si>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</si>
  <si>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</si>
  <si>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</si>
  <si>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</si>
  <si>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</si>
  <si>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</si>
  <si>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</si>
  <si>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</si>
  <si>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</si>
  <si>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</si>
  <si>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</si>
  <si>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</si>
  <si>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</si>
  <si>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</si>
  <si>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</si>
  <si>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</si>
  <si>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</si>
  <si>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</si>
  <si>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</si>
  <si>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</si>
  <si>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</si>
  <si>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</si>
  <si>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</si>
  <si>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</si>
  <si>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</si>
  <si>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</si>
  <si>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</si>
  <si>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</si>
  <si>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</si>
  <si>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</si>
  <si>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</si>
  <si>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</si>
  <si>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</si>
  <si>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</si>
  <si>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</si>
  <si>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</si>
  <si>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</si>
  <si>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</si>
  <si>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</si>
  <si>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</si>
  <si>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</si>
  <si>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</si>
  <si>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</si>
  <si>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</si>
  <si>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</si>
  <si>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</si>
  <si>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</si>
  <si>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</si>
  <si>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</si>
  <si>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</si>
  <si>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</si>
  <si>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</si>
  <si>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</si>
  <si>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</si>
  <si>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</si>
  <si>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</si>
  <si>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</si>
  <si>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</si>
  <si>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</si>
  <si>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</si>
  <si>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</si>
  <si>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</si>
  <si>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</si>
  <si>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</si>
  <si>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</si>
  <si>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</si>
  <si>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</si>
  <si>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</si>
  <si>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</si>
  <si>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</si>
  <si>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</si>
  <si>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</si>
  <si>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</si>
  <si>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</si>
  <si>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</si>
  <si>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</si>
  <si>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</si>
  <si>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</si>
  <si>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</si>
  <si>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</si>
  <si>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</si>
  <si>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</si>
  <si>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</si>
  <si>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</si>
  <si>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</si>
  <si>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</si>
  <si>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</si>
  <si>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</si>
  <si>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</si>
  <si>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</si>
  <si>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</si>
  <si>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</si>
  <si>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</si>
  <si>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</si>
  <si>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</si>
  <si>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</si>
  <si>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</si>
  <si>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</si>
  <si>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</si>
  <si>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</si>
  <si>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</si>
  <si>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</si>
  <si>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</si>
  <si>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</si>
  <si>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</si>
  <si>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</si>
  <si>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</si>
  <si>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</si>
  <si>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</si>
  <si>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</si>
  <si>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</si>
  <si>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</si>
  <si>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</si>
  <si>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</si>
  <si>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</si>
  <si>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</si>
  <si>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</si>
  <si>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</si>
  <si>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</si>
  <si>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</si>
  <si>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</si>
  <si>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</si>
  <si>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</si>
  <si>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</si>
  <si>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</si>
  <si>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</si>
  <si>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</si>
  <si>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</si>
  <si>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</si>
  <si>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</si>
  <si>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</si>
  <si>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</si>
  <si>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</si>
  <si>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</si>
  <si>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</si>
  <si>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</si>
  <si>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</si>
  <si>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</si>
  <si>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</si>
  <si>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</si>
  <si>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</si>
  <si>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</si>
  <si>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</si>
  <si>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</si>
  <si>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</si>
  <si>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</si>
  <si>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</si>
  <si>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</si>
  <si>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</si>
  <si>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</si>
  <si>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</si>
  <si>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</si>
  <si>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</si>
  <si>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</si>
  <si>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</si>
  <si>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</si>
  <si>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</si>
  <si>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</si>
  <si>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</si>
  <si>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</si>
  <si>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</si>
  <si>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</si>
  <si>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</si>
  <si>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</si>
  <si>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</si>
  <si>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</si>
  <si>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</si>
  <si>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</si>
  <si>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</si>
  <si>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</si>
  <si>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</si>
  <si>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</si>
  <si>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</si>
  <si>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</si>
  <si>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</si>
  <si>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</si>
  <si>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</si>
  <si>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</si>
  <si>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</si>
  <si>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</si>
  <si>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</si>
  <si>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</si>
  <si>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</si>
  <si>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</si>
  <si>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</si>
  <si>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</si>
  <si>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</si>
  <si>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</si>
  <si>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</si>
  <si>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</si>
  <si>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</si>
  <si>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</si>
  <si>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</si>
  <si>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</si>
  <si>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</si>
  <si>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</si>
  <si>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</si>
  <si>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</si>
  <si>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</si>
  <si>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</si>
  <si>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</si>
  <si>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</si>
  <si>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</si>
  <si>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</si>
  <si>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</si>
  <si>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</si>
  <si>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</si>
  <si>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</si>
  <si>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</si>
  <si>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</si>
  <si>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</si>
  <si>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</si>
  <si>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</si>
  <si>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</si>
  <si>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</si>
  <si>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</si>
  <si>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</si>
  <si>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</si>
  <si>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</si>
  <si>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</si>
  <si>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</si>
  <si>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</si>
  <si>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</si>
  <si>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</si>
  <si>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</si>
  <si>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</si>
  <si>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</si>
  <si>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</si>
  <si>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</si>
  <si>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</si>
  <si>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</si>
  <si>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</si>
  <si>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</si>
  <si>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</si>
  <si>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</si>
  <si>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</si>
  <si>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</si>
  <si>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</si>
  <si>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</si>
  <si>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</si>
  <si>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</si>
  <si>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</si>
  <si>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</si>
  <si>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</si>
  <si>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</si>
  <si>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</si>
  <si>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</si>
  <si>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</si>
  <si>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</si>
  <si>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</si>
  <si>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</si>
  <si>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</si>
  <si>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</si>
  <si>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</si>
  <si>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</si>
  <si>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</si>
  <si>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</si>
  <si>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</si>
  <si>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</si>
  <si>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</si>
  <si>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</si>
  <si>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</si>
  <si>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</si>
  <si>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</si>
  <si>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</si>
  <si>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</si>
  <si>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</si>
  <si>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</si>
  <si>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</si>
  <si>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</si>
  <si>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</si>
  <si>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</si>
  <si>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</si>
  <si>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</si>
  <si>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</si>
  <si>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</si>
  <si>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</si>
  <si>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</si>
  <si>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</si>
  <si>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</si>
  <si>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</si>
  <si>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</si>
  <si>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</si>
  <si>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</si>
  <si>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</si>
  <si>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</si>
  <si>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</si>
  <si>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</si>
  <si>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</si>
  <si>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</si>
  <si>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</si>
  <si>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</si>
  <si>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</si>
  <si>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</si>
  <si>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</si>
  <si>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</si>
  <si>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</si>
  <si>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</si>
  <si>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</si>
  <si>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</si>
  <si>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</si>
  <si>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</si>
  <si>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</si>
  <si>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</si>
  <si>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</si>
  <si>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</si>
  <si>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</si>
  <si>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</si>
  <si>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</si>
  <si>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</si>
  <si>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</si>
  <si>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</si>
  <si>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</si>
  <si>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</si>
  <si>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</si>
  <si>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</si>
  <si>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</si>
  <si>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</si>
  <si>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</si>
  <si>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</si>
  <si>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</si>
  <si>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</si>
  <si>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</si>
  <si>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</si>
  <si>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</si>
  <si>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</si>
  <si>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</si>
  <si>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</si>
  <si>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</si>
  <si>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</si>
  <si>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</si>
  <si>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</si>
  <si>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</si>
  <si>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</si>
  <si>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</si>
  <si>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</si>
  <si>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</si>
  <si>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</si>
  <si>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</si>
  <si>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</si>
  <si>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</si>
  <si>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</si>
  <si>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</si>
  <si>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</si>
  <si>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</si>
  <si>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</si>
  <si>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</si>
  <si>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</si>
  <si>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</si>
  <si>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</si>
  <si>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</si>
  <si>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</si>
  <si>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</si>
  <si>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</si>
  <si>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</si>
  <si>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</si>
  <si>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</si>
  <si>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</si>
  <si>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</si>
  <si>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</si>
  <si>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</si>
  <si>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</si>
  <si>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</si>
  <si>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</si>
  <si>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</si>
  <si>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</si>
  <si>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</si>
  <si>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</si>
  <si>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</si>
  <si>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</si>
  <si>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</si>
  <si>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</si>
  <si>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</si>
  <si>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</si>
  <si>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</si>
  <si>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</si>
  <si>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</si>
  <si>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</si>
  <si>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</si>
  <si>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</si>
  <si>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</si>
  <si>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</si>
  <si>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</si>
  <si>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</si>
  <si>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</si>
  <si>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</si>
  <si>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</si>
  <si>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</si>
  <si>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</si>
  <si>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</si>
  <si>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</si>
  <si>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</si>
  <si>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</si>
  <si>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</si>
  <si>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</si>
  <si>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</si>
  <si>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</si>
  <si>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</si>
  <si>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</si>
  <si>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</si>
  <si>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</si>
  <si>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</si>
  <si>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</si>
  <si>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</si>
  <si>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</si>
  <si>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</si>
  <si>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</si>
  <si>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</si>
  <si>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</si>
  <si>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</si>
  <si>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</si>
  <si>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</si>
  <si>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</si>
  <si>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</si>
  <si>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</si>
  <si>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</si>
  <si>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</si>
  <si>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</si>
  <si>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</si>
  <si>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</si>
  <si>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</si>
  <si>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</si>
  <si>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</si>
  <si>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</si>
  <si>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</si>
  <si>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</si>
  <si>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</si>
  <si>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</si>
  <si>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</si>
  <si>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</si>
  <si>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</si>
  <si>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</si>
  <si>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</si>
  <si>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</si>
  <si>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</si>
  <si>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</si>
  <si>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</si>
  <si>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</si>
  <si>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</si>
  <si>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</si>
  <si>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</si>
  <si>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</si>
  <si>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</si>
  <si>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</si>
  <si>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</si>
  <si>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</si>
  <si>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</si>
  <si>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</si>
  <si>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</si>
  <si>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</si>
  <si>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</si>
  <si>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</si>
  <si>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</si>
  <si>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</si>
  <si>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</si>
  <si>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</si>
  <si>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</si>
  <si>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</si>
  <si>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</si>
  <si>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</si>
  <si>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</si>
  <si>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</si>
  <si>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</si>
  <si>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</si>
  <si>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</si>
  <si>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</si>
  <si>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</si>
  <si>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</si>
  <si>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</si>
  <si>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</si>
  <si>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</si>
  <si>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</si>
  <si>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</si>
  <si>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</si>
  <si>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</si>
  <si>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</si>
  <si>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</si>
  <si>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</si>
  <si>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</si>
  <si>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</si>
  <si>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</si>
  <si>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</si>
  <si>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</si>
  <si>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</si>
  <si>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</si>
  <si>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</si>
  <si>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</si>
  <si>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</si>
  <si>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</si>
  <si>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</si>
  <si>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</si>
  <si>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</si>
  <si>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</si>
  <si>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</si>
  <si>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</si>
  <si>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</si>
  <si>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</si>
  <si>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</si>
  <si>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</si>
  <si>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</si>
  <si>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</si>
  <si>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</si>
  <si>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</si>
  <si>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</si>
  <si>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</si>
  <si>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</si>
  <si>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</si>
  <si>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</si>
  <si>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</si>
  <si>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</si>
  <si>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</si>
  <si>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</si>
  <si>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</si>
  <si>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</si>
  <si>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</si>
  <si>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</si>
  <si>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</si>
  <si>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</si>
  <si>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</si>
  <si>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</si>
  <si>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</si>
  <si>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</si>
  <si>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</si>
  <si>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</si>
  <si>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</si>
  <si>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</si>
  <si>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</si>
  <si>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</si>
  <si>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</si>
  <si>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</si>
  <si>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</si>
  <si>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</si>
  <si>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</si>
  <si>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</si>
  <si>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</si>
  <si>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</si>
  <si>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</si>
  <si>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</si>
  <si>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</si>
  <si>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</si>
  <si>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</si>
  <si>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</si>
  <si>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</si>
  <si>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</si>
  <si>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</si>
  <si>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</si>
  <si>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</si>
  <si>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</si>
  <si>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</si>
  <si>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</si>
  <si>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</si>
  <si>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</si>
  <si>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</si>
  <si>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</si>
  <si>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</si>
  <si>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</si>
  <si>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</si>
  <si>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</si>
  <si>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</si>
  <si>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</si>
  <si>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</si>
  <si>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</si>
  <si>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</si>
  <si>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</si>
  <si>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</si>
  <si>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</si>
  <si>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</si>
  <si>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</si>
  <si>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</si>
  <si>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</si>
  <si>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</si>
  <si>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</si>
  <si>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</si>
  <si>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</si>
  <si>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</si>
  <si>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</si>
  <si>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</si>
  <si>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</si>
  <si>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</si>
  <si>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</si>
  <si>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</si>
  <si>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</si>
  <si>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</si>
  <si>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</si>
  <si>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</si>
  <si>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</si>
  <si>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</si>
  <si>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</si>
  <si>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</si>
  <si>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</si>
  <si>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</si>
  <si>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</si>
  <si>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</si>
  <si>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</si>
  <si>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</si>
  <si>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</si>
  <si>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</si>
  <si>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</si>
  <si>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</si>
  <si>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</si>
  <si>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</si>
  <si>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</si>
  <si>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</si>
  <si>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</si>
  <si>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</si>
  <si>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</si>
  <si>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</si>
  <si>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</si>
  <si>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</si>
  <si>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</si>
  <si>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</si>
  <si>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</si>
  <si>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</si>
  <si>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</si>
  <si>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</si>
  <si>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</si>
  <si>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</si>
  <si>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</si>
  <si>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</si>
  <si>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</si>
  <si>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</si>
  <si>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</si>
  <si>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</si>
  <si>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</si>
  <si>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</si>
  <si>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</si>
  <si>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</si>
  <si>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</si>
  <si>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</si>
  <si>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</si>
  <si>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</si>
  <si>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</si>
  <si>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</si>
  <si>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</si>
  <si>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</si>
  <si>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</si>
  <si>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</si>
  <si>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</si>
  <si>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</si>
  <si>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</si>
  <si>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</si>
  <si>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</si>
  <si>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</si>
  <si>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</si>
  <si>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</si>
  <si>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</si>
  <si>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</si>
  <si>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</si>
  <si>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</si>
  <si>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</si>
  <si>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</si>
  <si>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</si>
  <si>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</si>
  <si>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</si>
  <si>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</si>
  <si>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</si>
  <si>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</si>
  <si>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</si>
  <si>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</si>
  <si>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</si>
  <si>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</si>
  <si>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</si>
  <si>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</si>
  <si>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</si>
  <si>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</si>
  <si>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2020 Offsets</t>
  </si>
  <si>
    <t>N</t>
  </si>
  <si>
    <t>Adjustment 3.12 - Large Distinct Projects</t>
  </si>
  <si>
    <t>12.31.2020 EOP Adjustment 3.12 Large Distinct Projects</t>
  </si>
  <si>
    <t>Subtotal Elec Transmission 350-359</t>
  </si>
  <si>
    <t>Subtotal Elec Distribution 360-373</t>
  </si>
  <si>
    <t>**Due to not having historical cost estimates, the Company estimated a 50% factor for evaluating the retirements associated with the 2020 Labor Day Storm, including the Chelan-Stratford transmission line.</t>
  </si>
  <si>
    <t>Transmission for 2020 Storm Est. **</t>
  </si>
  <si>
    <t>Distribution for 2020 Storm Est. **</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</si>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</sst>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83">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164" fontId="0" fillId="0" borderId="0" xfId="51" applyNumberFormat="1" applyFont="1" applyFill="1"/>
    <xf numFmtId="164" fontId="28" fillId="0" borderId="0" xfId="51" applyNumberFormat="1" applyFont="1" applyFill="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41" fontId="46" fillId="0" borderId="0" xfId="53" applyNumberFormat="1" applyFont="1"/>
    <xf numFmtId="0" fontId="46" fillId="0" borderId="0" xfId="53" applyFont="1" applyAlignment="1">
      <alignment horizontal="center"/>
    </xf>
    <xf numFmtId="41" fontId="46" fillId="0" borderId="2" xfId="53" applyNumberFormat="1" applyFont="1" applyBorder="1"/>
    <xf numFmtId="37" fontId="48" fillId="0" borderId="0" xfId="53" applyNumberFormat="1" applyFont="1"/>
    <xf numFmtId="37" fontId="46" fillId="0" borderId="0" xfId="53" applyNumberFormat="1" applyFont="1"/>
    <xf numFmtId="164" fontId="47" fillId="4" borderId="12" xfId="1" applyNumberFormat="1" applyFont="1" applyFill="1" applyBorder="1"/>
    <xf numFmtId="37" fontId="46" fillId="0" borderId="3" xfId="53" applyNumberFormat="1" applyFont="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41" fontId="48" fillId="0" borderId="0" xfId="53" applyNumberFormat="1" applyFont="1"/>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41" fontId="46" fillId="0" borderId="8" xfId="53" applyNumberFormat="1" applyFont="1" applyBorder="1"/>
    <xf numFmtId="5" fontId="46" fillId="0" borderId="0" xfId="53" applyNumberFormat="1" applyFont="1"/>
    <xf numFmtId="37" fontId="46" fillId="0" borderId="2" xfId="53" applyNumberFormat="1" applyFont="1" applyBorder="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47" fillId="0" borderId="12" xfId="53" applyFont="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0" fontId="28" fillId="0" borderId="0" xfId="0" applyFont="1"/>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applyAlignment="1">
      <alignment horizontal="left"/>
    </xf>
    <xf numFmtId="0" fontId="1" fillId="0" borderId="0" xfId="50" applyFont="1" applyFill="1"/>
    <xf numFmtId="0" fontId="1" fillId="0" borderId="0" xfId="50" applyFont="1" applyFill="1" applyAlignment="1">
      <alignment horizontal="left"/>
    </xf>
    <xf numFmtId="0" fontId="4" fillId="0" borderId="0" xfId="50" applyFill="1"/>
    <xf numFmtId="10" fontId="4" fillId="0" borderId="0" xfId="50" applyNumberFormat="1" applyFill="1"/>
    <xf numFmtId="43" fontId="4" fillId="0" borderId="0" xfId="50" applyNumberFormat="1" applyFill="1"/>
    <xf numFmtId="43" fontId="4" fillId="0" borderId="0" xfId="1" applyFont="1" applyFill="1"/>
    <xf numFmtId="164" fontId="0" fillId="0" borderId="2" xfId="51" applyNumberFormat="1" applyFont="1" applyFill="1" applyBorder="1"/>
    <xf numFmtId="164" fontId="0" fillId="0" borderId="8" xfId="51" applyNumberFormat="1" applyFont="1" applyBorder="1"/>
    <xf numFmtId="164" fontId="14" fillId="0" borderId="0" xfId="51" applyNumberFormat="1" applyFont="1" applyFill="1"/>
    <xf numFmtId="164" fontId="14" fillId="0" borderId="0" xfId="51" applyNumberFormat="1" applyFont="1"/>
    <xf numFmtId="164" fontId="48" fillId="0" borderId="0" xfId="1" applyNumberFormat="1" applyFont="1"/>
    <xf numFmtId="164" fontId="14" fillId="0" borderId="0" xfId="1" applyNumberFormat="1"/>
    <xf numFmtId="0" fontId="14" fillId="0" borderId="0" xfId="0" applyFont="1" applyFill="1"/>
    <xf numFmtId="164" fontId="47" fillId="0" borderId="0" xfId="1" applyNumberFormat="1" applyFont="1" applyAlignment="1">
      <alignment horizontal="center"/>
    </xf>
    <xf numFmtId="164" fontId="47" fillId="0" borderId="12" xfId="1" applyNumberFormat="1" applyFont="1" applyBorder="1" applyAlignment="1">
      <alignment horizontal="center" vertical="center" wrapText="1"/>
    </xf>
    <xf numFmtId="164" fontId="47" fillId="0" borderId="0" xfId="1" applyNumberFormat="1" applyFont="1" applyAlignment="1" applyProtection="1">
      <alignment horizontal="center"/>
    </xf>
    <xf numFmtId="164" fontId="0" fillId="0" borderId="0" xfId="0" pivotButton="1" applyNumberFormat="1"/>
    <xf numFmtId="164" fontId="0" fillId="0" borderId="0" xfId="0" applyNumberFormat="1" applyAlignment="1">
      <alignment horizontal="center" wrapText="1"/>
    </xf>
    <xf numFmtId="41" fontId="46" fillId="9" borderId="0" xfId="53" applyNumberFormat="1" applyFont="1" applyFill="1"/>
    <xf numFmtId="164" fontId="17" fillId="9" borderId="20" xfId="9" applyNumberFormat="1" applyFont="1" applyFill="1" applyBorder="1"/>
    <xf numFmtId="37" fontId="46" fillId="9" borderId="2" xfId="53" applyNumberFormat="1" applyFont="1" applyFill="1" applyBorder="1"/>
    <xf numFmtId="41" fontId="46" fillId="9" borderId="2" xfId="53" applyNumberFormat="1" applyFont="1" applyFill="1" applyBorder="1"/>
    <xf numFmtId="41" fontId="46" fillId="9" borderId="8" xfId="53" applyNumberFormat="1" applyFont="1" applyFill="1" applyBorder="1"/>
    <xf numFmtId="2" fontId="48" fillId="9" borderId="0" xfId="53" applyNumberFormat="1" applyFont="1" applyFill="1" applyAlignment="1">
      <alignment horizontal="center"/>
    </xf>
    <xf numFmtId="164" fontId="17" fillId="9" borderId="1" xfId="9" applyNumberFormat="1" applyFont="1" applyFill="1" applyBorder="1"/>
    <xf numFmtId="164" fontId="46" fillId="9" borderId="2" xfId="1" applyNumberFormat="1" applyFont="1" applyFill="1" applyBorder="1"/>
    <xf numFmtId="164" fontId="46" fillId="9" borderId="0" xfId="1" applyNumberFormat="1" applyFont="1" applyFill="1"/>
    <xf numFmtId="164" fontId="46" fillId="9" borderId="8" xfId="1" applyNumberFormat="1" applyFont="1" applyFill="1" applyBorder="1"/>
    <xf numFmtId="164" fontId="0" fillId="9" borderId="0" xfId="0" applyNumberFormat="1" applyFill="1"/>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4" fillId="0" borderId="0" xfId="50"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9">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26652083335"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373265.50296802819"/>
    </cacheField>
    <cacheField name="EOP Hardware" numFmtId="164">
      <sharedItems containsSemiMixedTypes="0" containsString="0" containsNumber="1" containsInteger="1" minValue="0" maxValue="0"/>
    </cacheField>
    <cacheField name="EOP Software" numFmtId="164">
      <sharedItems containsSemiMixedTypes="0" containsString="0" containsNumber="1" minValue="0" maxValue="277030.14848559641"/>
    </cacheField>
    <cacheField name="EOP General" numFmtId="164">
      <sharedItems containsSemiMixedTypes="0" containsString="0" containsNumber="1" minValue="0" maxValue="371074.47181706736"/>
    </cacheField>
    <cacheField name="AMA TotalCost" numFmtId="164">
      <sharedItems containsSemiMixedTypes="0" containsString="0" containsNumber="1" minValue="0" maxValue="251074.4669414016"/>
    </cacheField>
    <cacheField name="AMA Hardware" numFmtId="43">
      <sharedItems containsSemiMixedTypes="0" containsString="0" containsNumber="1" containsInteger="1" minValue="0" maxValue="0"/>
    </cacheField>
    <cacheField name="AMA Software" numFmtId="43">
      <sharedItems containsSemiMixedTypes="0" containsString="0" containsNumber="1" minValue="0" maxValue="40973.148708893736"/>
    </cacheField>
    <cacheField name="AMA General" numFmtId="43">
      <sharedItems containsSemiMixedTypes="0" containsString="0" containsNumber="1" minValue="0" maxValue="249600.684944658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28885763891"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1189543.5785821807"/>
    </cacheField>
    <cacheField name="EOP Hardware" numFmtId="164">
      <sharedItems containsSemiMixedTypes="0" containsString="0" containsNumber="1" containsInteger="1" minValue="0" maxValue="0"/>
    </cacheField>
    <cacheField name="EOP Software" numFmtId="164">
      <sharedItems containsSemiMixedTypes="0" containsString="0" containsNumber="1" minValue="0" maxValue="882855.31768773077"/>
    </cacheField>
    <cacheField name="EOP General" numFmtId="164">
      <sharedItems containsSemiMixedTypes="0" containsString="0" containsNumber="1" minValue="0" maxValue="1182561.0768096496"/>
    </cacheField>
    <cacheField name="AMA TotalCost" numFmtId="164">
      <sharedItems containsSemiMixedTypes="0" containsString="0" containsNumber="1" minValue="0" maxValue="800138.28634378256"/>
    </cacheField>
    <cacheField name="AMA Hardware" numFmtId="43">
      <sharedItems containsSemiMixedTypes="0" containsString="0" containsNumber="1" containsInteger="1" minValue="0" maxValue="0"/>
    </cacheField>
    <cacheField name="AMA Software" numFmtId="43">
      <sharedItems containsSemiMixedTypes="0" containsString="0" containsNumber="1" minValue="0" maxValue="130575.54355654461"/>
    </cacheField>
    <cacheField name="AMA General" numFmtId="43">
      <sharedItems containsSemiMixedTypes="0" containsString="0" containsNumber="1" minValue="0" maxValue="795441.5546701732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5.627893171295"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373265.50296802819"/>
    <n v="0"/>
    <n v="2191.0311509608255"/>
    <n v="371074.47181706736"/>
    <n v="251074.4669414016"/>
    <n v="0"/>
    <n v="1473.7819967429841"/>
    <n v="249600.6849446586"/>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335061.05701785802"/>
    <n v="0"/>
    <n v="277030.14848559641"/>
    <n v="58030.908532261645"/>
    <n v="49556.00172327672"/>
    <n v="0"/>
    <n v="40973.148708893736"/>
    <n v="8582.8530143829848"/>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1189543.5785821807"/>
    <n v="0"/>
    <n v="6982.5017725311136"/>
    <n v="1182561.0768096496"/>
    <n v="800138.28634378256"/>
    <n v="0"/>
    <n v="4696.7316736092898"/>
    <n v="795441.55467017321"/>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0"/>
    <n v="0"/>
    <n v="0"/>
    <n v="0"/>
    <n v="0"/>
    <n v="0"/>
    <n v="0"/>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1067791.4932918139"/>
    <n v="0"/>
    <n v="882855.31768773077"/>
    <n v="184936.1756040832"/>
    <n v="157927.86411119413"/>
    <n v="0"/>
    <n v="130575.54355654461"/>
    <n v="27352.320554649519"/>
  </r>
  <r>
    <x v="30"/>
    <s v="XD101"/>
    <n v="0"/>
    <n v="0"/>
    <n v="1"/>
    <n v="1"/>
    <n v="0"/>
    <n v="0"/>
    <n v="0"/>
    <n v="0"/>
    <n v="0"/>
    <n v="0"/>
    <n v="0"/>
    <n v="0"/>
  </r>
  <r>
    <x v="31"/>
    <s v="19W09"/>
    <n v="0"/>
    <n v="1"/>
    <n v="0"/>
    <n v="1"/>
    <n v="0"/>
    <n v="0"/>
    <n v="0"/>
    <n v="0"/>
    <n v="0"/>
    <n v="0"/>
    <n v="0"/>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0"/>
    <n v="0"/>
    <n v="0"/>
    <n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N"/>
    <s v="ED"/>
    <s v="AN"/>
    <x v="0"/>
    <s v="Asset Condition"/>
    <s v="Substation - Station Rebuilds Program"/>
    <s v="2000"/>
    <x v="0"/>
    <s v="XS026"/>
    <s v="BI_XS026 - System- Distribution Power Transformers"/>
    <s v="T&amp;D"/>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N"/>
    <s v="ED"/>
    <s v="AN"/>
    <x v="0"/>
    <s v="Failed Plant &amp; Operations"/>
    <s v="Electric Storm"/>
    <s v="2051"/>
    <x v="1"/>
    <s v="ZLL05"/>
    <s v="BI_ZLL05 - Electric Transmission Plant-Storm Lew/Clark"/>
    <s v="T&amp;D"/>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N"/>
    <s v="ED"/>
    <s v="ID"/>
    <x v="0"/>
    <s v="Failed Plant &amp; Operations"/>
    <s v="Electric Storm"/>
    <s v="2051"/>
    <x v="1"/>
    <s v="ZCJ05"/>
    <s v="BI_ZCJ05 - Electric Transmission Plant-Storm CDA"/>
    <s v="T&amp;D"/>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N"/>
    <s v="ED"/>
    <s v="AN"/>
    <x v="0"/>
    <s v="Failed Plant &amp; Operations"/>
    <s v="Electric Storm"/>
    <s v="2051"/>
    <x v="1"/>
    <s v="XT704"/>
    <s v="BI_XT704 - TX Unplanned Failure Prevention"/>
    <s v="T&amp;D"/>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N"/>
    <s v="ED"/>
    <s v="AN"/>
    <x v="0"/>
    <s v="Failed Plant &amp; Operations"/>
    <s v="Electric Storm"/>
    <s v="2051"/>
    <x v="1"/>
    <s v="LS005"/>
    <s v="BI_LS005 - Electric Transmission Plant-Storm System"/>
    <s v="T&amp;D"/>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N"/>
    <s v="ED"/>
    <s v="WA"/>
    <x v="0"/>
    <s v="Asset Condition"/>
    <s v="Distribution Minor Rebuild"/>
    <s v="2055"/>
    <x v="2"/>
    <s v="ZBR60"/>
    <s v="BI_ZBR60 - Deteriorated Pole Replacement Davenport"/>
    <s v="T&amp;D"/>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N"/>
    <s v="ED"/>
    <s v="AN"/>
    <x v="0"/>
    <s v="Asset Condition"/>
    <s v="Distribution Minor Rebuild"/>
    <s v="2055"/>
    <x v="2"/>
    <s v="ZBW60"/>
    <s v="BI_ZBW60 - Deteriorated Pole Replacement Colville"/>
    <s v="T&amp;D"/>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N"/>
    <s v="ED"/>
    <s v="WA"/>
    <x v="0"/>
    <s v="Asset Condition"/>
    <s v="Distribution Minor Rebuild"/>
    <s v="2055"/>
    <x v="2"/>
    <s v="ZDP60"/>
    <s v="BI_ZDP60 - Deteriorated Pole Replacement Deer Park"/>
    <s v="T&amp;D"/>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N"/>
    <s v="ED"/>
    <s v="AN"/>
    <x v="0"/>
    <s v="Asset Condition"/>
    <s v="Distribution Minor Rebuild"/>
    <s v="2055"/>
    <x v="2"/>
    <s v="ZPJ60"/>
    <s v="BI_ZPJ60 - Deteriorated Pole Replacement Pullman"/>
    <s v="T&amp;D"/>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N"/>
    <s v="ED"/>
    <s v="WA"/>
    <x v="0"/>
    <s v="Asset Condition"/>
    <s v="Distribution Minor Rebuild"/>
    <s v="2055"/>
    <x v="2"/>
    <s v="ZDP34"/>
    <s v="BI_ZDP34 - Electric Distr Blanket - Deer Park"/>
    <s v="T&amp;D"/>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N"/>
    <s v="ED"/>
    <s v="AN"/>
    <x v="0"/>
    <s v="Asset Condition"/>
    <s v="Distribution Minor Rebuild"/>
    <s v="2055"/>
    <x v="2"/>
    <s v="ZLL60"/>
    <s v="BI_ZLL60 - Deteriorated Pole Replacement Lewiston"/>
    <s v="T&amp;D"/>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N"/>
    <s v="ED"/>
    <s v="WA"/>
    <x v="0"/>
    <s v="Asset Condition"/>
    <s v="Distribution Minor Rebuild"/>
    <s v="2055"/>
    <x v="2"/>
    <s v="ZBR34"/>
    <s v="BI_ZBR34 - Elect Distr Blanket - Davenport"/>
    <s v="T&amp;D"/>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N"/>
    <s v="ED"/>
    <s v="WA"/>
    <x v="0"/>
    <s v="Asset Condition"/>
    <s v="Distribution Minor Rebuild"/>
    <s v="2055"/>
    <x v="2"/>
    <s v="ZBO60"/>
    <s v="BI_ZBO60 - Deteriorated Pole Replacement Othello"/>
    <s v="T&amp;D"/>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N"/>
    <s v="ED"/>
    <s v="WA"/>
    <x v="0"/>
    <s v="Asset Condition"/>
    <s v="Distribution Minor Rebuild"/>
    <s v="2055"/>
    <x v="2"/>
    <s v="ZD001"/>
    <s v="BI_ZD001 - WA Customer Requested/Caused"/>
    <s v="T&amp;D"/>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N"/>
    <s v="ED"/>
    <s v="AN"/>
    <x v="0"/>
    <s v="Asset Condition"/>
    <s v="Distribution Minor Rebuild"/>
    <s v="2055"/>
    <x v="2"/>
    <s v="ZLL34"/>
    <s v="BI_ZLL34 - Elect Distr Blanket - Lewis/Clark"/>
    <s v="T&amp;D"/>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N"/>
    <s v="ED"/>
    <s v="WA"/>
    <x v="0"/>
    <s v="Asset Condition"/>
    <s v="Distribution Minor Rebuild"/>
    <s v="2055"/>
    <x v="2"/>
    <s v="ZD013"/>
    <s v="BI_ZD013 - WA Elec DX Facility Upgrades &amp; Efficiency Imprvmts"/>
    <s v="T&amp;D"/>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N"/>
    <s v="ED"/>
    <s v="WA"/>
    <x v="0"/>
    <s v="Asset Condition"/>
    <s v="Distribution Minor Rebuild"/>
    <s v="2055"/>
    <x v="2"/>
    <s v="ZD007"/>
    <s v="BI_ZD007 - WA NESC/Operating Standard Violations"/>
    <s v="T&amp;D"/>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N"/>
    <s v="ED"/>
    <s v="WA"/>
    <x v="0"/>
    <s v="Asset Condition"/>
    <s v="Distribution Minor Rebuild"/>
    <s v="2055"/>
    <x v="2"/>
    <s v="ZBW34"/>
    <s v="BI_ZBW34 - Elect Distr Blanket - Colville Area"/>
    <s v="T&amp;D"/>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N"/>
    <s v="ED"/>
    <s v="WA"/>
    <x v="0"/>
    <s v="Asset Condition"/>
    <s v="Distribution Minor Rebuild"/>
    <s v="2055"/>
    <x v="2"/>
    <s v="ZBO34"/>
    <s v="BI_ZBO34 - Elect Distr Blanket - Othello"/>
    <s v="T&amp;D"/>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N"/>
    <s v="ED"/>
    <s v="WA"/>
    <x v="0"/>
    <s v="Asset Condition"/>
    <s v="Distribution Minor Rebuild"/>
    <s v="2055"/>
    <x v="2"/>
    <s v="ZBC60"/>
    <s v="BI_ZBC60 - Deteriorated Pole Replacement Spokane"/>
    <s v="T&amp;D"/>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N"/>
    <s v="ED"/>
    <s v="AN"/>
    <x v="0"/>
    <s v="Asset Condition"/>
    <s v="Distribution Minor Rebuild"/>
    <s v="2055"/>
    <x v="2"/>
    <s v="ZPJ34"/>
    <s v="BI_ZPJ34 - Electr Distr Blanket - Palouse Area"/>
    <s v="T&amp;D"/>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N"/>
    <s v="ED"/>
    <s v="WA"/>
    <x v="0"/>
    <s v="Asset Condition"/>
    <s v="Distribution Minor Rebuild"/>
    <s v="2055"/>
    <x v="2"/>
    <s v="ZD016"/>
    <s v="BI_ZD016 - WA Elec DX Facility Route &amp; Location Modifications"/>
    <s v="T&amp;D"/>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N"/>
    <s v="ED"/>
    <s v="WA"/>
    <x v="0"/>
    <s v="Asset Condition"/>
    <s v="Distribution Minor Rebuild"/>
    <s v="2055"/>
    <x v="2"/>
    <s v="ZD010"/>
    <s v="BI_ZD010 - WA Asset Condition"/>
    <s v="T&amp;D"/>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N"/>
    <s v="ED"/>
    <s v="WA"/>
    <x v="0"/>
    <s v="Asset Condition"/>
    <s v="Distribution Minor Rebuild"/>
    <s v="2055"/>
    <x v="2"/>
    <s v="ZBC34"/>
    <s v="BI_ZBC34 - Elect Distr Minor Blanket-Spokane"/>
    <s v="T&amp;D"/>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N"/>
    <s v="ED"/>
    <s v="AN"/>
    <x v="1"/>
    <s v="Mandatory &amp; Compliance"/>
    <s v="Elec Relocation and Replacement Program"/>
    <s v="2056"/>
    <x v="3"/>
    <s v="56L08"/>
    <s v="BI_56L08 - Transmission Line  Road Move"/>
    <s v="T&amp;D"/>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N"/>
    <s v="ED"/>
    <s v="WA"/>
    <x v="1"/>
    <s v="Mandatory &amp; Compliance"/>
    <s v="Elec Relocation and Replacement Program"/>
    <s v="2056"/>
    <x v="3"/>
    <s v="ZBO35"/>
    <s v="BI_ZBO35 - Distr Line Reloc - Othello"/>
    <s v="T&amp;D"/>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N"/>
    <s v="ED"/>
    <s v="WA"/>
    <x v="1"/>
    <s v="Mandatory &amp; Compliance"/>
    <s v="Elec Relocation and Replacement Program"/>
    <s v="2056"/>
    <x v="3"/>
    <s v="ZDP35"/>
    <s v="BI_ZDP35 - Distr Line Reloc - Deer Park"/>
    <s v="T&amp;D"/>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N"/>
    <s v="ED"/>
    <s v="AN"/>
    <x v="1"/>
    <s v="Mandatory &amp; Compliance"/>
    <s v="Elec Relocation and Replacement Program"/>
    <s v="2056"/>
    <x v="3"/>
    <s v="ZLL35"/>
    <s v="BI_ZLL35 - Distr Line Relocates-L/C"/>
    <s v="T&amp;D"/>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N"/>
    <s v="ED"/>
    <s v="WA"/>
    <x v="1"/>
    <s v="Mandatory &amp; Compliance"/>
    <s v="Elec Relocation and Replacement Program"/>
    <s v="2056"/>
    <x v="3"/>
    <s v="ZBW35"/>
    <s v="BI_ZBW35 - Distr Line Relocate-Colvill"/>
    <s v="T&amp;D"/>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N"/>
    <s v="ED"/>
    <s v="AN"/>
    <x v="1"/>
    <s v="Mandatory &amp; Compliance"/>
    <s v="Elec Relocation and Replacement Program"/>
    <s v="2056"/>
    <x v="3"/>
    <s v="ZPJ35"/>
    <s v="BI_ZPJ35 - Distr Relocation-Palouse"/>
    <s v="T&amp;D"/>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N"/>
    <s v="ED"/>
    <s v="WA"/>
    <x v="1"/>
    <s v="Mandatory &amp; Compliance"/>
    <s v="Elec Relocation and Replacement Program"/>
    <s v="2056"/>
    <x v="3"/>
    <s v="ZNT35"/>
    <s v="BI_ZNT35 - Distr Line Relocation - Network Spokane"/>
    <s v="T&amp;D"/>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N"/>
    <s v="ED"/>
    <s v="WA"/>
    <x v="1"/>
    <s v="Mandatory &amp; Compliance"/>
    <s v="Elec Relocation and Replacement Program"/>
    <s v="2056"/>
    <x v="3"/>
    <s v="ZBC35"/>
    <s v="BI_ZBC35 - Distr Line Relocation-Spokane"/>
    <s v="T&amp;D"/>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N"/>
    <s v="ED"/>
    <s v="AN"/>
    <x v="0"/>
    <s v="Asset Condition"/>
    <s v="Transmission - Minor Rebuild"/>
    <s v="2057"/>
    <x v="4"/>
    <s v="XT902"/>
    <s v="BI_XT902 - Patrol Inspection Mitigation Pre-Failure Projects"/>
    <s v="T&amp;D"/>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N"/>
    <s v="ED"/>
    <s v="ID"/>
    <x v="0"/>
    <s v="Asset Condition"/>
    <s v="Transmission - Minor Rebuild"/>
    <s v="2057"/>
    <x v="4"/>
    <s v="AMT13"/>
    <s v="BI_AMT13 - Asset Mgmt Trans Minor Rebuilds ID"/>
    <s v="T&amp;D"/>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N"/>
    <s v="ED"/>
    <s v="WA"/>
    <x v="0"/>
    <s v="Asset Condition"/>
    <s v="Transmission - Minor Rebuild"/>
    <s v="2057"/>
    <x v="4"/>
    <s v="AMT12"/>
    <s v="BI_AMT12 - Asset Mgmt Trans Minor Rebuilds WA"/>
    <s v="T&amp;D"/>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N"/>
    <s v="ED"/>
    <s v="AN"/>
    <x v="0"/>
    <s v="Failed Plant &amp; Operations"/>
    <s v="Electric Storm"/>
    <s v="2059"/>
    <x v="5"/>
    <s v="ZLL52"/>
    <s v="BI_ZLL52 - Failed Electric Dist Plant-Storm Lewis/Clark"/>
    <s v="T&amp;D"/>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N"/>
    <s v="ED"/>
    <s v="WA"/>
    <x v="0"/>
    <s v="Failed Plant &amp; Operations"/>
    <s v="Electric Storm"/>
    <s v="2059"/>
    <x v="5"/>
    <s v="ZBR52"/>
    <s v="BI_ZBR52 - Failed Electric Dist Plant-Storm Davenport"/>
    <s v="T&amp;D"/>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N"/>
    <s v="ED"/>
    <s v="WA"/>
    <x v="0"/>
    <s v="Failed Plant &amp; Operations"/>
    <s v="Electric Storm"/>
    <s v="2059"/>
    <x v="5"/>
    <s v="ZDP52"/>
    <s v="BI_ZDP52 - Failed Electric Dist Plant-Storm Deer Park"/>
    <s v="T&amp;D"/>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N"/>
    <s v="ED"/>
    <s v="AN"/>
    <x v="0"/>
    <s v="Failed Plant &amp; Operations"/>
    <s v="Electric Storm"/>
    <s v="2059"/>
    <x v="5"/>
    <s v="ZPJ52"/>
    <s v="BI_ZPJ52 - Failed Electric Dist Plant-Storm Palouse"/>
    <s v="T&amp;D"/>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N"/>
    <s v="ED"/>
    <s v="WA"/>
    <x v="0"/>
    <s v="Failed Plant &amp; Operations"/>
    <s v="Electric Storm"/>
    <s v="2059"/>
    <x v="5"/>
    <s v="ZBO52"/>
    <s v="BI_ZBO52 - Failed Electric Dist Plant-Storm Othello"/>
    <s v="T&amp;D"/>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N"/>
    <s v="ED"/>
    <s v="WA"/>
    <x v="0"/>
    <s v="Failed Plant &amp; Operations"/>
    <s v="Electric Storm"/>
    <s v="2059"/>
    <x v="5"/>
    <s v="ZBC52"/>
    <s v="BI_ZBC52 - Failed Electric Dist Plant-Storm Spokane"/>
    <s v="T&amp;D"/>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N"/>
    <s v="ED"/>
    <s v="WA"/>
    <x v="0"/>
    <s v="Failed Plant &amp; Operations"/>
    <s v="Electric Storm"/>
    <s v="2059"/>
    <x v="5"/>
    <s v="ZBW52"/>
    <s v="BI_ZBW52 - Failed Electric Dist Plant-Storm Colville"/>
    <s v="T&amp;D"/>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N"/>
    <s v="ED"/>
    <s v="AN"/>
    <x v="0"/>
    <s v="Asset Condition"/>
    <s v="Wood Pole Management"/>
    <s v="2060"/>
    <x v="6"/>
    <s v="YV001"/>
    <s v="BI_YV001 - Pole Test and Treat Replacement Blanket"/>
    <s v="T&amp;D"/>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N"/>
    <s v="ED"/>
    <s v="WA"/>
    <x v="0"/>
    <s v="Asset Condition"/>
    <s v="Downtown Network - Asset Condition"/>
    <s v="2062"/>
    <x v="7"/>
    <s v="ZBC63"/>
    <s v="BI_ZBC63 - Downtown Network Asset Condition URD Cable"/>
    <s v="T&amp;D"/>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N"/>
    <s v="ED"/>
    <s v="WA"/>
    <x v="0"/>
    <s v="Asset Condition"/>
    <s v="Downtown Network - Asset Condition"/>
    <s v="2062"/>
    <x v="7"/>
    <s v="ZBC65"/>
    <s v="BI_ZBC65 - Downtown Network Asset Condition Failed Plant"/>
    <s v="T&amp;D"/>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N"/>
    <s v="ED"/>
    <s v="WA"/>
    <x v="0"/>
    <s v="Asset Condition"/>
    <s v="Downtown Network - Asset Condition"/>
    <s v="2062"/>
    <x v="7"/>
    <s v="ZBC61"/>
    <s v="BI_ZBC61 - Downtown Network Asset Condition Lighting"/>
    <s v="T&amp;D"/>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N"/>
    <s v="ED"/>
    <s v="WA"/>
    <x v="0"/>
    <s v="Asset Condition"/>
    <s v="Downtown Network - Asset Condition"/>
    <s v="2062"/>
    <x v="7"/>
    <s v="ZBC62"/>
    <s v="BI_ZBC62 - Downtown Network Asset Condition Mechanical Equip"/>
    <s v="T&amp;D"/>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N"/>
    <s v="ED"/>
    <s v="WA"/>
    <x v="0"/>
    <s v="Asset Condition"/>
    <s v="Downtown Network - Asset Condition"/>
    <s v="2062"/>
    <x v="7"/>
    <s v="ZBC64"/>
    <s v="BI_ZBC64 - Downtown Network Asset Condition Elec Equip"/>
    <s v="T&amp;D"/>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N"/>
    <s v="ED"/>
    <s v="WA"/>
    <x v="0"/>
    <s v="Performance &amp; Capacity"/>
    <s v="Downtown Network - Performance &amp; Capacity"/>
    <s v="2063"/>
    <x v="8"/>
    <s v="SD826"/>
    <s v="BI_SD826 - Electrical Improvements"/>
    <s v="T&amp;D"/>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N"/>
    <s v="ED"/>
    <s v="WA"/>
    <x v="0"/>
    <s v="Performance &amp; Capacity"/>
    <s v="Downtown Network - Performance &amp; Capacity"/>
    <s v="2063"/>
    <x v="8"/>
    <s v="SD827"/>
    <s v="BI_SD827 - Structural Improvements"/>
    <s v="T&amp;D"/>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N"/>
    <s v="ED"/>
    <s v="WA"/>
    <x v="0"/>
    <s v="Performance &amp; Capacity"/>
    <s v="Downtown Network - Performance &amp; Capacity"/>
    <s v="2063"/>
    <x v="8"/>
    <s v="SD822"/>
    <s v="BI_SD822 - Vault Integration"/>
    <s v="T&amp;D"/>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N"/>
    <s v="ED"/>
    <s v="WA"/>
    <x v="1"/>
    <s v="Mandatory &amp; Compliance"/>
    <s v="Joint Use"/>
    <s v="2074"/>
    <x v="9"/>
    <s v="ZD019"/>
    <s v="BI_ZD019 - Joint Use WA"/>
    <s v="T&amp;D"/>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N"/>
    <s v="ED"/>
    <s v="WA"/>
    <x v="0"/>
    <s v="Asset Condition"/>
    <s v="Substation - Station Rebuilds Program"/>
    <s v="2204"/>
    <x v="10"/>
    <s v="SS703"/>
    <s v="BI_SS703 - Westside Auto Transformer #2"/>
    <s v="T&amp;D"/>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N"/>
    <s v="ED"/>
    <s v="WA"/>
    <x v="0"/>
    <s v="Asset Condition"/>
    <s v="Substation - Station Rebuilds Program"/>
    <s v="2204"/>
    <x v="10"/>
    <s v="SS208"/>
    <s v="BI_SS208 - Metro 115 kV - Rebuild Substation"/>
    <s v="T&amp;D"/>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N"/>
    <s v="ED"/>
    <s v="AN"/>
    <x v="0"/>
    <s v="Asset Condition"/>
    <s v="Substation - Station Rebuilds Program"/>
    <s v="2204"/>
    <x v="10"/>
    <s v="ST817"/>
    <s v="BI_ST817 - Valleyway Tap Sub Rbld(Metering Add):Trans Intgrtn"/>
    <s v="T&amp;D"/>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N"/>
    <s v="ED"/>
    <s v="AN"/>
    <x v="0"/>
    <s v="Asset Condition"/>
    <s v="Substation - Station Rebuilds Program"/>
    <s v="2204"/>
    <x v="10"/>
    <s v="FS700"/>
    <s v="BI_FS700 - Lee &amp; Reynolds Sub 115/13V Capacity Increase"/>
    <s v="T&amp;D"/>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N"/>
    <s v="ED"/>
    <s v="AN"/>
    <x v="0"/>
    <s v="Asset Condition"/>
    <s v="Substation - Station Rebuilds Program"/>
    <s v="2204"/>
    <x v="10"/>
    <s v="SS811"/>
    <s v="BI_SS811 - Mead Feeder 12F3 Addition"/>
    <s v="T&amp;D"/>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N"/>
    <s v="ED"/>
    <s v="AN"/>
    <x v="0"/>
    <s v="Asset Condition"/>
    <s v="Substation - Station Rebuilds Program"/>
    <s v="2204"/>
    <x v="10"/>
    <s v="BT306"/>
    <s v="BI_BT306 - Ford Substation 115-13kV Rebuild - Tx Integration"/>
    <s v="T&amp;D"/>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N"/>
    <s v="ED"/>
    <s v="AN"/>
    <x v="0"/>
    <s v="Asset Condition"/>
    <s v="Substation - Station Rebuilds Program"/>
    <s v="2204"/>
    <x v="10"/>
    <s v="CS503"/>
    <s v="BI_CS503 - Huetter - Expand Sub - Add Capacity"/>
    <s v="T&amp;D"/>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N"/>
    <s v="ED"/>
    <s v="WA"/>
    <x v="0"/>
    <s v="Asset Condition"/>
    <s v="Substation - Station Rebuilds Program"/>
    <s v="2204"/>
    <x v="10"/>
    <s v="FD700"/>
    <s v="BI_FD700 - Lee&amp;Reynolds 2nd Xfm:  Integrate Distribution Circuits"/>
    <s v="T&amp;D"/>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N"/>
    <s v="ED"/>
    <s v="WA"/>
    <x v="0"/>
    <s v="Asset Condition"/>
    <s v="Substation - Station Rebuilds Program"/>
    <s v="2204"/>
    <x v="10"/>
    <s v="BS400"/>
    <s v="BI_BS400 - Davenport 115 kV Substation - Minor Rebuild"/>
    <s v="T&amp;D"/>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N"/>
    <s v="ED"/>
    <s v="AN"/>
    <x v="0"/>
    <s v="Asset Condition"/>
    <s v="Substation - Station Rebuilds Program"/>
    <s v="2204"/>
    <x v="10"/>
    <s v="SS890"/>
    <s v="BI_SS890 - Sunset Sub - Rebuild"/>
    <s v="T&amp;D"/>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N"/>
    <s v="ED"/>
    <s v="WA"/>
    <x v="0"/>
    <s v="Asset Condition"/>
    <s v="Substation - Station Rebuilds Program"/>
    <s v="2204"/>
    <x v="10"/>
    <s v="BS202"/>
    <s v="BI_BS202 - Ford 115 kV - Rebuild Substation"/>
    <s v="T&amp;D"/>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N"/>
    <s v="ED"/>
    <s v="AN"/>
    <x v="0"/>
    <s v="Asset Condition"/>
    <s v="Substation - Station Rebuilds Program"/>
    <s v="2204"/>
    <x v="10"/>
    <s v="XS010"/>
    <s v="BI_XS010 - Substation Acquisitions (Dx. Subs)"/>
    <s v="T&amp;D"/>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N"/>
    <s v="ED"/>
    <s v="AN"/>
    <x v="0"/>
    <s v="Asset Condition"/>
    <s v="Substation - Station Rebuilds Program"/>
    <s v="2215"/>
    <x v="11"/>
    <s v="XS002"/>
    <s v="BI_XS002 - System - Relay Replace / Install"/>
    <s v="T&amp;D"/>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N"/>
    <s v="ED"/>
    <s v="AN"/>
    <x v="0"/>
    <s v="Asset Condition"/>
    <s v="Substation - Station Rebuilds Program"/>
    <s v="2215"/>
    <x v="11"/>
    <s v="AMS07"/>
    <s v="BI_AMS07 - System - Relay Replace / Install - AM"/>
    <s v="T&amp;D"/>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N"/>
    <s v="ED"/>
    <s v="AN"/>
    <x v="0"/>
    <s v="Asset Condition"/>
    <s v="Substation - Station Rebuilds Program"/>
    <s v="2215"/>
    <x v="11"/>
    <s v="AMS80"/>
    <s v="BI_AMS80 - System - High Voltage Fuse Upgrades"/>
    <s v="T&amp;D"/>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N"/>
    <s v="ED"/>
    <s v="AN"/>
    <x v="0"/>
    <s v="Asset Condition"/>
    <s v="Substation - Station Rebuilds Program"/>
    <s v="2215"/>
    <x v="11"/>
    <s v="XS903"/>
    <s v="BI_XS903 - System - Autotransformer Diagnostic Monitor Install"/>
    <s v="T&amp;D"/>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N"/>
    <s v="ED"/>
    <s v="AN"/>
    <x v="0"/>
    <s v="Asset Condition"/>
    <s v="Substation - Station Rebuilds Program"/>
    <s v="2215"/>
    <x v="11"/>
    <s v="AMS81"/>
    <s v="BI_AMS81 - System - Surge Protection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801"/>
    <s v="BI_XS801 - System - Metering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XS951"/>
    <s v="BI_XS951 - System - SCADA Replace / Install"/>
    <s v="T&amp;D"/>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N"/>
    <s v="ED"/>
    <s v="AN"/>
    <x v="0"/>
    <s v="Asset Condition"/>
    <s v="Substation - Station Rebuilds Program"/>
    <s v="2215"/>
    <x v="11"/>
    <s v="AMS09"/>
    <s v="BI_AMS09 - System - Battery &amp; Charger Replace - Transmission"/>
    <s v="T&amp;D"/>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N"/>
    <s v="ED"/>
    <s v="AN"/>
    <x v="0"/>
    <s v="Asset Condition"/>
    <s v="Substation - Station Rebuilds Program"/>
    <s v="2215"/>
    <x v="11"/>
    <s v="XS905"/>
    <s v="BI_XS905 - System - Current &amp; Potential Device Replace"/>
    <s v="T&amp;D"/>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N"/>
    <s v="ED"/>
    <s v="AN"/>
    <x v="0"/>
    <s v="Asset Condition"/>
    <s v="Substation - Station Rebuilds Program"/>
    <s v="2215"/>
    <x v="11"/>
    <s v="AMS82"/>
    <s v="BI_AMS82 - System - Crushed Rock &amp; Fence Restoration - AM"/>
    <s v="T&amp;D"/>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N"/>
    <s v="ED"/>
    <s v="AN"/>
    <x v="0"/>
    <s v="Asset Condition"/>
    <s v="Substation - Station Rebuilds Program"/>
    <s v="2215"/>
    <x v="11"/>
    <s v="XS206"/>
    <s v="BI_XS206 - System - Substation Structure Replace / Install"/>
    <s v="T&amp;D"/>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N"/>
    <s v="ED"/>
    <s v="AN"/>
    <x v="0"/>
    <s v="Asset Condition"/>
    <s v="Substation - Station Rebuilds Program"/>
    <s v="2215"/>
    <x v="11"/>
    <s v="AMS84"/>
    <s v="BI_AMS84 - System - Circuit Switcher Replace - AM"/>
    <s v="T&amp;D"/>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N"/>
    <s v="ED"/>
    <s v="AN"/>
    <x v="0"/>
    <s v="Asset Condition"/>
    <s v="Substation - Station Rebuilds Program"/>
    <s v="2215"/>
    <x v="11"/>
    <s v="XS701"/>
    <s v="BI_XS701 - System Asset Management Miscellaneous Replacements"/>
    <s v="T&amp;D"/>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N"/>
    <s v="ED"/>
    <s v="AN"/>
    <x v="0"/>
    <s v="Asset Condition"/>
    <s v="Substation - Station Rebuilds Program"/>
    <s v="2215"/>
    <x v="11"/>
    <s v="AMS85"/>
    <s v="BI_AMS85 - System - Air Switches Replace / Install"/>
    <s v="T&amp;D"/>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N"/>
    <s v="ED"/>
    <s v="AN"/>
    <x v="0"/>
    <s v="Asset Condition"/>
    <s v="Substation - Station Rebuilds Program"/>
    <s v="2215"/>
    <x v="11"/>
    <s v="AMS83"/>
    <s v="BI_AMS83 - System - Low Voltage Breaker Replace - AM"/>
    <s v="T&amp;D"/>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N"/>
    <s v="ED"/>
    <s v="AN"/>
    <x v="0"/>
    <s v="Asset Condition"/>
    <s v="Substation - Station Rebuilds Program"/>
    <s v="2215"/>
    <x v="11"/>
    <s v="AMS10"/>
    <s v="BI_AMS10 - System - Battery &amp; Charger Replace - Distribution"/>
    <s v="T&amp;D"/>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N"/>
    <s v="ED"/>
    <s v="AN"/>
    <x v="0"/>
    <s v="Asset Condition"/>
    <s v="Substation - Station Rebuilds Program"/>
    <s v="2215"/>
    <x v="11"/>
    <s v="AMS32"/>
    <s v="BI_AMS32 - System - High Voltage Breaker Replace - AM"/>
    <s v="T&amp;D"/>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N"/>
    <s v="ED"/>
    <s v="AN"/>
    <x v="0"/>
    <s v="Asset Condition"/>
    <s v="Substation - Station Rebuilds Program"/>
    <s v="2215"/>
    <x v="11"/>
    <s v="XS904"/>
    <s v="BI_XS904 - System - Voltage Regulator Replace / Install"/>
    <s v="T&amp;D"/>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N"/>
    <s v="ED"/>
    <s v="AN"/>
    <x v="0"/>
    <s v="Asset Condition"/>
    <s v="Substation - Station Rebuilds Program"/>
    <s v="2215"/>
    <x v="11"/>
    <s v="AMS28"/>
    <s v="BI_AMS28 - System - Dist Power Transformer Replace - Condition"/>
    <s v="T&amp;D"/>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N"/>
    <s v="ED"/>
    <s v="WA"/>
    <x v="0"/>
    <s v="Performance &amp; Capacity"/>
    <s v="Substation - New Distribution Station Capacity Program"/>
    <s v="2274"/>
    <x v="12"/>
    <s v="SS522"/>
    <s v="BI_SS522 - Southeast 12F6 - Add New Feeder"/>
    <s v="T&amp;D"/>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N"/>
    <s v="ED"/>
    <s v="WA"/>
    <x v="0"/>
    <s v="Performance &amp; Capacity"/>
    <s v="Substation - New Distribution Station Capacity Program"/>
    <s v="2274"/>
    <x v="12"/>
    <s v="SD107"/>
    <s v="BI_SD107 - Southeast 12F6 - Cx FDR"/>
    <s v="T&amp;D"/>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N"/>
    <s v="ED"/>
    <s v="WA"/>
    <x v="0"/>
    <s v="Performance &amp; Capacity"/>
    <s v="Substation - New Distribution Station Capacity Program"/>
    <s v="2274"/>
    <x v="12"/>
    <s v="SS812"/>
    <s v="BI_SS812 - Boulder 115/13kV Substation"/>
    <s v="T&amp;D"/>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N"/>
    <s v="ED"/>
    <s v="AN"/>
    <x v="0"/>
    <s v="Performance &amp; Capacity"/>
    <s v="Substation - New Distribution Station Capacity Program"/>
    <s v="2274"/>
    <x v="12"/>
    <s v="CT800"/>
    <s v="BI_CT800 - Dalton Substation - Rebuild (Transmission)"/>
    <s v="T&amp;D"/>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N"/>
    <s v="ED"/>
    <s v="ID"/>
    <x v="0"/>
    <s v="Performance &amp; Capacity"/>
    <s v="Substation - New Distribution Station Capacity Program"/>
    <s v="2274"/>
    <x v="12"/>
    <s v="CD601"/>
    <s v="BI_CD601 - Dalton 30MVA XFM: Distribution Line Integration"/>
    <s v="T&amp;D"/>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N"/>
    <s v="ED"/>
    <s v="ID"/>
    <x v="0"/>
    <s v="Performance &amp; Capacity"/>
    <s v="Substation - New Distribution Station Capacity Program"/>
    <s v="2274"/>
    <x v="12"/>
    <s v="CS600"/>
    <s v="BI_CS600 - Dalton - Rebuild Sub - Add Capacity"/>
    <s v="T&amp;D"/>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N"/>
    <s v="ED"/>
    <s v="AN"/>
    <x v="0"/>
    <s v="Asset Condition"/>
    <s v="SCADA - SOO and BuCC"/>
    <s v="2277"/>
    <x v="13"/>
    <s v="YQ301"/>
    <s v="BI_YQ301 - Scada Upgrade"/>
    <s v="T&amp;D"/>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N"/>
    <s v="ED"/>
    <s v="AN"/>
    <x v="1"/>
    <s v="Mandatory &amp; Compliance"/>
    <s v="Transmission Construction - Compliance"/>
    <s v="2457"/>
    <x v="14"/>
    <s v="FT130"/>
    <s v="BI_FT130 - Benton-Othello 115 Recond"/>
    <s v="T&amp;D"/>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N"/>
    <s v="ED"/>
    <s v="WA"/>
    <x v="0"/>
    <s v="Asset Condition"/>
    <s v="Distribution Grid Modernization"/>
    <s v="2470"/>
    <x v="15"/>
    <s v="PD502"/>
    <s v="BI_PD502 - TUR112 Feeder Upgrade"/>
    <s v="T&amp;D"/>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N"/>
    <s v="ED"/>
    <s v="WA"/>
    <x v="0"/>
    <s v="Asset Condition"/>
    <s v="Distribution Grid Modernization"/>
    <s v="2470"/>
    <x v="15"/>
    <s v="SD707"/>
    <s v="BI_SD707 - F&amp;C12F1  Grid Modernization"/>
    <s v="T&amp;D"/>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N"/>
    <s v="ED"/>
    <s v="WA"/>
    <x v="0"/>
    <s v="Asset Condition"/>
    <s v="Distribution Grid Modernization"/>
    <s v="2470"/>
    <x v="15"/>
    <s v="FD502"/>
    <s v="BI_FD502 - SPR761 Feeder Upgrade"/>
    <s v="T&amp;D"/>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N"/>
    <s v="ED"/>
    <s v="WA"/>
    <x v="0"/>
    <s v="Performance &amp; Capacity"/>
    <s v="Segment Reconductor and FDR Tie"/>
    <s v="2514"/>
    <x v="16"/>
    <s v="BD801"/>
    <s v="BI_BD801 - Othello Area Ops:  2 Viper Reclosers, 3 Air Switch"/>
    <s v="T&amp;D"/>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N"/>
    <s v="ED"/>
    <s v="WA"/>
    <x v="0"/>
    <s v="Performance &amp; Capacity"/>
    <s v="Segment Reconductor and FDR Tie"/>
    <s v="2514"/>
    <x v="16"/>
    <s v="DD902"/>
    <s v="BI_DD902 - DEP 12F2 Grote Rd Recond (1m)"/>
    <s v="T&amp;D"/>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N"/>
    <s v="ED"/>
    <s v="WA"/>
    <x v="0"/>
    <s v="Performance &amp; Capacity"/>
    <s v="Segment Reconductor and FDR Tie"/>
    <s v="2514"/>
    <x v="16"/>
    <s v="WD806"/>
    <s v="BI_WD806 - KET12F2 Reconductor River Crossing"/>
    <s v="T&amp;D"/>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N"/>
    <s v="ED"/>
    <s v="WA"/>
    <x v="0"/>
    <s v="Performance &amp; Capacity"/>
    <s v="Segment Reconductor and FDR Tie"/>
    <s v="2514"/>
    <x v="16"/>
    <s v="DD990"/>
    <s v="BI_DD990 - Deer Park Area - Dx Performance and Capacity"/>
    <s v="T&amp;D"/>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N"/>
    <s v="ED"/>
    <s v="WA"/>
    <x v="0"/>
    <s v="Performance &amp; Capacity"/>
    <s v="Segment Reconductor and FDR Tie"/>
    <s v="2514"/>
    <x v="16"/>
    <s v="SD702"/>
    <s v="BI_SD702 - COB 12F1 - Split FDR"/>
    <s v="T&amp;D"/>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N"/>
    <s v="ED"/>
    <s v="WA"/>
    <x v="0"/>
    <s v="Performance &amp; Capacity"/>
    <s v="Segment Reconductor and FDR Tie"/>
    <s v="2514"/>
    <x v="16"/>
    <s v="WD801"/>
    <s v="BI_WD801 - Orin 12F3:  Recond 4 miles"/>
    <s v="T&amp;D"/>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N"/>
    <s v="ED"/>
    <s v="WA"/>
    <x v="0"/>
    <s v="Performance &amp; Capacity"/>
    <s v="Segment Reconductor and FDR Tie"/>
    <s v="2514"/>
    <x v="16"/>
    <s v="SD528"/>
    <s v="BI_SD528 - INT 12F2-DEE 12F1 Improve Tie"/>
    <s v="T&amp;D"/>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N"/>
    <s v="ED"/>
    <s v="WA"/>
    <x v="0"/>
    <s v="Performance &amp; Capacity"/>
    <s v="Segment Reconductor and FDR Tie"/>
    <s v="2514"/>
    <x v="16"/>
    <s v="SD930"/>
    <s v="BI_SD930 - INT 12F2 Recond Rutter Pkwy (2m)"/>
    <s v="T&amp;D"/>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N"/>
    <s v="ED"/>
    <s v="WA"/>
    <x v="0"/>
    <s v="Performance &amp; Capacity"/>
    <s v="Segment Reconductor and FDR Tie"/>
    <s v="2514"/>
    <x v="16"/>
    <s v="BD903"/>
    <s v="BI_BD903 - Ford 12F1 Recond to LL"/>
    <s v="T&amp;D"/>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N"/>
    <s v="ED"/>
    <s v="WA"/>
    <x v="0"/>
    <s v="Performance &amp; Capacity"/>
    <s v="Segment Reconductor and FDR Tie"/>
    <s v="2514"/>
    <x v="16"/>
    <s v="SD990"/>
    <s v="BI_SD990 - Spokane Area - Dx Performance and Capacity"/>
    <s v="T&amp;D"/>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N"/>
    <s v="ED"/>
    <s v="AN"/>
    <x v="1"/>
    <s v="Mandatory &amp; Compliance"/>
    <s v="Westside 230/115kV Station Brownfield Rebuild Project"/>
    <s v="2531"/>
    <x v="17"/>
    <s v="ST301"/>
    <s v="BI_ST301 - Westside 230kV Stn-Rebuild:Transmsn Integration"/>
    <s v="T&amp;D"/>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N"/>
    <s v="ED"/>
    <s v="AN"/>
    <x v="1"/>
    <s v="Mandatory &amp; Compliance"/>
    <s v="Westside 230/115kV Station Brownfield Rebuild Project"/>
    <s v="2531"/>
    <x v="17"/>
    <s v="SS201"/>
    <s v="BI_SS201 - Westside 230 kV Substation - Rebuild"/>
    <s v="T&amp;D"/>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N"/>
    <s v="ED"/>
    <s v="AN"/>
    <x v="1"/>
    <s v="Mandatory &amp; Compliance"/>
    <s v="Transmission NERC Low-Risk Priority Lines Mitigation"/>
    <s v="2579"/>
    <x v="18"/>
    <s v="ST506"/>
    <s v="BI_ST506 - Addy-Devils Gap LPRM Project"/>
    <s v="T&amp;D"/>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N"/>
    <s v="ED"/>
    <s v="AN"/>
    <x v="1"/>
    <s v="Mandatory &amp; Compliance"/>
    <s v="Transmission NERC Low-Risk Priority Lines Mitigation"/>
    <s v="2579"/>
    <x v="18"/>
    <s v="XT700"/>
    <s v="BI_XT700 - Low Priority Line Ratings Mitigation Generic"/>
    <s v="T&amp;D"/>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N"/>
    <s v="ED"/>
    <s v="AN"/>
    <x v="1"/>
    <s v="Mandatory &amp; Compliance"/>
    <s v="Transmission NERC Low-Risk Priority Lines Mitigation"/>
    <s v="2579"/>
    <x v="18"/>
    <s v="PT703"/>
    <s v="BI_PT703 - Eighth &amp; Fancher-Latah 115kV Line Mitigation"/>
    <s v="T&amp;D"/>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N"/>
    <s v="ED"/>
    <s v="AN"/>
    <x v="1"/>
    <s v="Mandatory &amp; Compliance"/>
    <s v="Transmission NERC Low-Risk Priority Lines Mitigation"/>
    <s v="2579"/>
    <x v="18"/>
    <s v="PT501"/>
    <s v="BI_PT501 - Lind-Shawnee LPRM Project"/>
    <s v="T&amp;D"/>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N"/>
    <s v="ED"/>
    <s v="AN"/>
    <x v="1"/>
    <s v="Mandatory &amp; Compliance"/>
    <s v="Saddle Mountain 230/115kV Station (New) Integration Project Phase 1"/>
    <s v="2605"/>
    <x v="19"/>
    <s v="FT703"/>
    <s v="BI_FT703 - Saddle Mountain Integration (Communications Work)"/>
    <s v="T&amp;D"/>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N"/>
    <s v="ED"/>
    <s v="AN"/>
    <x v="1"/>
    <s v="Mandatory &amp; Compliance"/>
    <s v="Saddle Mountain 230/115kV Station (New) Integration Project Phase 1"/>
    <s v="2605"/>
    <x v="19"/>
    <s v="FT702"/>
    <s v="BI_FT702 - Saddle Mountain Integration (Transmission Work)"/>
    <s v="T&amp;D"/>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N"/>
    <s v="ED"/>
    <s v="AN"/>
    <x v="1"/>
    <s v="Mandatory &amp; Compliance"/>
    <s v="Saddle Mountain 230/115kV Station (New) Integration Project Phase 1"/>
    <s v="2605"/>
    <x v="19"/>
    <s v="FS702"/>
    <s v="BI_FS702 - Saddle Mountain Integration (Substation Work)"/>
    <s v="T&amp;D"/>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N"/>
    <s v="ED"/>
    <s v="AN"/>
    <x v="1"/>
    <s v="Mandatory &amp; Compliance"/>
    <s v="Protection System Upgrade for PRC-002"/>
    <s v="2608"/>
    <x v="20"/>
    <s v="LS904"/>
    <s v="BI_LS904 - North Lewiston PRC-002 (Substation Integration)"/>
    <s v="T&amp;D"/>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N"/>
    <s v="ED"/>
    <s v="AN"/>
    <x v="1"/>
    <s v="Mandatory &amp; Compliance"/>
    <s v="Transmission Construction - Compliance"/>
    <s v="2617"/>
    <x v="21"/>
    <s v="AT702"/>
    <s v="BI_AT702 - Noxon Hydro-Noxon Switchyard 230kV Trans Line Rbld"/>
    <s v="T&amp;D"/>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Y"/>
    <s v="ED"/>
    <s v="WA"/>
    <x v="2"/>
    <s v="Customer Requested"/>
    <s v="Rattlesnake Flat Wind Farm Project 115kV Integration Project"/>
    <s v="2618"/>
    <x v="22"/>
    <s v="FD802"/>
    <s v="BI_FD802 - Lind-Washtucna 115kV Tx: Lind-Neilson Dst Underbld"/>
    <s v="T&amp;D"/>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Y"/>
    <s v="ED"/>
    <s v="AN"/>
    <x v="2"/>
    <s v="Customer Requested"/>
    <s v="Rattlesnake Flat Wind Farm Project 115kV Integration Project"/>
    <s v="2618"/>
    <x v="22"/>
    <s v="FS803"/>
    <s v="BI_FS803 - Roxboro 115kV Substation: Capacity Upgrades"/>
    <s v="T&amp;D"/>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Y"/>
    <s v="ED"/>
    <s v="AN"/>
    <x v="2"/>
    <s v="Customer Requested"/>
    <s v="Rattlesnake Flat Wind Farm Project 115kV Integration Project"/>
    <s v="2618"/>
    <x v="22"/>
    <s v="FT805"/>
    <s v="BI_FT805 - Neilson 115kV Substation: Transmission Integration"/>
    <s v="T&amp;D"/>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Y"/>
    <s v="ED"/>
    <s v="AN"/>
    <x v="2"/>
    <s v="Customer Requested"/>
    <s v="Rattlesnake Flat Wind Farm Project 115kV Integration Project"/>
    <s v="2618"/>
    <x v="22"/>
    <s v="FS801"/>
    <s v="BI_FS801 - Othello 115kV Switching Station: Capacity Upgrades"/>
    <s v="T&amp;D"/>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Y"/>
    <s v="ED"/>
    <s v="WA"/>
    <x v="2"/>
    <s v="Customer Requested"/>
    <s v="Rattlesnake Flat Wind Farm Project 115kV Integration Project"/>
    <s v="2618"/>
    <x v="22"/>
    <s v="FC802"/>
    <s v="BI_FC802 - Lind 115kV Sub: Comms Integration"/>
    <s v="T&amp;D"/>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Y"/>
    <s v="ED"/>
    <s v="WA"/>
    <x v="2"/>
    <s v="Customer Requested"/>
    <s v="Rattlesnake Flat Wind Farm Project 115kV Integration Project"/>
    <s v="2618"/>
    <x v="22"/>
    <s v="FC801"/>
    <s v="BI_FC801 - Warden 115kV Sub: Comms Integration"/>
    <s v="T&amp;D"/>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Y"/>
    <s v="ED"/>
    <s v="AN"/>
    <x v="2"/>
    <s v="Customer Requested"/>
    <s v="Rattlesnake Flat Wind Farm Project 115kV Integration Project"/>
    <s v="2618"/>
    <x v="22"/>
    <s v="FT801"/>
    <s v="BI_FT801 - Neilson 115kV Substation: Comms Integration"/>
    <s v="T&amp;D"/>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Y"/>
    <s v="ED"/>
    <s v="AN"/>
    <x v="2"/>
    <s v="Customer Requested"/>
    <s v="Rattlesnake Flat Wind Farm Project 115kV Integration Project"/>
    <s v="2618"/>
    <x v="22"/>
    <s v="FS802"/>
    <s v="BI_FS802 - Warden 115kV Substation: Capacity Upgrades"/>
    <s v="T&amp;D"/>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Y"/>
    <s v="ED"/>
    <s v="AN"/>
    <x v="2"/>
    <s v="Customer Requested"/>
    <s v="Rattlesnake Flat Wind Farm Project 115kV Integration Project"/>
    <s v="2618"/>
    <x v="22"/>
    <s v="FT802"/>
    <s v="BI_FT802 - Lind-Washtucna 115kV Tx: Lind-Neilson Rebuild"/>
    <s v="T&amp;D"/>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Y"/>
    <s v="ED"/>
    <s v="AN"/>
    <x v="2"/>
    <s v="Customer Requested"/>
    <s v="Rattlesnake Flat Wind Farm Project 115kV Integration Project"/>
    <s v="2618"/>
    <x v="22"/>
    <s v="FS805"/>
    <s v="BI_FS805 - Neilson 115kV Substation: New Sub Construction"/>
    <s v="T&amp;D"/>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N"/>
    <s v="GD"/>
    <s v="WA"/>
    <x v="0"/>
    <s v="Performance &amp; Capacity"/>
    <s v="Gas Reinforcement Program"/>
    <s v="3000"/>
    <x v="23"/>
    <s v="ZVG15"/>
    <s v="BI_ZVG15 - Replace System Reinforcement - Spokane"/>
    <s v="Gas"/>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N"/>
    <s v="GD"/>
    <s v="AA"/>
    <x v="0"/>
    <s v="Performance &amp; Capacity"/>
    <s v="Gas Reinforcement Program"/>
    <s v="3000"/>
    <x v="23"/>
    <s v="XE015"/>
    <s v="BI_XE015 - Replace System Reinforcement - Gas Engineering"/>
    <s v="Gas"/>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N"/>
    <s v="GD"/>
    <s v="AA"/>
    <x v="0"/>
    <s v="Asset Condition"/>
    <s v="Gas Regulator Station Replacement Program"/>
    <s v="3002"/>
    <x v="24"/>
    <s v="XE017"/>
    <s v="BI_XE017 - Gas Regulator Station Reliability - Gas Engineering"/>
    <s v="Gas"/>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N"/>
    <s v="GD"/>
    <s v="WA"/>
    <x v="0"/>
    <s v="Asset Condition"/>
    <s v="Gas Regulator Station Replacement Program"/>
    <s v="3002"/>
    <x v="24"/>
    <s v="ZVG17"/>
    <s v="BI_ZVG17 - Gas Regulator Station Reliability-Spokane"/>
    <s v="Gas"/>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N"/>
    <s v="GD"/>
    <s v="WA"/>
    <x v="1"/>
    <s v="Mandatory &amp; Compliance"/>
    <s v="Gas Replacement Street and Highway Program"/>
    <s v="3003"/>
    <x v="25"/>
    <s v="ZBW23"/>
    <s v="BI_ZBW23 - Relocate Due to St&amp;Hwy Work - Colville"/>
    <s v="Gas"/>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N"/>
    <s v="GD"/>
    <s v="AN"/>
    <x v="1"/>
    <s v="Mandatory &amp; Compliance"/>
    <s v="Gas Replacement Street and Highway Program"/>
    <s v="3003"/>
    <x v="25"/>
    <s v="ZLG23"/>
    <s v="BI_ZLG23 - Relocate Due to St&amp;Hwy Work - L/C"/>
    <s v="Gas"/>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N"/>
    <s v="GD"/>
    <s v="AN"/>
    <x v="1"/>
    <s v="Mandatory &amp; Compliance"/>
    <s v="Gas Replacement Street and Highway Program"/>
    <s v="3003"/>
    <x v="25"/>
    <s v="ZPJ23"/>
    <s v="BI_ZPJ23 - Relocate Due to St&amp;Hwy Work - Palouse"/>
    <s v="Gas"/>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N"/>
    <s v="GD"/>
    <s v="AA"/>
    <x v="1"/>
    <s v="Mandatory &amp; Compliance"/>
    <s v="Gas Replacement Street and Highway Program"/>
    <s v="3003"/>
    <x v="25"/>
    <s v="XE023"/>
    <s v="BI_XE023 - Relocate Due to St&amp;Hwy Work- Gas Engineering"/>
    <s v="Gas"/>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N"/>
    <s v="GD"/>
    <s v="WA"/>
    <x v="1"/>
    <s v="Mandatory &amp; Compliance"/>
    <s v="Gas Replacement Street and Highway Program"/>
    <s v="3003"/>
    <x v="25"/>
    <s v="ZVG23"/>
    <s v="BI_ZVG23 - Relocate Due to St&amp;Hwy Work - Spokane"/>
    <s v="Gas"/>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N"/>
    <s v="GD"/>
    <s v="WA"/>
    <x v="1"/>
    <s v="Mandatory &amp; Compliance"/>
    <s v="Gas Cathodic Protection Program"/>
    <s v="3004"/>
    <x v="26"/>
    <s v="ZN201"/>
    <s v="BI_ZN201 - Cathodic Protection Blanket WA"/>
    <s v="Gas"/>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N"/>
    <s v="GD"/>
    <s v="WA"/>
    <x v="1"/>
    <s v="Mandatory &amp; Compliance"/>
    <s v="Gas Cathodic Protection Program"/>
    <s v="3004"/>
    <x v="26"/>
    <s v="ZV721"/>
    <s v="BI_ZV721 - Cathodic Protection - Spokane"/>
    <s v="Gas"/>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N"/>
    <s v="GD"/>
    <s v="WA"/>
    <x v="0"/>
    <s v="Failed Plant &amp; Operations"/>
    <s v="Gas Non-Revenue Program"/>
    <s v="3005"/>
    <x v="27"/>
    <s v="ZBR12"/>
    <s v="BI_ZBR12 - Gas Distribution Non Revenue - Davenport"/>
    <s v="Gas"/>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N"/>
    <s v="GD"/>
    <s v="WA"/>
    <x v="0"/>
    <s v="Failed Plant &amp; Operations"/>
    <s v="Gas Non-Revenue Program"/>
    <s v="3005"/>
    <x v="27"/>
    <s v="14D83"/>
    <s v="BI_14D83 - Gas Distribution Non Revenue-Goldendale"/>
    <s v="Gas"/>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N"/>
    <s v="GD"/>
    <s v="WA"/>
    <x v="0"/>
    <s v="Failed Plant &amp; Operations"/>
    <s v="Gas Non-Revenue Program"/>
    <s v="3005"/>
    <x v="27"/>
    <s v="ZBW12"/>
    <s v="BI_ZBW12 - Gas Distribution Non Revenue - Colville"/>
    <s v="Gas"/>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N"/>
    <s v="GD"/>
    <s v="AA"/>
    <x v="0"/>
    <s v="Failed Plant &amp; Operations"/>
    <s v="Gas Non-Revenue Program"/>
    <s v="3005"/>
    <x v="27"/>
    <s v="XE501"/>
    <s v="BI_XE501 - Gas Distribution Non Revenue - Gas Engineering"/>
    <s v="Gas"/>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N"/>
    <s v="GD"/>
    <s v="AN"/>
    <x v="0"/>
    <s v="Failed Plant &amp; Operations"/>
    <s v="Gas Non-Revenue Program"/>
    <s v="3005"/>
    <x v="27"/>
    <s v="ZLL12"/>
    <s v="BI_ZLL12 - Gas Distribution Non Revenue - L/C"/>
    <s v="Gas"/>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N"/>
    <s v="GD"/>
    <s v="AN"/>
    <x v="0"/>
    <s v="Failed Plant &amp; Operations"/>
    <s v="Gas Non-Revenue Program"/>
    <s v="3005"/>
    <x v="27"/>
    <s v="ZPJ12"/>
    <s v="BI_ZPJ12 - Gas Distribution Non Revenue - Palouse"/>
    <s v="Gas"/>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N"/>
    <s v="GD"/>
    <s v="WA"/>
    <x v="0"/>
    <s v="Failed Plant &amp; Operations"/>
    <s v="Gas Non-Revenue Program"/>
    <s v="3005"/>
    <x v="27"/>
    <s v="ZBG12"/>
    <s v="BI_ZBG12 - Gas Distribution Non Revenue - Spokane"/>
    <s v="Gas"/>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N"/>
    <s v="GD"/>
    <s v="WA"/>
    <x v="1"/>
    <s v="Mandatory &amp; Compliance"/>
    <s v="Gas Isolated Steel Replacement Program"/>
    <s v="3007"/>
    <x v="28"/>
    <s v="ZBG07"/>
    <s v="BI_ZBG07 - Isolated Steel Replacement  WA"/>
    <s v="Gas"/>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N"/>
    <s v="GD"/>
    <s v="WA"/>
    <x v="1"/>
    <s v="Mandatory &amp; Compliance"/>
    <s v="Gas Facility Replacement Program (GFRP) Aldyl A Pipe Replacement"/>
    <s v="3008"/>
    <x v="29"/>
    <s v="GN213"/>
    <s v="BI_GN213 - Aldyl A WA - STTR Minor Project"/>
    <s v="Gas"/>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N"/>
    <s v="GD"/>
    <s v="AA"/>
    <x v="1"/>
    <s v="Mandatory &amp; Compliance"/>
    <s v="Gas Facility Replacement Program (GFRP) Aldyl A Pipe Replacement"/>
    <s v="3008"/>
    <x v="29"/>
    <s v="GN106"/>
    <s v="BI_GN106 - Aldyl -A Pipe Replacement"/>
    <s v="Gas"/>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N"/>
    <s v="GD"/>
    <s v="WA"/>
    <x v="1"/>
    <s v="Mandatory &amp; Compliance"/>
    <s v="Gas Facility Replacement Program (GFRP) Aldyl A Pipe Replacement"/>
    <s v="3008"/>
    <x v="29"/>
    <s v="GN211"/>
    <s v="BI_GN211 - Aldyl A WA - Main Pipe Minor Project"/>
    <s v="Gas"/>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N"/>
    <s v="GD"/>
    <s v="WA"/>
    <x v="1"/>
    <s v="Mandatory &amp; Compliance"/>
    <s v="Gas Facility Replacement Program (GFRP) Aldyl A Pipe Replacement"/>
    <s v="3008"/>
    <x v="29"/>
    <s v="GN210"/>
    <s v="BI_GN210 - Aldyl A WA - Main Pipe Major Project"/>
    <s v="Gas"/>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N"/>
    <s v="GD"/>
    <s v="WA"/>
    <x v="1"/>
    <s v="Mandatory &amp; Compliance"/>
    <s v="Gas PMC Program"/>
    <s v="3055"/>
    <x v="30"/>
    <s v="XWA55"/>
    <s v="BI_XWA55 - WA Gas Meter Replacement Non Revenue"/>
    <s v="Gas"/>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Y"/>
    <s v="GD"/>
    <s v="WA"/>
    <x v="2"/>
    <s v="Performance &amp; Capacity"/>
    <s v="Gas Cheney HP Reinforcement"/>
    <s v="3311"/>
    <x v="31"/>
    <s v="GN700"/>
    <s v="BI_GN700 - Cheney HP Reinforcement"/>
    <s v="Gas"/>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N"/>
    <s v="ED"/>
    <s v="AN"/>
    <x v="0"/>
    <s v="Asset Condition"/>
    <s v="Regulating Hydro"/>
    <s v="4148"/>
    <x v="32"/>
    <s v="AG103"/>
    <s v="BI_AG103 - Regulating Hydro"/>
    <s v="Generation Function"/>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N"/>
    <s v="ED"/>
    <s v="AN"/>
    <x v="0"/>
    <s v="Failed Plant &amp; Operations"/>
    <s v="Base Load Thermal Program"/>
    <s v="4149"/>
    <x v="33"/>
    <s v="AG106"/>
    <s v="BI_AG106 - Coyote Springs 2"/>
    <s v="Generation Function"/>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N"/>
    <s v="ED"/>
    <s v="AN"/>
    <x v="0"/>
    <s v="Failed Plant &amp; Operations"/>
    <s v="Base Load Thermal Program"/>
    <s v="4149"/>
    <x v="33"/>
    <s v="AG201"/>
    <s v="BI_AG201 - Avista/PGE Shared Capital"/>
    <s v="Generation Function"/>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N"/>
    <s v="ED"/>
    <s v="AN"/>
    <x v="0"/>
    <s v="Failed Plant &amp; Operations"/>
    <s v="Base Load Thermal Program"/>
    <s v="4149"/>
    <x v="33"/>
    <s v="AG104"/>
    <s v="BI_AG104 - Kettle Falls Generating Station &amp; Combustion Turbine"/>
    <s v="Generation Function"/>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Y"/>
    <s v="ED"/>
    <s v="AN"/>
    <x v="2"/>
    <s v="Asset Condition"/>
    <s v="Cabinet Gorge Automation"/>
    <s v="4163"/>
    <x v="34"/>
    <s v="IG202"/>
    <s v="BI_IG202 - CG HED Automation Replacement"/>
    <s v="Generation Function"/>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Y"/>
    <s v="ED"/>
    <s v="AN"/>
    <x v="2"/>
    <s v="Failed Plant &amp; Operations"/>
    <s v="CS2 Single Phase Transformer"/>
    <s v="4206"/>
    <x v="35"/>
    <s v="TG902"/>
    <s v="BI_TG902 - CS2 Single Phase Transformer"/>
    <s v="Generation Function"/>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Y"/>
    <s v="ED"/>
    <s v="AN"/>
    <x v="2"/>
    <s v="Asset Condition"/>
    <s v="Cabinet Gorge 15 kV Bus Replacement"/>
    <s v="4213"/>
    <x v="36"/>
    <s v="IG400"/>
    <s v="BI_IG400 - Cabinet Gorge 15 kV Bus Replacement"/>
    <s v="Generation Function"/>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N"/>
    <s v="CD"/>
    <s v="AA"/>
    <x v="3"/>
    <s v="Performance &amp; Capacity"/>
    <s v="Endpoint Compute and Productivity Systems"/>
    <s v="5016"/>
    <x v="37"/>
    <s v="01N09"/>
    <s v="BI_01N09 - Endpoint Compute and Productivity Systems"/>
    <s v="ET"/>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N"/>
    <s v="CD"/>
    <s v="AA"/>
    <x v="3"/>
    <s v="Performance &amp; Capacity"/>
    <s v="Energy Delivery Operational Efficiency &amp; Shared Services"/>
    <s v="5018"/>
    <x v="38"/>
    <s v="18W01"/>
    <s v="BI_18W01 - Energy Delivery Op Efficiency &amp; Shared Services"/>
    <s v="ET"/>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N"/>
    <s v="CD"/>
    <s v="AA"/>
    <x v="3"/>
    <s v="Performance &amp; Capacity"/>
    <s v="Energy Resources Modernization &amp; Operational Efficiency"/>
    <s v="5019"/>
    <x v="39"/>
    <s v="19W01"/>
    <s v="BI_19W01 - Energy Resources Modern &amp; Op Efficiency CDAA"/>
    <s v="ET"/>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N"/>
    <s v="CD"/>
    <s v="AA"/>
    <x v="0"/>
    <s v="Performance &amp; Capacity"/>
    <s v="Enterprise &amp; Control Network Infrastructure"/>
    <s v="5020"/>
    <x v="40"/>
    <s v="20P01"/>
    <s v="BI_20P01 - Enterprise &amp; Control Network Infrastructure CDAA"/>
    <s v="ET"/>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N"/>
    <s v="CD"/>
    <s v="AA"/>
    <x v="3"/>
    <s v="Performance &amp; Capacity"/>
    <s v="Enterprise Communication Systems"/>
    <s v="5022"/>
    <x v="41"/>
    <s v="22P01"/>
    <s v="BI_22P01 - Enterprise Communication Systems"/>
    <s v="ET"/>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N"/>
    <s v="CD"/>
    <s v="AA"/>
    <x v="0"/>
    <s v="Performance &amp; Capacity"/>
    <s v="Environmental Control &amp; Monitoring Systems"/>
    <s v="5025"/>
    <x v="42"/>
    <s v="25P01"/>
    <s v="BI_25P01 - Environmental Control &amp; Monitoring Systems"/>
    <s v="ET"/>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N"/>
    <s v="CD"/>
    <s v="AA"/>
    <x v="3"/>
    <s v="Performance &amp; Capacity"/>
    <s v="ET Modernization &amp; Operational Efficiency - Technology"/>
    <s v="5026"/>
    <x v="43"/>
    <s v="26W01"/>
    <s v="BI_26W01 - ET Modernization &amp; Op Efficiency - Technology"/>
    <s v="ET"/>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N"/>
    <s v="CD"/>
    <s v="AA"/>
    <x v="0"/>
    <s v="Performance &amp; Capacity"/>
    <s v="Fiber Network Lease Service Replacement"/>
    <s v="5027"/>
    <x v="44"/>
    <s v="27P01"/>
    <s v="BI_27P01 - Fiber Network Lease Service Replacement"/>
    <s v="ET"/>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N"/>
    <s v="CD"/>
    <s v="AA"/>
    <x v="3"/>
    <s v="Performance &amp; Capacity"/>
    <s v="Financial &amp; Accounting Technology"/>
    <s v="5028"/>
    <x v="45"/>
    <s v="28W01"/>
    <s v="BI_28W01 - Financial &amp; Accounting Technology"/>
    <s v="ET"/>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Y"/>
    <s v="CD"/>
    <s v="AA"/>
    <x v="2"/>
    <s v="Performance &amp; Capacity"/>
    <s v="Land Mobile Radio &amp; Real Time Communication Systems"/>
    <s v="5030"/>
    <x v="46"/>
    <s v="30P01"/>
    <s v="BI_30P01 - Land Mobile Radio &amp; Real Time Comm Systems"/>
    <s v="ET"/>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N"/>
    <s v="ED"/>
    <s v="AN"/>
    <x v="3"/>
    <s v="Customer Service Quality &amp; Reliability"/>
    <s v="Enterprise Security"/>
    <s v="5032"/>
    <x v="47"/>
    <s v="32P02"/>
    <s v="BI_32P02 - Enterprise Security (EDAN)"/>
    <s v="Other Function"/>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N"/>
    <s v="CD"/>
    <s v="AA"/>
    <x v="3"/>
    <s v="Customer Service Quality &amp; Reliability"/>
    <s v="Enterprise Security"/>
    <s v="5032"/>
    <x v="47"/>
    <s v="32P01"/>
    <s v="BI_32P01 - Enterprise Security (CDAA)"/>
    <s v="Other Function"/>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N"/>
    <s v="CD"/>
    <s v="AA"/>
    <x v="0"/>
    <s v="Failed Plant &amp; Operations"/>
    <s v="Technology Failed Assets"/>
    <s v="5037"/>
    <x v="48"/>
    <s v="35N09"/>
    <s v="BI_35N09 - Infrastructure Technology Failed Assets"/>
    <s v="ET"/>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N"/>
    <s v="CD"/>
    <s v="AA"/>
    <x v="3"/>
    <s v="Performance &amp; Capacity"/>
    <s v="Enterprise Data Science"/>
    <s v="5038"/>
    <x v="49"/>
    <s v="38X09"/>
    <s v="BI_38X09 -  Enterprise Data Science"/>
    <s v="ET"/>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N"/>
    <s v="CD"/>
    <s v="AA"/>
    <x v="4"/>
    <s v="Customer Service Quality &amp; Reliability"/>
    <s v="Customer Transactional Systems"/>
    <s v="5040"/>
    <x v="50"/>
    <s v="01C11"/>
    <s v="BI_01C11 - Customer Transactional Systems"/>
    <s v="ET"/>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N"/>
    <s v="CD"/>
    <s v="AA"/>
    <x v="3"/>
    <s v="Asset Condition"/>
    <s v="Atlas"/>
    <s v="5147"/>
    <x v="51"/>
    <s v="47C08"/>
    <s v="BI_47C08 - Atlas"/>
    <s v="ET"/>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N"/>
    <s v="CD"/>
    <s v="AA"/>
    <x v="4"/>
    <s v="Customer Service Quality &amp; Reliability"/>
    <s v="Customer Facing Technology Program"/>
    <s v="5151"/>
    <x v="52"/>
    <s v="51N09"/>
    <s v="BI_51N09 - Customer Facing Technology"/>
    <s v="ET"/>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N"/>
    <s v="CD"/>
    <s v="AA"/>
    <x v="3"/>
    <s v="Performance &amp; Capacity"/>
    <s v="Data Center Compute and Storage Systems"/>
    <s v="5155"/>
    <x v="53"/>
    <s v="55N09"/>
    <s v="BI_55N09 - Data Center Compute and Storage Systems"/>
    <s v="ET"/>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Y"/>
    <s v="CD"/>
    <s v="AA"/>
    <x v="2"/>
    <s v="Performance &amp; Capacity"/>
    <s v="Digital Grid Network"/>
    <s v="5156"/>
    <x v="54"/>
    <s v="56N09"/>
    <s v="BI_56N09 - Digital Grid Network Expansion"/>
    <s v="ET"/>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N"/>
    <s v="ED"/>
    <s v="AN"/>
    <x v="1"/>
    <s v="Mandatory &amp; Compliance"/>
    <s v="Clark Fork Settlement Agreement"/>
    <s v="6103"/>
    <x v="55"/>
    <s v="YI001"/>
    <s v="BI_YI001 - Fish Passage Native Salmonid Operations"/>
    <s v="Environmental"/>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N"/>
    <s v="ED"/>
    <s v="AN"/>
    <x v="1"/>
    <s v="Mandatory &amp; Compliance"/>
    <s v="Clark Fork Settlement Agreement"/>
    <s v="6103"/>
    <x v="55"/>
    <s v="YI999"/>
    <s v="BI_YI999 - Idaho Tributary and Fishery Enhancement Program"/>
    <s v="Environmental"/>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N"/>
    <s v="ED"/>
    <s v="AN"/>
    <x v="1"/>
    <s v="Mandatory &amp; Compliance"/>
    <s v="Clark Fork Settlement Agreement"/>
    <s v="6103"/>
    <x v="55"/>
    <s v="YI701"/>
    <s v="BI_YI701 - Minimum Flow"/>
    <s v="Environmental"/>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N"/>
    <s v="ED"/>
    <s v="AN"/>
    <x v="1"/>
    <s v="Mandatory &amp; Compliance"/>
    <s v="Clark Fork Settlement Agreement"/>
    <s v="6103"/>
    <x v="55"/>
    <s v="YI996"/>
    <s v="BI_YI996 - Fish Passage/Native Salmonid Restoration Plan"/>
    <s v="Environmental"/>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N"/>
    <s v="ED"/>
    <s v="AN"/>
    <x v="1"/>
    <s v="Mandatory &amp; Compliance"/>
    <s v="Clark Fork Settlement Agreement"/>
    <s v="6103"/>
    <x v="55"/>
    <s v="YI994"/>
    <s v="BI_YI994 - Recreation Management-Facilities"/>
    <s v="Environmental"/>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N"/>
    <s v="ED"/>
    <s v="AN"/>
    <x v="1"/>
    <s v="Mandatory &amp; Compliance"/>
    <s v="Clark Fork Settlement Agreement"/>
    <s v="6103"/>
    <x v="55"/>
    <s v="YI801"/>
    <s v="BI_YI801 - APP F5 Mitigation Gas Super Saturation Control Alternatives"/>
    <s v="Environmental"/>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N"/>
    <s v="ED"/>
    <s v="AN"/>
    <x v="1"/>
    <s v="Mandatory &amp; Compliance"/>
    <s v="Clark Fork Settlement Agreement"/>
    <s v="6103"/>
    <x v="55"/>
    <s v="YI998"/>
    <s v="BI_YI998 - Montana Tributary and Recreational Fishery"/>
    <s v="Environmental"/>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N"/>
    <s v="ED"/>
    <s v="AN"/>
    <x v="1"/>
    <s v="Mandatory &amp; Compliance"/>
    <s v="Clark Fork Settlement Agreement"/>
    <s v="6103"/>
    <x v="55"/>
    <s v="YI990"/>
    <s v="BI_YI990 - Wildlife Habitat Acquisition"/>
    <s v="Environmental"/>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N"/>
    <s v="ED"/>
    <s v="WA"/>
    <x v="1"/>
    <s v="Mandatory &amp; Compliance"/>
    <s v="Spokane River License Implementation"/>
    <s v="6107"/>
    <x v="56"/>
    <s v="SI621"/>
    <s v="BI_SI621 - Spokane River License PM&amp;Es"/>
    <s v="Environmental"/>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N"/>
    <s v="CD"/>
    <s v="AA"/>
    <x v="0"/>
    <s v="Asset Condition"/>
    <s v="Structures and Improvements/Furniture"/>
    <s v="7001"/>
    <x v="57"/>
    <s v="71H07"/>
    <s v="BI_71H07 - Structures and Improvements"/>
    <s v="Other Function"/>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N"/>
    <s v="CD"/>
    <s v="AA"/>
    <x v="0"/>
    <s v="Asset Condition"/>
    <s v="Capital Tools &amp; Stores"/>
    <s v="7006"/>
    <x v="58"/>
    <s v="86J51"/>
    <s v="BI_86J51 - Tools/Lab/Shop Equipment"/>
    <s v="Other Function"/>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N"/>
    <s v="CD"/>
    <s v="AA"/>
    <x v="4"/>
    <s v="Customer Service Quality &amp; Reliability"/>
    <s v="Strategic Initiatives"/>
    <s v="7060"/>
    <x v="59"/>
    <s v="19W09"/>
    <s v="BI_19W09 - Customer Experience Platform"/>
    <s v="Strategic"/>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Y"/>
    <s v="CD"/>
    <s v="AA"/>
    <x v="2"/>
    <s v="Performance &amp; Capacity"/>
    <s v="Campus Repurposing Phase 2"/>
    <s v="7131"/>
    <x v="60"/>
    <s v="5BH07"/>
    <s v="BI_5BH07 - Parking Garage"/>
    <s v="Other Function"/>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Y"/>
    <s v="GD"/>
    <s v="AN"/>
    <x v="2"/>
    <s v="Performance &amp; Capacity"/>
    <s v="Jackson Prairie Joint Project"/>
    <s v="7201"/>
    <x v="61"/>
    <s v="JN604"/>
    <s v="BI_JN604 - Jackson Prairie Storage"/>
    <s v="Other Function"/>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N"/>
    <s v="CD"/>
    <s v="AA"/>
    <x v="0"/>
    <s v="Asset Condition"/>
    <s v="Fleet Services Capital Plan"/>
    <s v="7000"/>
    <x v="62"/>
    <s v="80K51"/>
    <s v="BI_80K51 - Transportation Equipment-System Wide"/>
    <s v="Other Function"/>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N"/>
    <s v="CD"/>
    <s v="AN"/>
    <x v="0"/>
    <s v="Asset Condition"/>
    <s v="Fleet Services Capital Plan"/>
    <s v="7000"/>
    <x v="62"/>
    <s v="80K51"/>
    <s v="BI_80K51 - Transportation Equipment-System Wide"/>
    <s v="Other Function"/>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N"/>
    <s v="ED"/>
    <s v="AN"/>
    <x v="0"/>
    <s v="Asset Condition"/>
    <s v="Fleet Services Capital Plan"/>
    <s v="7000"/>
    <x v="62"/>
    <s v="80K51"/>
    <s v="BI_80K51 - Transportation Equipment-System Wide"/>
    <s v="Other Function"/>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N"/>
    <s v="ED"/>
    <s v="WA"/>
    <x v="0"/>
    <s v="Asset Condition"/>
    <s v="Fleet Services Capital Plan"/>
    <s v="7000"/>
    <x v="62"/>
    <s v="80K51"/>
    <s v="BI_80K51 - Transportation Equipment-System Wide"/>
    <s v="Other Function"/>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N"/>
    <s v="GD"/>
    <s v="AA"/>
    <x v="0"/>
    <s v="Asset Condition"/>
    <s v="Fleet Services Capital Plan"/>
    <s v="7000"/>
    <x v="62"/>
    <s v="80K51"/>
    <s v="BI_80K51 - Transportation Equipment-System Wide"/>
    <s v="Other Function"/>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N"/>
    <s v="GD"/>
    <s v="AN"/>
    <x v="0"/>
    <s v="Asset Condition"/>
    <s v="Fleet Services Capital Plan"/>
    <s v="7000"/>
    <x v="62"/>
    <s v="80K51"/>
    <s v="BI_80K51 - Transportation Equipment-System Wide"/>
    <s v="Other Function"/>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N"/>
    <s v="GD"/>
    <s v="WA"/>
    <x v="0"/>
    <s v="Asset Condition"/>
    <s v="Fleet Services Capital Plan"/>
    <s v="7000"/>
    <x v="62"/>
    <s v="80K51"/>
    <s v="BI_80K51 - Transportation Equipment-System Wide"/>
    <s v="Other Function"/>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Y"/>
    <s v="ED"/>
    <s v="AN"/>
    <x v="2"/>
    <s v="Failed Plant &amp; Operations"/>
    <s v="Electric Storm"/>
    <s v="2051"/>
    <x v="1"/>
    <s v="TBD"/>
    <s v="TBD - Chelan-Stratford Transmission Line Restoration - Storm"/>
    <s v="T&amp;D"/>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Y"/>
    <s v="ED"/>
    <s v="WA"/>
    <x v="2"/>
    <s v="Failed Plant &amp; Operations"/>
    <s v="Electric Storm"/>
    <s v="2059"/>
    <x v="5"/>
    <s v="TBD"/>
    <s v="TBD - 2020 Storm Restoration - Plant"/>
    <s v="T&amp;D"/>
    <x v="1"/>
    <s v="ED.WA"/>
    <n v="1"/>
    <n v="0"/>
    <n v="2763760"/>
    <n v="0"/>
    <n v="0"/>
    <n v="0"/>
    <n v="0"/>
    <n v="0"/>
    <n v="0"/>
    <n v="0"/>
    <n v="0"/>
    <n v="0"/>
    <n v="0"/>
    <n v="0"/>
    <n v="0"/>
    <n v="2763760"/>
    <n v="2763760"/>
    <m/>
    <n v="0"/>
    <n v="0"/>
    <n v="0"/>
    <n v="0"/>
    <n v="0"/>
    <n v="0"/>
    <n v="0"/>
    <n v="0"/>
    <n v="0"/>
    <n v="0"/>
    <n v="0"/>
    <n v="2763760"/>
    <n v="115156.66666666667"/>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6">
      <pivotArea outline="0" collapsedLevelsAreSubtotals="1" fieldPosition="0"/>
    </format>
    <format dxfId="2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2"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8">
    <format dxfId="24">
      <pivotArea outline="0" collapsedLevelsAreSubtotals="1"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outline="0" fieldPosition="0">
        <references count="2">
          <reference field="4294967294" count="1" selected="0">
            <x v="1"/>
          </reference>
          <reference field="3" count="1" selected="0" defaultSubtotal="1">
            <x v="1"/>
          </reference>
        </references>
      </pivotArea>
    </format>
    <format dxfId="17">
      <pivotArea outline="0" fieldPosition="0">
        <references count="2">
          <reference field="4294967294" count="1" selected="0">
            <x v="0"/>
          </reference>
          <reference field="3" count="1" selected="0" defaultSubtotal="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2"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H57"/>
  <sheetViews>
    <sheetView tabSelected="1" zoomScaleNormal="100" zoomScalePageLayoutView="85" workbookViewId="0">
      <selection activeCell="D1" sqref="D1"/>
    </sheetView>
  </sheetViews>
  <sheetFormatPr defaultColWidth="10.6640625" defaultRowHeight="13.2"/>
  <cols>
    <col min="1" max="1" width="0.5546875" style="179" customWidth="1"/>
    <col min="2" max="3" width="1.6640625" style="176" customWidth="1"/>
    <col min="4" max="4" width="36.44140625" style="176" customWidth="1"/>
    <col min="5" max="5" width="14" style="153" bestFit="1" customWidth="1"/>
    <col min="6" max="6" width="11.21875" style="153" customWidth="1"/>
    <col min="7" max="7" width="10" style="153" bestFit="1" customWidth="1"/>
    <col min="8" max="8" width="17.21875" style="177" bestFit="1" customWidth="1"/>
    <col min="9" max="16384" width="10.6640625" style="176"/>
  </cols>
  <sheetData>
    <row r="2" spans="1:8">
      <c r="A2" s="201" t="s">
        <v>582</v>
      </c>
      <c r="D2" s="179"/>
    </row>
    <row r="3" spans="1:8" ht="12.75" customHeight="1">
      <c r="A3" s="201" t="s">
        <v>581</v>
      </c>
      <c r="D3" s="179"/>
    </row>
    <row r="4" spans="1:8">
      <c r="A4" s="201" t="s">
        <v>580</v>
      </c>
      <c r="D4" s="179"/>
    </row>
    <row r="5" spans="1:8" ht="12.75" customHeight="1">
      <c r="A5" s="201" t="s">
        <v>579</v>
      </c>
      <c r="D5" s="179"/>
    </row>
    <row r="6" spans="1:8" s="199" customFormat="1" ht="13.2" customHeight="1">
      <c r="E6" s="260" t="s">
        <v>870</v>
      </c>
      <c r="F6" s="261"/>
      <c r="G6" s="261"/>
      <c r="H6" s="262"/>
    </row>
    <row r="7" spans="1:8" s="199" customFormat="1" ht="64.8" customHeight="1">
      <c r="A7" s="200"/>
      <c r="B7" s="202"/>
      <c r="C7" s="203"/>
      <c r="D7" s="204" t="s">
        <v>578</v>
      </c>
      <c r="E7" s="206" t="s">
        <v>586</v>
      </c>
      <c r="F7" s="206" t="s">
        <v>585</v>
      </c>
      <c r="G7" s="206" t="s">
        <v>868</v>
      </c>
      <c r="H7" s="205" t="s">
        <v>871</v>
      </c>
    </row>
    <row r="8" spans="1:8" s="196" customFormat="1" ht="12">
      <c r="B8" s="198"/>
      <c r="E8" s="254" t="s">
        <v>877</v>
      </c>
      <c r="H8" s="197"/>
    </row>
    <row r="9" spans="1:8" s="182" customFormat="1" ht="12">
      <c r="A9" s="195"/>
      <c r="B9" s="182" t="s">
        <v>577</v>
      </c>
      <c r="H9" s="185"/>
    </row>
    <row r="10" spans="1:8" s="182" customFormat="1" ht="12">
      <c r="A10" s="195"/>
      <c r="C10" s="182" t="s">
        <v>576</v>
      </c>
      <c r="E10" s="182">
        <f>'E-CAP 20 - Depr'!Y34</f>
        <v>0</v>
      </c>
      <c r="F10" s="182">
        <f>'E-CAP 20 - Depr'!G34</f>
        <v>178</v>
      </c>
      <c r="G10" s="228">
        <v>0</v>
      </c>
      <c r="H10" s="185">
        <f>SUM(E10:G10)</f>
        <v>178</v>
      </c>
    </row>
    <row r="11" spans="1:8" s="182" customFormat="1" ht="12">
      <c r="A11" s="195"/>
      <c r="C11" s="182" t="s">
        <v>575</v>
      </c>
      <c r="E11" s="182">
        <f>E44</f>
        <v>-67.928207855887763</v>
      </c>
      <c r="F11" s="182">
        <f>F44</f>
        <v>79</v>
      </c>
      <c r="G11" s="228">
        <v>0</v>
      </c>
      <c r="H11" s="185">
        <f t="shared" ref="H11:H14" si="0">SUM(E11:G11)</f>
        <v>11.071792144112237</v>
      </c>
    </row>
    <row r="12" spans="1:8" s="182" customFormat="1" ht="12">
      <c r="A12" s="195"/>
      <c r="C12" s="182" t="s">
        <v>543</v>
      </c>
      <c r="E12" s="182">
        <f>'E-CAP 20 - Depr'!Y21</f>
        <v>-76.736619527139027</v>
      </c>
      <c r="F12" s="182">
        <f>'E-CAP 20 - Depr'!G21</f>
        <v>293</v>
      </c>
      <c r="G12" s="228">
        <v>0</v>
      </c>
      <c r="H12" s="185">
        <f t="shared" si="0"/>
        <v>216.26338047286097</v>
      </c>
    </row>
    <row r="13" spans="1:8" s="182" customFormat="1" ht="12">
      <c r="A13" s="195"/>
      <c r="C13" s="182" t="s">
        <v>565</v>
      </c>
      <c r="E13" s="182">
        <f>'E-CAP 20 - Depr'!Y27</f>
        <v>-34.242107703207431</v>
      </c>
      <c r="F13" s="182">
        <f>'E-CAP 20 - Depr'!G27</f>
        <v>68</v>
      </c>
      <c r="G13" s="228">
        <v>0</v>
      </c>
      <c r="H13" s="185">
        <f t="shared" si="0"/>
        <v>33.757892296792569</v>
      </c>
    </row>
    <row r="14" spans="1:8" s="182" customFormat="1" ht="12">
      <c r="A14" s="195"/>
      <c r="C14" s="182" t="s">
        <v>574</v>
      </c>
      <c r="E14" s="194">
        <f>'E-CAP 20 - Depr'!Y32</f>
        <v>-89.225860624275782</v>
      </c>
      <c r="F14" s="194">
        <f>'E-CAP 20 - Depr'!G32</f>
        <v>105</v>
      </c>
      <c r="G14" s="226">
        <v>0</v>
      </c>
      <c r="H14" s="185">
        <f t="shared" si="0"/>
        <v>15.774139375724218</v>
      </c>
    </row>
    <row r="15" spans="1:8" s="182" customFormat="1" ht="18" customHeight="1">
      <c r="A15" s="195"/>
      <c r="B15" s="182" t="s">
        <v>573</v>
      </c>
      <c r="E15" s="251">
        <f>SUM(E10:E14)</f>
        <v>-268.13279571050998</v>
      </c>
      <c r="F15" s="251">
        <f>SUM(F10:F14)</f>
        <v>723</v>
      </c>
      <c r="G15" s="226">
        <f>SUM(G10:G14)</f>
        <v>0</v>
      </c>
      <c r="H15" s="183">
        <f>SUM(H10:H14)</f>
        <v>454.86720428949002</v>
      </c>
    </row>
    <row r="16" spans="1:8" s="182" customFormat="1" ht="12">
      <c r="E16" s="181"/>
      <c r="F16" s="181"/>
      <c r="G16" s="241"/>
      <c r="H16" s="185"/>
    </row>
    <row r="17" spans="1:34" s="153" customFormat="1">
      <c r="A17" s="191"/>
      <c r="B17" s="176"/>
      <c r="C17" s="176"/>
      <c r="D17" s="176"/>
      <c r="E17" s="178"/>
      <c r="F17" s="178"/>
      <c r="G17" s="228"/>
      <c r="H17" s="185"/>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row>
    <row r="18" spans="1:34" s="153" customFormat="1">
      <c r="A18" s="191"/>
      <c r="B18" s="176" t="s">
        <v>572</v>
      </c>
      <c r="C18" s="176"/>
      <c r="D18" s="176"/>
      <c r="E18" s="178"/>
      <c r="F18" s="178"/>
      <c r="G18" s="228"/>
      <c r="H18" s="185"/>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row>
    <row r="19" spans="1:34" s="153" customFormat="1">
      <c r="A19" s="179"/>
      <c r="B19" s="176" t="s">
        <v>571</v>
      </c>
      <c r="C19" s="176"/>
      <c r="D19" s="176"/>
      <c r="E19" s="181"/>
      <c r="F19" s="181"/>
      <c r="G19" s="241"/>
      <c r="H19" s="185"/>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row>
    <row r="20" spans="1:34" s="193" customFormat="1" ht="12">
      <c r="A20" s="191"/>
      <c r="C20" s="193" t="s">
        <v>568</v>
      </c>
      <c r="E20" s="182">
        <f>'E-CAP 20 - Depr'!X35</f>
        <v>0</v>
      </c>
      <c r="F20" s="182">
        <f>'E-CAP 20 - Depr'!C35</f>
        <v>889.83781946026181</v>
      </c>
      <c r="G20" s="228">
        <v>0</v>
      </c>
      <c r="H20" s="185">
        <f>SUM(E20:G20)</f>
        <v>889.83781946026181</v>
      </c>
    </row>
    <row r="21" spans="1:34" s="182" customFormat="1" ht="12">
      <c r="A21" s="191"/>
      <c r="C21" s="182" t="s">
        <v>567</v>
      </c>
      <c r="E21" s="182">
        <f>E50</f>
        <v>-2706.288536560829</v>
      </c>
      <c r="F21" s="182">
        <f>F50</f>
        <v>3599.2505916</v>
      </c>
      <c r="G21" s="228">
        <v>0</v>
      </c>
      <c r="H21" s="185">
        <f t="shared" ref="H21:H23" si="1">SUM(E21:G21)</f>
        <v>892.96205503917099</v>
      </c>
    </row>
    <row r="22" spans="1:34" s="182" customFormat="1" ht="12">
      <c r="A22" s="191"/>
      <c r="C22" s="182" t="s">
        <v>566</v>
      </c>
      <c r="E22" s="182">
        <f>'E-CAP 20 - Depr'!X21</f>
        <v>-2767.2418215741232</v>
      </c>
      <c r="F22" s="182">
        <f>'E-CAP 20 - Depr'!C21</f>
        <v>14227.268485199998</v>
      </c>
      <c r="G22" s="228">
        <v>0</v>
      </c>
      <c r="H22" s="185">
        <f t="shared" si="1"/>
        <v>11460.026663625875</v>
      </c>
    </row>
    <row r="23" spans="1:34" s="182" customFormat="1" ht="12">
      <c r="A23" s="191"/>
      <c r="C23" s="182" t="s">
        <v>565</v>
      </c>
      <c r="E23" s="182">
        <f>'E-CAP 20 - Depr'!X27</f>
        <v>-1368.9719080119571</v>
      </c>
      <c r="F23" s="182">
        <f>'E-CAP 20 - Depr'!C27</f>
        <v>2763.76</v>
      </c>
      <c r="G23" s="228">
        <v>0</v>
      </c>
      <c r="H23" s="185">
        <f t="shared" si="1"/>
        <v>1394.7880919880431</v>
      </c>
    </row>
    <row r="24" spans="1:34" s="182" customFormat="1" ht="12">
      <c r="A24" s="191"/>
      <c r="C24" s="182" t="s">
        <v>564</v>
      </c>
      <c r="E24" s="194">
        <f>'E-CAP 20 - Depr'!X32</f>
        <v>-1764.5320022538681</v>
      </c>
      <c r="F24" s="194">
        <f>'E-CAP 20 - Depr'!C32</f>
        <v>2759.9097654543293</v>
      </c>
      <c r="G24" s="226">
        <v>0</v>
      </c>
      <c r="H24" s="189">
        <f>SUM(E24:G24)</f>
        <v>995.37776320046123</v>
      </c>
    </row>
    <row r="25" spans="1:34" s="182" customFormat="1" ht="12">
      <c r="A25" s="191"/>
      <c r="B25" s="182" t="s">
        <v>570</v>
      </c>
      <c r="E25" s="249">
        <f>SUM(E20:E24)</f>
        <v>-8607.0342684007774</v>
      </c>
      <c r="F25" s="249">
        <f>SUM(F20:F24)</f>
        <v>24240.02666171459</v>
      </c>
      <c r="G25" s="228">
        <f>SUM(G20:G24)</f>
        <v>0</v>
      </c>
      <c r="H25" s="185">
        <f>SUM(H20:H24)</f>
        <v>15632.992393313812</v>
      </c>
    </row>
    <row r="26" spans="1:34" s="182" customFormat="1" ht="18" customHeight="1">
      <c r="A26" s="191"/>
      <c r="B26" s="182" t="s">
        <v>569</v>
      </c>
      <c r="E26" s="181"/>
      <c r="F26" s="181"/>
      <c r="G26" s="241"/>
      <c r="H26" s="185"/>
    </row>
    <row r="27" spans="1:34" s="182" customFormat="1" ht="12">
      <c r="A27" s="191"/>
      <c r="C27" s="193" t="s">
        <v>568</v>
      </c>
      <c r="E27" s="182">
        <f>-E20</f>
        <v>0</v>
      </c>
      <c r="F27" s="182">
        <f>-'E-CAP 20 - Depr'!I34</f>
        <v>-27.054455046030782</v>
      </c>
      <c r="G27" s="228">
        <v>0</v>
      </c>
      <c r="H27" s="185">
        <f>SUM(E27:G27)</f>
        <v>-27.054455046030782</v>
      </c>
    </row>
    <row r="28" spans="1:34" s="182" customFormat="1" ht="12">
      <c r="A28" s="191"/>
      <c r="C28" s="182" t="s">
        <v>567</v>
      </c>
      <c r="E28" s="182">
        <f>E56</f>
        <v>2706.288536560829</v>
      </c>
      <c r="F28" s="182">
        <f>F56</f>
        <v>-47.044025814499996</v>
      </c>
      <c r="G28" s="228">
        <v>0</v>
      </c>
      <c r="H28" s="185">
        <f t="shared" ref="H28:H31" si="2">SUM(E28:G28)</f>
        <v>2659.2445107463291</v>
      </c>
    </row>
    <row r="29" spans="1:34" s="182" customFormat="1" ht="12">
      <c r="A29" s="191"/>
      <c r="C29" s="182" t="s">
        <v>566</v>
      </c>
      <c r="E29" s="182">
        <f t="shared" ref="E29:E31" si="3">-E22</f>
        <v>2767.2418215741232</v>
      </c>
      <c r="F29" s="182">
        <f>-'E-CAP 20 - Depr'!I21</f>
        <v>-82.000346135170005</v>
      </c>
      <c r="G29" s="228">
        <v>0</v>
      </c>
      <c r="H29" s="185">
        <f t="shared" si="2"/>
        <v>2685.2414754389533</v>
      </c>
    </row>
    <row r="30" spans="1:34" s="182" customFormat="1" ht="12">
      <c r="A30" s="191"/>
      <c r="C30" s="182" t="s">
        <v>565</v>
      </c>
      <c r="E30" s="182">
        <f t="shared" si="3"/>
        <v>1368.9719080119571</v>
      </c>
      <c r="F30" s="182">
        <f>-'E-CAP 20 - Depr'!I27</f>
        <v>-2.8166656980352132</v>
      </c>
      <c r="G30" s="228">
        <v>0</v>
      </c>
      <c r="H30" s="185">
        <f t="shared" si="2"/>
        <v>1366.1552423139219</v>
      </c>
    </row>
    <row r="31" spans="1:34" s="182" customFormat="1" ht="12">
      <c r="A31" s="191"/>
      <c r="C31" s="182" t="s">
        <v>564</v>
      </c>
      <c r="E31" s="182">
        <f t="shared" si="3"/>
        <v>1764.5320022538681</v>
      </c>
      <c r="F31" s="182">
        <f>-'E-CAP 20 - Depr'!I32</f>
        <v>-63.586907179565252</v>
      </c>
      <c r="G31" s="228">
        <v>0</v>
      </c>
      <c r="H31" s="185">
        <f t="shared" si="2"/>
        <v>1700.9450950743028</v>
      </c>
    </row>
    <row r="32" spans="1:34" s="182" customFormat="1" ht="12">
      <c r="A32" s="191"/>
      <c r="B32" s="182" t="s">
        <v>13</v>
      </c>
      <c r="E32" s="253">
        <f>SUM(E27:E31)</f>
        <v>8607.0342684007774</v>
      </c>
      <c r="F32" s="253">
        <f>SUM(F27:F31)</f>
        <v>-222.50239987330127</v>
      </c>
      <c r="G32" s="229">
        <f>SUM(G27:G31)</f>
        <v>0</v>
      </c>
      <c r="H32" s="183">
        <f>SUM(H27:H31)</f>
        <v>8384.531868527476</v>
      </c>
    </row>
    <row r="33" spans="1:8" s="182" customFormat="1" ht="12">
      <c r="A33" s="191"/>
      <c r="B33" s="182" t="s">
        <v>563</v>
      </c>
      <c r="E33" s="192">
        <f>E25+E32</f>
        <v>0</v>
      </c>
      <c r="F33" s="192">
        <f>F25+F32</f>
        <v>24017.524261841289</v>
      </c>
      <c r="G33" s="229">
        <f>G25+G32</f>
        <v>0</v>
      </c>
      <c r="H33" s="186">
        <f>H25+H32</f>
        <v>24017.524261841289</v>
      </c>
    </row>
    <row r="34" spans="1:8" s="182" customFormat="1" ht="12">
      <c r="A34" s="191"/>
      <c r="E34" s="181"/>
      <c r="F34" s="181"/>
      <c r="G34" s="241"/>
      <c r="H34" s="185"/>
    </row>
    <row r="35" spans="1:8" s="182" customFormat="1" ht="12">
      <c r="A35" s="191"/>
      <c r="E35" s="181"/>
      <c r="F35" s="181"/>
      <c r="G35" s="241"/>
      <c r="H35" s="185"/>
    </row>
    <row r="36" spans="1:8" s="182" customFormat="1" ht="12">
      <c r="A36" s="190"/>
      <c r="B36" s="182" t="s">
        <v>562</v>
      </c>
      <c r="E36" s="180">
        <v>0</v>
      </c>
      <c r="F36" s="252">
        <f>'E-CAP 20 - Depr'!T37</f>
        <v>-710</v>
      </c>
      <c r="G36" s="226">
        <v>0</v>
      </c>
      <c r="H36" s="189">
        <f>SUM(E36:G36)</f>
        <v>-710</v>
      </c>
    </row>
    <row r="37" spans="1:8" s="182" customFormat="1" ht="12">
      <c r="A37" s="190"/>
      <c r="C37" s="182" t="s">
        <v>561</v>
      </c>
      <c r="E37" s="178">
        <f>SUM(E33:E36)</f>
        <v>0</v>
      </c>
      <c r="F37" s="178">
        <f>SUM(F33:F36)</f>
        <v>23307.524261841289</v>
      </c>
      <c r="G37" s="228">
        <f>SUM(G33:G36)</f>
        <v>0</v>
      </c>
      <c r="H37" s="186">
        <f>SUM(H33:H36)</f>
        <v>23307.524261841289</v>
      </c>
    </row>
    <row r="38" spans="1:8">
      <c r="E38" s="188"/>
      <c r="G38" s="242"/>
      <c r="H38" s="185"/>
    </row>
    <row r="39" spans="1:8">
      <c r="B39" s="187" t="s">
        <v>560</v>
      </c>
      <c r="C39" s="4"/>
      <c r="D39" s="4"/>
      <c r="E39" s="178"/>
      <c r="G39" s="242"/>
      <c r="H39" s="185"/>
    </row>
    <row r="40" spans="1:8">
      <c r="B40" s="182" t="s">
        <v>559</v>
      </c>
      <c r="C40" s="182"/>
      <c r="D40" s="182"/>
      <c r="E40" s="181"/>
      <c r="G40" s="242"/>
      <c r="H40" s="185"/>
    </row>
    <row r="41" spans="1:8" ht="12">
      <c r="B41" s="182" t="s">
        <v>555</v>
      </c>
      <c r="C41" s="182"/>
      <c r="D41" s="182"/>
      <c r="E41" s="182">
        <f>'E-CAP 20 - Depr'!Y16</f>
        <v>-54.574519303555284</v>
      </c>
      <c r="F41" s="182">
        <f>'E-CAP 20 - Depr'!G16</f>
        <v>0</v>
      </c>
      <c r="G41" s="228">
        <v>0</v>
      </c>
      <c r="H41" s="185">
        <f>SUM(E41:G41)</f>
        <v>-54.574519303555284</v>
      </c>
    </row>
    <row r="42" spans="1:8" ht="12">
      <c r="B42" s="182" t="s">
        <v>554</v>
      </c>
      <c r="C42" s="182"/>
      <c r="D42" s="182"/>
      <c r="E42" s="182">
        <f>'E-CAP 20 - Depr'!Y17</f>
        <v>-13.35368855233248</v>
      </c>
      <c r="F42" s="182">
        <f>'E-CAP 20 - Depr'!G17</f>
        <v>79</v>
      </c>
      <c r="G42" s="228">
        <v>0</v>
      </c>
      <c r="H42" s="185">
        <f t="shared" ref="H42" si="4">SUM(E42:G42)</f>
        <v>65.646311447667514</v>
      </c>
    </row>
    <row r="43" spans="1:8" ht="12">
      <c r="B43" s="182" t="s">
        <v>553</v>
      </c>
      <c r="C43" s="182"/>
      <c r="D43" s="182"/>
      <c r="E43" s="182">
        <f>'E-CAP 20 - Depr'!Y18</f>
        <v>0</v>
      </c>
      <c r="F43" s="182">
        <f>'E-CAP 20 - Depr'!G18</f>
        <v>0</v>
      </c>
      <c r="G43" s="228">
        <v>0</v>
      </c>
      <c r="H43" s="189">
        <f>SUM(E43:G43)</f>
        <v>0</v>
      </c>
    </row>
    <row r="44" spans="1:8" ht="12">
      <c r="B44" s="182" t="s">
        <v>558</v>
      </c>
      <c r="C44" s="182"/>
      <c r="D44" s="182"/>
      <c r="E44" s="184">
        <f>SUM(E41:E43)</f>
        <v>-67.928207855887763</v>
      </c>
      <c r="F44" s="184">
        <f>SUM(F41:F43)</f>
        <v>79</v>
      </c>
      <c r="G44" s="227">
        <f>SUM(G41:G43)</f>
        <v>0</v>
      </c>
      <c r="H44" s="183">
        <f>SUM(H41:H43)</f>
        <v>11.07179214411223</v>
      </c>
    </row>
    <row r="45" spans="1:8" ht="12">
      <c r="B45" s="182"/>
      <c r="C45" s="182"/>
      <c r="D45" s="182"/>
      <c r="E45" s="181"/>
      <c r="F45" s="181"/>
      <c r="G45" s="241"/>
      <c r="H45" s="185"/>
    </row>
    <row r="46" spans="1:8" ht="12">
      <c r="B46" s="182" t="s">
        <v>557</v>
      </c>
      <c r="C46" s="182"/>
      <c r="E46" s="181"/>
      <c r="F46" s="181"/>
      <c r="G46" s="241"/>
      <c r="H46" s="185"/>
    </row>
    <row r="47" spans="1:8" ht="12">
      <c r="B47" s="182" t="s">
        <v>555</v>
      </c>
      <c r="C47" s="182"/>
      <c r="E47" s="182">
        <f>'E-CAP 20 - Depr'!X16</f>
        <v>-2083.441360554777</v>
      </c>
      <c r="F47" s="182">
        <f>'E-CAP 20 - Depr'!C16</f>
        <v>0</v>
      </c>
      <c r="G47" s="228">
        <v>0</v>
      </c>
      <c r="H47" s="185">
        <f>SUM(E47:G47)</f>
        <v>-2083.441360554777</v>
      </c>
    </row>
    <row r="48" spans="1:8" ht="12">
      <c r="B48" s="182" t="s">
        <v>554</v>
      </c>
      <c r="C48" s="182"/>
      <c r="E48" s="182">
        <f>'E-CAP 20 - Depr'!X17</f>
        <v>-622.84717600605211</v>
      </c>
      <c r="F48" s="182">
        <f>'E-CAP 20 - Depr'!C17</f>
        <v>3599.2505916</v>
      </c>
      <c r="G48" s="228">
        <v>0</v>
      </c>
      <c r="H48" s="185">
        <f>SUM(E48:G48)</f>
        <v>2976.403415593948</v>
      </c>
    </row>
    <row r="49" spans="2:8" ht="12">
      <c r="B49" s="182" t="s">
        <v>553</v>
      </c>
      <c r="C49" s="182"/>
      <c r="E49" s="182">
        <f>'E-CAP 20 - Depr'!X18</f>
        <v>0</v>
      </c>
      <c r="F49" s="182">
        <f>'E-CAP 20 - Depr'!C18</f>
        <v>0</v>
      </c>
      <c r="G49" s="228">
        <v>0</v>
      </c>
      <c r="H49" s="185">
        <f>SUM(E49:G49)</f>
        <v>0</v>
      </c>
    </row>
    <row r="50" spans="2:8" ht="12">
      <c r="B50" s="182" t="s">
        <v>556</v>
      </c>
      <c r="C50" s="182"/>
      <c r="E50" s="184">
        <f>SUM(E47:E49)</f>
        <v>-2706.288536560829</v>
      </c>
      <c r="F50" s="184">
        <f>SUM(F47:F49)</f>
        <v>3599.2505916</v>
      </c>
      <c r="G50" s="227">
        <f>SUM(G47:G49)</f>
        <v>0</v>
      </c>
      <c r="H50" s="183">
        <f>SUM(H47:H49)</f>
        <v>892.96205503917099</v>
      </c>
    </row>
    <row r="51" spans="2:8" ht="12">
      <c r="B51" s="182"/>
      <c r="C51" s="182"/>
      <c r="E51" s="181"/>
      <c r="F51" s="181"/>
      <c r="G51" s="241"/>
      <c r="H51" s="185"/>
    </row>
    <row r="52" spans="2:8" ht="12">
      <c r="B52" s="182" t="s">
        <v>14</v>
      </c>
      <c r="C52" s="182"/>
      <c r="E52" s="181"/>
      <c r="F52" s="181"/>
      <c r="G52" s="241"/>
      <c r="H52" s="185"/>
    </row>
    <row r="53" spans="2:8" ht="12">
      <c r="B53" s="182" t="s">
        <v>555</v>
      </c>
      <c r="C53" s="182"/>
      <c r="E53" s="182">
        <f>-E47</f>
        <v>2083.441360554777</v>
      </c>
      <c r="F53" s="182">
        <f>-'E-CAP 20 - Depr'!I16</f>
        <v>0</v>
      </c>
      <c r="G53" s="228">
        <v>0</v>
      </c>
      <c r="H53" s="185">
        <f>SUM(E53:G53)</f>
        <v>2083.441360554777</v>
      </c>
    </row>
    <row r="54" spans="2:8" ht="12">
      <c r="B54" s="182" t="s">
        <v>554</v>
      </c>
      <c r="C54" s="182"/>
      <c r="E54" s="182">
        <f t="shared" ref="E54:E55" si="5">-E48</f>
        <v>622.84717600605211</v>
      </c>
      <c r="F54" s="182">
        <f>-'E-CAP 20 - Depr'!I17</f>
        <v>-47.044025814499996</v>
      </c>
      <c r="G54" s="228">
        <v>0</v>
      </c>
      <c r="H54" s="185">
        <f>SUM(E54:G54)</f>
        <v>575.80315019155216</v>
      </c>
    </row>
    <row r="55" spans="2:8" ht="12">
      <c r="B55" s="182" t="s">
        <v>553</v>
      </c>
      <c r="C55" s="182"/>
      <c r="E55" s="182">
        <f t="shared" si="5"/>
        <v>0</v>
      </c>
      <c r="F55" s="182">
        <f>-'E-CAP 20 - Depr'!I18</f>
        <v>0</v>
      </c>
      <c r="G55" s="228">
        <v>0</v>
      </c>
      <c r="H55" s="185">
        <f>SUM(E55:G55)</f>
        <v>0</v>
      </c>
    </row>
    <row r="56" spans="2:8" ht="12">
      <c r="B56" s="182" t="s">
        <v>552</v>
      </c>
      <c r="C56" s="182"/>
      <c r="E56" s="184">
        <f>SUM(E53:E55)</f>
        <v>2706.288536560829</v>
      </c>
      <c r="F56" s="184">
        <f>SUM(F53:F55)</f>
        <v>-47.044025814499996</v>
      </c>
      <c r="G56" s="227">
        <f>SUM(G53:G55)</f>
        <v>0</v>
      </c>
      <c r="H56" s="183">
        <f>SUM(H53:H55)</f>
        <v>2659.2445107463291</v>
      </c>
    </row>
    <row r="57" spans="2:8">
      <c r="B57" s="182"/>
      <c r="C57" s="182"/>
    </row>
  </sheetData>
  <mergeCells count="1">
    <mergeCell ref="E6:H6"/>
  </mergeCells>
  <pageMargins left="0.45" right="0.51" top="1" bottom="1" header="0.5" footer="0.5"/>
  <pageSetup scale="90" firstPageNumber="4" orientation="portrait" r:id="rId1"/>
  <headerFooter scaleWithDoc="0" alignWithMargins="0">
    <oddHeader>&amp;L&amp;8Avista
Ms. Schultz Workpapers&amp;R&amp;8&amp;F
Workpaper Ref. &amp;A</oddHeader>
    <oddFooter>&amp;R&amp;8Page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I36"/>
  <sheetViews>
    <sheetView zoomScaleNormal="100" workbookViewId="0">
      <selection activeCell="D1" sqref="D1"/>
    </sheetView>
  </sheetViews>
  <sheetFormatPr defaultColWidth="10.6640625" defaultRowHeight="12"/>
  <cols>
    <col min="1" max="1" width="0.5546875" style="179" customWidth="1"/>
    <col min="2" max="3" width="1.6640625" style="176" customWidth="1"/>
    <col min="4" max="4" width="36.44140625" style="176" customWidth="1"/>
    <col min="5" max="7" width="10.33203125" style="228" customWidth="1"/>
    <col min="8" max="8" width="14.44140625" style="177" bestFit="1" customWidth="1"/>
    <col min="9" max="16384" width="10.6640625" style="176"/>
  </cols>
  <sheetData>
    <row r="2" spans="1:35">
      <c r="A2" s="201" t="s">
        <v>582</v>
      </c>
      <c r="D2" s="179"/>
      <c r="E2" s="177"/>
      <c r="F2" s="177"/>
      <c r="G2" s="177"/>
    </row>
    <row r="3" spans="1:35" ht="12.75" customHeight="1">
      <c r="A3" s="201" t="s">
        <v>584</v>
      </c>
      <c r="D3" s="179"/>
      <c r="E3" s="244"/>
      <c r="F3" s="244"/>
      <c r="G3" s="244"/>
    </row>
    <row r="4" spans="1:35">
      <c r="A4" s="201" t="s">
        <v>580</v>
      </c>
      <c r="D4" s="179"/>
    </row>
    <row r="5" spans="1:35" ht="12.75" customHeight="1">
      <c r="A5" s="201" t="s">
        <v>579</v>
      </c>
      <c r="D5" s="179"/>
      <c r="E5" s="244"/>
      <c r="F5" s="244"/>
      <c r="G5" s="244"/>
    </row>
    <row r="6" spans="1:35" s="199" customFormat="1" ht="12.75" customHeight="1">
      <c r="E6" s="263" t="str">
        <f>'E-CAP SUMMARY'!E6:H6</f>
        <v>Adjustment 3.12 - Large Distinct Projects</v>
      </c>
      <c r="F6" s="264"/>
      <c r="G6" s="264"/>
      <c r="H6" s="265"/>
    </row>
    <row r="7" spans="1:35" s="199" customFormat="1" ht="62.4" customHeight="1">
      <c r="A7" s="200"/>
      <c r="B7" s="202"/>
      <c r="C7" s="203"/>
      <c r="D7" s="204" t="s">
        <v>578</v>
      </c>
      <c r="E7" s="245" t="s">
        <v>586</v>
      </c>
      <c r="F7" s="245" t="s">
        <v>585</v>
      </c>
      <c r="G7" s="245" t="s">
        <v>868</v>
      </c>
      <c r="H7" s="205" t="str">
        <f>'E-CAP SUMMARY'!H7</f>
        <v>12.31.2020 EOP Adjustment 3.12 Large Distinct Projects</v>
      </c>
    </row>
    <row r="8" spans="1:35" s="196" customFormat="1">
      <c r="B8" s="198"/>
      <c r="E8" s="254" t="s">
        <v>877</v>
      </c>
      <c r="F8" s="246"/>
      <c r="G8" s="246"/>
      <c r="H8" s="197"/>
    </row>
    <row r="9" spans="1:35" s="182" customFormat="1">
      <c r="A9" s="195"/>
      <c r="B9" s="182" t="s">
        <v>577</v>
      </c>
      <c r="E9" s="241"/>
      <c r="F9" s="241"/>
      <c r="G9" s="241"/>
      <c r="H9" s="185"/>
    </row>
    <row r="10" spans="1:35" s="182" customFormat="1">
      <c r="A10" s="195"/>
      <c r="C10" s="182" t="s">
        <v>576</v>
      </c>
      <c r="E10" s="228">
        <f>'G-CAP 20 - Depr'!Y29</f>
        <v>0</v>
      </c>
      <c r="F10" s="228">
        <f>'G-CAP 20 - Depr'!G29</f>
        <v>56</v>
      </c>
      <c r="G10" s="228">
        <v>0</v>
      </c>
      <c r="H10" s="185">
        <f>SUM(E10:G10)</f>
        <v>56</v>
      </c>
    </row>
    <row r="11" spans="1:35" s="182" customFormat="1">
      <c r="A11" s="195"/>
      <c r="C11" s="182" t="s">
        <v>31</v>
      </c>
      <c r="E11" s="228">
        <f>'G-CAP 20 - Depr'!Y15</f>
        <v>-0.62178428448638723</v>
      </c>
      <c r="F11" s="228">
        <f>'G-CAP 20 - Depr'!G15</f>
        <v>20</v>
      </c>
      <c r="G11" s="228">
        <v>0</v>
      </c>
      <c r="H11" s="185">
        <f t="shared" ref="H11:H13" si="0">SUM(E11:G11)</f>
        <v>19.378215715513612</v>
      </c>
    </row>
    <row r="12" spans="1:35" s="182" customFormat="1">
      <c r="A12" s="195"/>
      <c r="C12" s="182" t="s">
        <v>565</v>
      </c>
      <c r="E12" s="228">
        <f>'G-CAP 20 - Depr'!Y21</f>
        <v>-16.930458875732004</v>
      </c>
      <c r="F12" s="228">
        <f>'G-CAP 20 - Depr'!G21</f>
        <v>117</v>
      </c>
      <c r="G12" s="228">
        <v>0</v>
      </c>
      <c r="H12" s="185">
        <f t="shared" si="0"/>
        <v>100.069541124268</v>
      </c>
    </row>
    <row r="13" spans="1:35" s="182" customFormat="1">
      <c r="A13" s="195"/>
      <c r="C13" s="182" t="s">
        <v>574</v>
      </c>
      <c r="E13" s="226">
        <f>'G-CAP 20 - Depr'!Y26</f>
        <v>-22.084279733142036</v>
      </c>
      <c r="F13" s="226">
        <f>'G-CAP 20 - Depr'!G26</f>
        <v>33</v>
      </c>
      <c r="G13" s="226">
        <v>0</v>
      </c>
      <c r="H13" s="185">
        <f t="shared" si="0"/>
        <v>10.915720266857964</v>
      </c>
    </row>
    <row r="14" spans="1:35" s="182" customFormat="1" ht="18" customHeight="1">
      <c r="A14" s="195"/>
      <c r="B14" s="182" t="s">
        <v>583</v>
      </c>
      <c r="E14" s="256">
        <f>SUM(E10:E13)</f>
        <v>-39.636522893360429</v>
      </c>
      <c r="F14" s="256">
        <f>SUM(F10:F13)</f>
        <v>226</v>
      </c>
      <c r="G14" s="226">
        <f>SUM(G10:G13)</f>
        <v>0</v>
      </c>
      <c r="H14" s="183">
        <f>SUM(H10:H13)</f>
        <v>186.36347710663958</v>
      </c>
    </row>
    <row r="15" spans="1:35" s="153" customFormat="1" ht="13.2">
      <c r="A15" s="191"/>
      <c r="B15" s="176"/>
      <c r="C15" s="176"/>
      <c r="D15" s="176"/>
      <c r="E15" s="228"/>
      <c r="F15" s="228"/>
      <c r="G15" s="228"/>
      <c r="H15" s="185"/>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row>
    <row r="16" spans="1:35" s="153" customFormat="1" ht="13.2">
      <c r="A16" s="191"/>
      <c r="B16" s="176" t="s">
        <v>572</v>
      </c>
      <c r="C16" s="176"/>
      <c r="D16" s="176"/>
      <c r="E16" s="228"/>
      <c r="F16" s="228"/>
      <c r="G16" s="228"/>
      <c r="H16" s="185"/>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row>
    <row r="17" spans="1:35" s="153" customFormat="1" ht="13.2">
      <c r="A17" s="179"/>
      <c r="B17" s="176" t="s">
        <v>571</v>
      </c>
      <c r="C17" s="176"/>
      <c r="D17" s="176"/>
      <c r="E17" s="241"/>
      <c r="F17" s="241"/>
      <c r="G17" s="241"/>
      <c r="H17" s="185"/>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row>
    <row r="18" spans="1:35" s="193" customFormat="1">
      <c r="A18" s="191"/>
      <c r="C18" s="193" t="s">
        <v>568</v>
      </c>
      <c r="E18" s="228">
        <f>'G-CAP 20 - Depr'!X29</f>
        <v>0</v>
      </c>
      <c r="F18" s="228">
        <f>'G-CAP 20 - Depr'!C29</f>
        <v>279.22117963655722</v>
      </c>
      <c r="G18" s="228">
        <v>0</v>
      </c>
      <c r="H18" s="185">
        <f>SUM(E18:G18)</f>
        <v>279.22117963655722</v>
      </c>
    </row>
    <row r="19" spans="1:35" s="182" customFormat="1">
      <c r="A19" s="191"/>
      <c r="C19" s="182" t="s">
        <v>31</v>
      </c>
      <c r="E19" s="228">
        <f>'G-CAP 20 - Depr'!X15</f>
        <v>-60.096201434366506</v>
      </c>
      <c r="F19" s="228">
        <f>'G-CAP 20 - Depr'!C15</f>
        <v>1402.3995843999999</v>
      </c>
      <c r="G19" s="228">
        <v>0</v>
      </c>
      <c r="H19" s="185">
        <f t="shared" ref="H19:H21" si="1">SUM(E19:G19)</f>
        <v>1342.3033829656333</v>
      </c>
    </row>
    <row r="20" spans="1:35" s="182" customFormat="1">
      <c r="A20" s="191"/>
      <c r="C20" s="182" t="s">
        <v>565</v>
      </c>
      <c r="E20" s="228">
        <f>'G-CAP 20 - Depr'!X21</f>
        <v>-676.86612026098544</v>
      </c>
      <c r="F20" s="228">
        <f>'G-CAP 20 - Depr'!C21</f>
        <v>4917.9610000000002</v>
      </c>
      <c r="G20" s="228">
        <v>0</v>
      </c>
      <c r="H20" s="185">
        <f t="shared" si="1"/>
        <v>4241.0948797390147</v>
      </c>
    </row>
    <row r="21" spans="1:35" s="182" customFormat="1">
      <c r="A21" s="191"/>
      <c r="C21" s="182" t="s">
        <v>564</v>
      </c>
      <c r="E21" s="226">
        <f>'G-CAP 20 - Depr'!X26</f>
        <v>-411.39970652660065</v>
      </c>
      <c r="F21" s="226">
        <f>'G-CAP 20 - Depr'!C26</f>
        <v>866.02889149849852</v>
      </c>
      <c r="G21" s="226">
        <v>0</v>
      </c>
      <c r="H21" s="189">
        <f t="shared" si="1"/>
        <v>454.62918497189787</v>
      </c>
    </row>
    <row r="22" spans="1:35" s="182" customFormat="1">
      <c r="A22" s="191"/>
      <c r="B22" s="182" t="s">
        <v>570</v>
      </c>
      <c r="E22" s="257">
        <f>SUM(E18:E21)</f>
        <v>-1148.3620282219526</v>
      </c>
      <c r="F22" s="257">
        <f>SUM(F18:F21)</f>
        <v>7465.6106555350561</v>
      </c>
      <c r="G22" s="228">
        <f>SUM(G18:G21)</f>
        <v>0</v>
      </c>
      <c r="H22" s="185">
        <f>SUM(H18:H21)</f>
        <v>6317.2486273131035</v>
      </c>
    </row>
    <row r="23" spans="1:35" s="182" customFormat="1" ht="18" customHeight="1">
      <c r="A23" s="191"/>
      <c r="B23" s="182" t="s">
        <v>569</v>
      </c>
      <c r="E23" s="241"/>
      <c r="F23" s="241"/>
      <c r="G23" s="241"/>
      <c r="H23" s="185"/>
    </row>
    <row r="24" spans="1:35" s="182" customFormat="1">
      <c r="A24" s="191"/>
      <c r="C24" s="193" t="s">
        <v>568</v>
      </c>
      <c r="E24" s="228">
        <f>-E18</f>
        <v>0</v>
      </c>
      <c r="F24" s="228">
        <f>-'G-CAP 20 - Depr'!I29</f>
        <v>-8.4893861411273441</v>
      </c>
      <c r="G24" s="228">
        <v>0</v>
      </c>
      <c r="H24" s="185">
        <f>SUM(E24:G24)</f>
        <v>-8.4893861411273441</v>
      </c>
    </row>
    <row r="25" spans="1:35" s="182" customFormat="1">
      <c r="A25" s="191"/>
      <c r="C25" s="182" t="s">
        <v>31</v>
      </c>
      <c r="E25" s="228">
        <f t="shared" ref="E25:E27" si="2">-E19</f>
        <v>60.096201434366506</v>
      </c>
      <c r="F25" s="228">
        <f>-'G-CAP 20 - Depr'!I15</f>
        <v>-9.311798894323335</v>
      </c>
      <c r="G25" s="228">
        <v>0</v>
      </c>
      <c r="H25" s="185">
        <f t="shared" ref="H25:H27" si="3">SUM(E25:G25)</f>
        <v>50.784402540043175</v>
      </c>
    </row>
    <row r="26" spans="1:35" s="182" customFormat="1">
      <c r="A26" s="191"/>
      <c r="C26" s="182" t="s">
        <v>565</v>
      </c>
      <c r="E26" s="228">
        <f t="shared" si="2"/>
        <v>676.86612026098544</v>
      </c>
      <c r="F26" s="228">
        <f>-'G-CAP 20 - Depr'!I21</f>
        <v>-63.136832587499995</v>
      </c>
      <c r="G26" s="228">
        <v>0</v>
      </c>
      <c r="H26" s="185">
        <f t="shared" si="3"/>
        <v>613.72928767348549</v>
      </c>
    </row>
    <row r="27" spans="1:35" s="182" customFormat="1">
      <c r="A27" s="191"/>
      <c r="C27" s="182" t="s">
        <v>564</v>
      </c>
      <c r="E27" s="228">
        <f t="shared" si="2"/>
        <v>411.39970652660065</v>
      </c>
      <c r="F27" s="228">
        <f>-'G-CAP 20 - Depr'!I26</f>
        <v>-19.952862020281177</v>
      </c>
      <c r="G27" s="228">
        <v>0</v>
      </c>
      <c r="H27" s="185">
        <f t="shared" si="3"/>
        <v>391.44684450631945</v>
      </c>
    </row>
    <row r="28" spans="1:35" s="182" customFormat="1">
      <c r="A28" s="191"/>
      <c r="B28" s="182" t="s">
        <v>13</v>
      </c>
      <c r="E28" s="258">
        <f>SUM(E24:E27)</f>
        <v>1148.3620282219526</v>
      </c>
      <c r="F28" s="258">
        <f>SUM(F24:F27)</f>
        <v>-100.89087964323184</v>
      </c>
      <c r="G28" s="229">
        <f>SUM(G24:G27)</f>
        <v>0</v>
      </c>
      <c r="H28" s="186">
        <f>SUM(H24:H27)</f>
        <v>1047.4711485787207</v>
      </c>
    </row>
    <row r="29" spans="1:35" s="182" customFormat="1">
      <c r="A29" s="191"/>
      <c r="B29" s="182" t="s">
        <v>563</v>
      </c>
      <c r="E29" s="229">
        <f>E22+E28</f>
        <v>0</v>
      </c>
      <c r="F29" s="229">
        <f>F22+F28</f>
        <v>7364.7197758918246</v>
      </c>
      <c r="G29" s="229">
        <f>G22+G28</f>
        <v>0</v>
      </c>
      <c r="H29" s="186">
        <f>H22+H28</f>
        <v>7364.7197758918246</v>
      </c>
    </row>
    <row r="30" spans="1:35" s="182" customFormat="1">
      <c r="A30" s="191"/>
      <c r="E30" s="241"/>
      <c r="F30" s="241"/>
      <c r="G30" s="241"/>
      <c r="H30" s="185"/>
    </row>
    <row r="31" spans="1:35" s="182" customFormat="1">
      <c r="A31" s="191"/>
      <c r="E31" s="241"/>
      <c r="F31" s="241"/>
      <c r="G31" s="241"/>
      <c r="H31" s="185"/>
    </row>
    <row r="32" spans="1:35" s="182" customFormat="1">
      <c r="A32" s="190"/>
      <c r="B32" s="182" t="s">
        <v>562</v>
      </c>
      <c r="E32" s="226">
        <v>0</v>
      </c>
      <c r="F32" s="256">
        <f>'G-CAP 20 - Depr'!T31</f>
        <v>-174</v>
      </c>
      <c r="G32" s="226">
        <v>0</v>
      </c>
      <c r="H32" s="189">
        <f>SUM(E32:G32)</f>
        <v>-174</v>
      </c>
    </row>
    <row r="33" spans="1:8" s="182" customFormat="1">
      <c r="A33" s="190"/>
      <c r="C33" s="182" t="s">
        <v>561</v>
      </c>
      <c r="E33" s="228">
        <f>SUM(E29:E32)</f>
        <v>0</v>
      </c>
      <c r="F33" s="228">
        <f>SUM(F29:F32)</f>
        <v>7190.7197758918246</v>
      </c>
      <c r="G33" s="228">
        <f>SUM(G29:G32)</f>
        <v>0</v>
      </c>
      <c r="H33" s="189">
        <f>SUM(H29:H32)</f>
        <v>7190.7197758918246</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oddHeader>&amp;LAvista
Ms. Schultz Workpapers&amp;R&amp;F
Workpaper Ref. &amp;A</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71" t="s">
        <v>542</v>
      </c>
      <c r="T10" s="170">
        <v>0.21</v>
      </c>
    </row>
    <row r="11" spans="1:25" s="5" customFormat="1" ht="12.75" customHeight="1">
      <c r="A11" s="6"/>
      <c r="B11" s="6"/>
      <c r="C11" s="6"/>
      <c r="D11" s="6"/>
      <c r="E11" s="6"/>
      <c r="F11" s="15"/>
      <c r="I11" s="266" t="s">
        <v>257</v>
      </c>
      <c r="J11" s="267"/>
      <c r="K11" s="268"/>
      <c r="L11" s="20"/>
      <c r="M11" s="20"/>
      <c r="N11" s="269" t="s">
        <v>16</v>
      </c>
      <c r="O11" s="270"/>
      <c r="P11" s="270"/>
      <c r="Q11" s="270"/>
      <c r="R11" s="271"/>
      <c r="S11" s="20"/>
      <c r="T11" s="270" t="s">
        <v>256</v>
      </c>
      <c r="U11" s="270"/>
      <c r="V11" s="271"/>
    </row>
    <row r="12" spans="1:25" s="5" customFormat="1" ht="13.8" thickBot="1">
      <c r="A12" s="6"/>
      <c r="B12" s="6"/>
      <c r="C12" s="6"/>
      <c r="D12" s="6"/>
      <c r="E12" s="6"/>
      <c r="F12" s="15"/>
      <c r="I12" s="20"/>
      <c r="J12" s="20"/>
      <c r="K12" s="20"/>
      <c r="L12" s="20"/>
      <c r="M12" s="20"/>
      <c r="N12" s="266">
        <v>2020</v>
      </c>
      <c r="O12" s="267"/>
      <c r="P12" s="268"/>
      <c r="Q12" s="45">
        <v>2021</v>
      </c>
      <c r="R12" s="45">
        <v>2022</v>
      </c>
      <c r="S12" s="20"/>
      <c r="T12" s="44"/>
      <c r="U12" s="44"/>
      <c r="V12" s="44"/>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857</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Retirements'!Y4/1000</f>
        <v>-2083.441360554777</v>
      </c>
      <c r="Y16" s="71">
        <f>'CAP 20.4 - Retirements'!AK4/1000</f>
        <v>-54.574519303555284</v>
      </c>
    </row>
    <row r="17" spans="1:25">
      <c r="A17" s="43" t="s">
        <v>546</v>
      </c>
      <c r="C17" s="59">
        <f>'E-CAP 20.1 - Depreciation'!D10</f>
        <v>3599.2505916</v>
      </c>
      <c r="D17" s="25"/>
      <c r="E17" s="59">
        <f>'E-CAP 20.1 - Depreciation'!F10</f>
        <v>2138.3648097499999</v>
      </c>
      <c r="F17" s="15">
        <v>2.1999999999999999E-2</v>
      </c>
      <c r="G17" s="59">
        <f t="shared" ref="G17:G18" si="0">ROUND(C17*F17,0)</f>
        <v>79</v>
      </c>
      <c r="H17" s="26"/>
      <c r="I17" s="59">
        <f>F17*E17</f>
        <v>47.044025814499996</v>
      </c>
      <c r="J17" s="16">
        <f>I17+G17</f>
        <v>126.0440258145</v>
      </c>
      <c r="K17" s="16">
        <f>J17+G17</f>
        <v>205.0440258145</v>
      </c>
      <c r="L17" s="16"/>
      <c r="M17" s="134">
        <v>7.0000000000000007E-2</v>
      </c>
      <c r="N17" s="16">
        <f>$C17*M$17</f>
        <v>251.94754141200002</v>
      </c>
      <c r="O17" s="16">
        <f>ROUND((C17-N17)*$O$6,0)</f>
        <v>126</v>
      </c>
      <c r="P17" s="16">
        <f>SUM(N17:O17)</f>
        <v>377.94754141200002</v>
      </c>
      <c r="Q17" s="16">
        <f>ROUND((C17-N17)*$Q$6,0)</f>
        <v>242</v>
      </c>
      <c r="R17" s="16">
        <f>ROUND((C17-N17)*$R$6,0)</f>
        <v>223</v>
      </c>
      <c r="S17" s="27"/>
      <c r="T17" s="59">
        <f>ROUND(((P17-I17)*-$T$10),0)</f>
        <v>-69</v>
      </c>
      <c r="U17" s="16">
        <f>ROUND(((Q17-G17)*-$T$10)+T17,0)</f>
        <v>-103</v>
      </c>
      <c r="V17" s="16">
        <f>ROUND(((R17-G17)*-$T$10)+U17,0)</f>
        <v>-133</v>
      </c>
      <c r="X17" s="71">
        <f>-'CAP 20.4 - Retirements'!Y5/1000</f>
        <v>-622.84717600605211</v>
      </c>
      <c r="Y17" s="71">
        <f>'CAP 20.4 - Retirements'!AK5/1000</f>
        <v>-13.35368855233248</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Retirements'!Y6/1000</f>
        <v>0</v>
      </c>
      <c r="Y18" s="71">
        <f>'CAP 20.4 - Retirements'!AK6/1000</f>
        <v>0</v>
      </c>
    </row>
    <row r="19" spans="1:25">
      <c r="A19" s="4" t="s">
        <v>5</v>
      </c>
      <c r="C19" s="56">
        <f>SUM(C16:C18)</f>
        <v>3599.2505916</v>
      </c>
      <c r="D19" s="30"/>
      <c r="E19" s="56">
        <f>SUM(E16:E18)</f>
        <v>2138.3648097499999</v>
      </c>
      <c r="F19" s="6"/>
      <c r="G19" s="56">
        <f>SUM(G16:G18)</f>
        <v>79</v>
      </c>
      <c r="H19" s="26"/>
      <c r="I19" s="56">
        <f>SUM(I16:I18)</f>
        <v>47.044025814499996</v>
      </c>
      <c r="J19" s="29">
        <f t="shared" ref="J19:K19" si="1">SUM(J16:J18)</f>
        <v>126.0440258145</v>
      </c>
      <c r="K19" s="29">
        <f t="shared" si="1"/>
        <v>205.0440258145</v>
      </c>
      <c r="L19" s="26"/>
      <c r="M19" s="134"/>
      <c r="N19" s="29">
        <f t="shared" ref="N19:R19" si="2">SUM(N16:N18)</f>
        <v>251.94754141200002</v>
      </c>
      <c r="O19" s="29">
        <f>SUM(O16:O18)</f>
        <v>126</v>
      </c>
      <c r="P19" s="29">
        <f>SUM(P16:P18)</f>
        <v>377.94754141200002</v>
      </c>
      <c r="Q19" s="29">
        <f t="shared" si="2"/>
        <v>242</v>
      </c>
      <c r="R19" s="29">
        <f t="shared" si="2"/>
        <v>223</v>
      </c>
      <c r="S19" s="30"/>
      <c r="T19" s="56">
        <f>SUM(T16:T18)</f>
        <v>-69</v>
      </c>
      <c r="U19" s="29">
        <f t="shared" ref="U19:V19" si="3">SUM(U16:U18)</f>
        <v>-103</v>
      </c>
      <c r="V19" s="29">
        <f t="shared" si="3"/>
        <v>-133</v>
      </c>
      <c r="X19" s="53">
        <f>SUM(X16:X18)</f>
        <v>-2706.288536560829</v>
      </c>
      <c r="Y19" s="53">
        <f>SUM(Y16:Y18)</f>
        <v>-67.928207855887763</v>
      </c>
    </row>
    <row r="20" spans="1:25" ht="7.95" customHeight="1">
      <c r="C20" s="173"/>
      <c r="D20" s="30"/>
      <c r="E20" s="173"/>
      <c r="F20" s="6"/>
      <c r="G20" s="173"/>
      <c r="H20" s="26"/>
      <c r="I20" s="173"/>
      <c r="J20" s="174"/>
      <c r="K20" s="174"/>
      <c r="L20" s="26"/>
      <c r="M20" s="134"/>
      <c r="N20" s="174"/>
      <c r="O20" s="174"/>
      <c r="P20" s="174"/>
      <c r="Q20" s="174"/>
      <c r="R20" s="174"/>
      <c r="S20" s="30"/>
      <c r="T20" s="173"/>
      <c r="U20" s="174"/>
      <c r="V20" s="174"/>
      <c r="X20" s="175"/>
      <c r="Y20" s="175"/>
    </row>
    <row r="21" spans="1:25">
      <c r="A21" s="4" t="s">
        <v>543</v>
      </c>
      <c r="C21" s="58">
        <f>'E-CAP 20.1 - Depreciation'!D14</f>
        <v>14227.268485199998</v>
      </c>
      <c r="D21" s="25"/>
      <c r="E21" s="58">
        <f>'E-CAP 20.1 - Depreciation'!F15</f>
        <v>3980.5993269500004</v>
      </c>
      <c r="F21" s="15">
        <v>2.06E-2</v>
      </c>
      <c r="G21" s="58">
        <f>ROUND(C21*F21,0)</f>
        <v>293</v>
      </c>
      <c r="H21" s="26"/>
      <c r="I21" s="58">
        <f>F21*E21</f>
        <v>82.000346135170005</v>
      </c>
      <c r="J21" s="33">
        <f>I21+G21</f>
        <v>375.00034613516999</v>
      </c>
      <c r="K21" s="33">
        <f>J21+G21</f>
        <v>668.00034613517005</v>
      </c>
      <c r="L21" s="16"/>
      <c r="M21" s="134">
        <v>0.1</v>
      </c>
      <c r="N21" s="72">
        <f>$C21*M21</f>
        <v>1422.72684852</v>
      </c>
      <c r="O21" s="33">
        <f>ROUND((C21-N21)*$O$6,0)</f>
        <v>480</v>
      </c>
      <c r="P21" s="33">
        <f>SUM(N21:O21)</f>
        <v>1902.72684852</v>
      </c>
      <c r="Q21" s="33">
        <f>ROUND((C21-N21)*$Q$6,0)</f>
        <v>924</v>
      </c>
      <c r="R21" s="33">
        <f>ROUND((C21-N21)*$R$6,0)</f>
        <v>855</v>
      </c>
      <c r="S21" s="27"/>
      <c r="T21" s="58">
        <f>ROUND(((P21-I21)*-$T$10),0)</f>
        <v>-382</v>
      </c>
      <c r="U21" s="33">
        <f>ROUND(((Q21-G21)*-$T$10)+T21,0)</f>
        <v>-515</v>
      </c>
      <c r="V21" s="33">
        <f>ROUND(((R21-G21)*-$T$10)+U21,0)</f>
        <v>-633</v>
      </c>
      <c r="X21" s="69">
        <f>-'CAP 20.4 - Retirements'!Y10/1000</f>
        <v>-2767.2418215741232</v>
      </c>
      <c r="Y21" s="69">
        <f>'CAP 20.4 - Retirements'!AK10/1000</f>
        <v>-76.736619527139027</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2763.76</v>
      </c>
      <c r="D24" s="25"/>
      <c r="E24" s="59">
        <f>'E-CAP 20.1 - Depreciation'!F18</f>
        <v>115.15666666666667</v>
      </c>
      <c r="F24" s="15">
        <v>2.4459423666615451E-2</v>
      </c>
      <c r="G24" s="59">
        <f>ROUND(C24*F24,0)</f>
        <v>68</v>
      </c>
      <c r="H24" s="26"/>
      <c r="I24" s="59">
        <f>F24*E24</f>
        <v>2.8166656980352132</v>
      </c>
      <c r="J24" s="16">
        <f>I24+G24</f>
        <v>70.816665698035209</v>
      </c>
      <c r="K24" s="16">
        <f>J24+G24</f>
        <v>138.81666569803519</v>
      </c>
      <c r="L24" s="16"/>
      <c r="M24" s="134">
        <v>0.2</v>
      </c>
      <c r="N24" s="16">
        <f>$C24*M$24</f>
        <v>552.75200000000007</v>
      </c>
      <c r="O24" s="16">
        <f>ROUND((C24-N24)*$O$6,0)</f>
        <v>83</v>
      </c>
      <c r="P24" s="16">
        <f>SUM(N24:O24)</f>
        <v>635.75200000000007</v>
      </c>
      <c r="Q24" s="16">
        <f>ROUND((C24-N24)*$Q$6,0)</f>
        <v>160</v>
      </c>
      <c r="R24" s="16">
        <f>ROUND((C24-N24)*$R$6,0)</f>
        <v>148</v>
      </c>
      <c r="S24" s="27"/>
      <c r="T24" s="59">
        <f>ROUND(((P24-I24)*-$T$10),0)</f>
        <v>-133</v>
      </c>
      <c r="U24" s="16">
        <f>ROUND(((Q24-G24)*-$T$10)+T24,0)</f>
        <v>-152</v>
      </c>
      <c r="V24" s="16">
        <f>ROUND(((R24-G24)*-$T$10)+U24,0)</f>
        <v>-169</v>
      </c>
      <c r="X24" s="71">
        <f>-'CAP 20.4 - Retirements'!Y14/1000</f>
        <v>-1368.9719080119571</v>
      </c>
      <c r="Y24" s="71">
        <f>'CAP 20.4 - Retirements'!AK14/1000</f>
        <v>-34.242107703207431</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2763.76</v>
      </c>
      <c r="D27" s="30"/>
      <c r="E27" s="56">
        <f>SUM(E24:E26)</f>
        <v>115.15666666666667</v>
      </c>
      <c r="F27" s="6"/>
      <c r="G27" s="56">
        <f>SUM(G24:G26)</f>
        <v>68</v>
      </c>
      <c r="H27" s="26"/>
      <c r="I27" s="56">
        <f t="shared" ref="I27:V27" si="5">SUM(I24:I26)</f>
        <v>2.8166656980352132</v>
      </c>
      <c r="J27" s="29">
        <f t="shared" si="5"/>
        <v>70.816665698035209</v>
      </c>
      <c r="K27" s="29">
        <f t="shared" si="5"/>
        <v>138.81666569803519</v>
      </c>
      <c r="L27" s="26"/>
      <c r="M27" s="134"/>
      <c r="N27" s="29">
        <f t="shared" si="5"/>
        <v>552.75200000000007</v>
      </c>
      <c r="O27" s="29">
        <f>SUM(O24:O26)</f>
        <v>83</v>
      </c>
      <c r="P27" s="29">
        <f t="shared" si="5"/>
        <v>635.75200000000007</v>
      </c>
      <c r="Q27" s="29">
        <f t="shared" si="5"/>
        <v>160</v>
      </c>
      <c r="R27" s="29">
        <f t="shared" si="5"/>
        <v>148</v>
      </c>
      <c r="S27" s="30"/>
      <c r="T27" s="56">
        <f t="shared" si="5"/>
        <v>-133</v>
      </c>
      <c r="U27" s="29">
        <f t="shared" si="5"/>
        <v>-152</v>
      </c>
      <c r="V27" s="29">
        <f t="shared" si="5"/>
        <v>-169</v>
      </c>
      <c r="X27" s="53">
        <f>SUM(X24:X26)</f>
        <v>-1368.9719080119571</v>
      </c>
      <c r="Y27" s="53">
        <f>SUM(Y24:Y26)</f>
        <v>-34.242107703207431</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2759.9097654543293</v>
      </c>
      <c r="D29" s="25"/>
      <c r="E29" s="59">
        <f>SUM('E-CAP 20.1 - Depreciation'!F23:F24)</f>
        <v>1677.7548068486872</v>
      </c>
      <c r="F29" s="15">
        <v>3.7900000000000003E-2</v>
      </c>
      <c r="G29" s="59">
        <f>ROUND(C29*F29,0)</f>
        <v>105</v>
      </c>
      <c r="H29" s="26"/>
      <c r="I29" s="59">
        <f>F29*E29</f>
        <v>63.586907179565252</v>
      </c>
      <c r="J29" s="16">
        <f>I29+G29</f>
        <v>168.58690717956526</v>
      </c>
      <c r="K29" s="16">
        <f>J29+G29</f>
        <v>273.58690717956529</v>
      </c>
      <c r="L29" s="16"/>
      <c r="M29" s="134">
        <v>0</v>
      </c>
      <c r="N29" s="16">
        <f>$C29*M$29</f>
        <v>0</v>
      </c>
      <c r="O29" s="16">
        <f>ROUND((C29-N29)*$O$7,0)</f>
        <v>394</v>
      </c>
      <c r="P29" s="16">
        <f>SUM(N29:O29)</f>
        <v>394</v>
      </c>
      <c r="Q29" s="16">
        <f>ROUND((C29-N29)*$Q$7,0)</f>
        <v>676</v>
      </c>
      <c r="R29" s="16">
        <f>ROUND((C29-N29)*$R$7,0)</f>
        <v>483</v>
      </c>
      <c r="S29" s="27"/>
      <c r="T29" s="59">
        <f>ROUND(((P29-I29)*-$T$10),0)</f>
        <v>-69</v>
      </c>
      <c r="U29" s="16">
        <f>ROUND(((Q29-G29)*-$T$10)+T29,0)</f>
        <v>-189</v>
      </c>
      <c r="V29" s="16">
        <f>ROUND(((R29-G29)*-$T$10)+U29,0)</f>
        <v>-268</v>
      </c>
      <c r="X29" s="71">
        <f>-SUM('CAP 20.4 - Retirements'!X22:Y23)/1000</f>
        <v>-1764.5320022538681</v>
      </c>
      <c r="Y29" s="71">
        <f>SUM('CAP 20.4 - Retirements'!AK22:AK23)/1000</f>
        <v>-89.225860624275782</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Retirements'!Y24/1000</f>
        <v>0</v>
      </c>
      <c r="Y30" s="71">
        <f>'CAP 20.4 - Retirements'!AK24/1000</f>
        <v>0</v>
      </c>
    </row>
    <row r="31" spans="1:25">
      <c r="A31" s="4" t="s">
        <v>24</v>
      </c>
      <c r="C31" s="59">
        <f>'E-CAP 20.1 - Depreciation'!D25</f>
        <v>0</v>
      </c>
      <c r="D31" s="25"/>
      <c r="E31" s="59">
        <f>'E-CAP 20.1 - Depreciation'!F25</f>
        <v>0</v>
      </c>
      <c r="F31" s="46">
        <v>0.2</v>
      </c>
      <c r="G31" s="59">
        <f>ROUND(C31*F31,0)</f>
        <v>0</v>
      </c>
      <c r="H31" s="26"/>
      <c r="I31" s="59">
        <f>F31*E31</f>
        <v>0</v>
      </c>
      <c r="J31" s="16">
        <f>I31+G31</f>
        <v>0</v>
      </c>
      <c r="K31" s="16">
        <f>J31+G31</f>
        <v>0</v>
      </c>
      <c r="L31" s="16"/>
      <c r="M31" s="134">
        <v>0</v>
      </c>
      <c r="N31" s="16">
        <f>$C31*M$31</f>
        <v>0</v>
      </c>
      <c r="O31" s="16">
        <f>ROUND((C31-N31)*$O$8,0)</f>
        <v>0</v>
      </c>
      <c r="P31" s="16">
        <f>SUM(N31:O31)</f>
        <v>0</v>
      </c>
      <c r="Q31" s="16">
        <f>ROUND((C31-N31)*$Q$8,0)</f>
        <v>0</v>
      </c>
      <c r="R31" s="16">
        <f>ROUND((C31-N31)*$R$8,0)</f>
        <v>0</v>
      </c>
      <c r="S31" s="27"/>
      <c r="T31" s="59">
        <f>ROUND(((P31-I31)*-$T$10),0)</f>
        <v>0</v>
      </c>
      <c r="U31" s="16">
        <f>ROUND(((Q31-G31)*-$T$10)+T31,0)</f>
        <v>0</v>
      </c>
      <c r="V31" s="16">
        <f>ROUND(((R31-G31)*-$T$10)+U31,0)</f>
        <v>0</v>
      </c>
      <c r="X31" s="71"/>
      <c r="Y31" s="71"/>
    </row>
    <row r="32" spans="1:25">
      <c r="A32" s="4" t="s">
        <v>5</v>
      </c>
      <c r="C32" s="53">
        <f>SUM(C29:C31)</f>
        <v>2759.9097654543293</v>
      </c>
      <c r="D32" s="30"/>
      <c r="E32" s="53">
        <f>SUM(E29:E31)</f>
        <v>1677.7548068486872</v>
      </c>
      <c r="F32" s="27"/>
      <c r="G32" s="53">
        <f>SUM(G29:G31)</f>
        <v>105</v>
      </c>
      <c r="H32" s="26"/>
      <c r="I32" s="53">
        <f>SUM(I29:I31)</f>
        <v>63.586907179565252</v>
      </c>
      <c r="J32" s="28">
        <f>SUM(J29:J31)</f>
        <v>168.58690717956526</v>
      </c>
      <c r="K32" s="28">
        <f>SUM(K29:K31)</f>
        <v>273.58690717956529</v>
      </c>
      <c r="L32" s="26"/>
      <c r="M32" s="134"/>
      <c r="N32" s="28">
        <f>SUM(N29:N31)</f>
        <v>0</v>
      </c>
      <c r="O32" s="28">
        <f>SUM(O29:O31)</f>
        <v>394</v>
      </c>
      <c r="P32" s="28">
        <f>SUM(P29:P31)</f>
        <v>394</v>
      </c>
      <c r="Q32" s="28">
        <f>SUM(Q29:Q31)</f>
        <v>676</v>
      </c>
      <c r="R32" s="28">
        <f>SUM(R29:R31)</f>
        <v>483</v>
      </c>
      <c r="S32" s="30"/>
      <c r="T32" s="56">
        <f>SUM(T29:T31)</f>
        <v>-69</v>
      </c>
      <c r="U32" s="29">
        <f>SUM(U29:U31)</f>
        <v>-189</v>
      </c>
      <c r="V32" s="29">
        <f>SUM(V29:V31)</f>
        <v>-268</v>
      </c>
      <c r="X32" s="53">
        <f>SUM(X29:X31)</f>
        <v>-1764.5320022538681</v>
      </c>
      <c r="Y32" s="53">
        <f>SUM(Y29:Y31)</f>
        <v>-89.225860624275782</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889.83781946026181</v>
      </c>
      <c r="D34" s="25"/>
      <c r="E34" s="59">
        <f>'E-CAP 20.1 - Depreciation'!F31</f>
        <v>135.27227523015389</v>
      </c>
      <c r="F34" s="46">
        <v>0.2</v>
      </c>
      <c r="G34" s="59">
        <f>ROUND(C34*F34,0)</f>
        <v>178</v>
      </c>
      <c r="H34" s="26"/>
      <c r="I34" s="59">
        <f>F34*E34</f>
        <v>27.054455046030782</v>
      </c>
      <c r="J34" s="16">
        <f>I34+G34</f>
        <v>205.0544550460308</v>
      </c>
      <c r="K34" s="16">
        <f>J34+G34</f>
        <v>383.0544550460308</v>
      </c>
      <c r="L34" s="16"/>
      <c r="M34" s="134">
        <v>0</v>
      </c>
      <c r="N34" s="16">
        <f>$C34*M$31</f>
        <v>0</v>
      </c>
      <c r="O34" s="16">
        <f>ROUND((C34-N34)*$O$9,0)</f>
        <v>297</v>
      </c>
      <c r="P34" s="16">
        <f>SUM(N34:O34)</f>
        <v>297</v>
      </c>
      <c r="Q34" s="16">
        <f>ROUND((C34-N34)*$Q$9,0)</f>
        <v>396</v>
      </c>
      <c r="R34" s="16">
        <f>ROUND((C34-N34)*$R$9,0)</f>
        <v>132</v>
      </c>
      <c r="S34" s="27"/>
      <c r="T34" s="59">
        <f>ROUND(((P34-I34)*-$T$10),0)</f>
        <v>-57</v>
      </c>
      <c r="U34" s="16">
        <f>ROUND(((Q34-G34)*-$T$10)+T34,0)</f>
        <v>-103</v>
      </c>
      <c r="V34" s="16">
        <f>ROUND(((R34-G34)*-$T$10)+U34,0)</f>
        <v>-93</v>
      </c>
      <c r="X34" s="71">
        <f>-'CAP 20.4 - Retirements'!Y20/1000</f>
        <v>0</v>
      </c>
      <c r="Y34" s="71">
        <f>'CAP 20.4 - Retirements'!AK20/1000</f>
        <v>0</v>
      </c>
    </row>
    <row r="35" spans="1:25">
      <c r="C35" s="53">
        <f>SUM(C34)</f>
        <v>889.83781946026181</v>
      </c>
      <c r="D35" s="30"/>
      <c r="E35" s="53">
        <f>SUM(E34)</f>
        <v>135.27227523015389</v>
      </c>
      <c r="F35" s="27"/>
      <c r="G35" s="53">
        <f>SUM(G34)</f>
        <v>178</v>
      </c>
      <c r="H35" s="26"/>
      <c r="I35" s="53">
        <f>SUM(I34)</f>
        <v>27.054455046030782</v>
      </c>
      <c r="J35" s="28">
        <f>SUM(J34)</f>
        <v>205.0544550460308</v>
      </c>
      <c r="K35" s="28">
        <f>SUM(K34)</f>
        <v>383.0544550460308</v>
      </c>
      <c r="L35" s="26"/>
      <c r="M35" s="134"/>
      <c r="N35" s="28">
        <f>SUM(N34)</f>
        <v>0</v>
      </c>
      <c r="O35" s="28">
        <f>SUM(O34)</f>
        <v>297</v>
      </c>
      <c r="P35" s="28">
        <f>SUM(P34)</f>
        <v>297</v>
      </c>
      <c r="Q35" s="28">
        <f>SUM(Q34)</f>
        <v>396</v>
      </c>
      <c r="R35" s="28">
        <f>SUM(R34)</f>
        <v>132</v>
      </c>
      <c r="S35" s="30"/>
      <c r="T35" s="56">
        <f>SUM(T34)</f>
        <v>-57</v>
      </c>
      <c r="U35" s="29">
        <f>SUM(U34)</f>
        <v>-103</v>
      </c>
      <c r="V35" s="29">
        <f>SUM(V34)</f>
        <v>-93</v>
      </c>
      <c r="X35" s="53">
        <f>SUM(X34)</f>
        <v>0</v>
      </c>
      <c r="Y35" s="53">
        <f>SUM(Y34)</f>
        <v>0</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878</v>
      </c>
      <c r="C37" s="250">
        <f>SUM(C21,C27,C32,C35,C19)</f>
        <v>24240.02666171459</v>
      </c>
      <c r="D37" s="34"/>
      <c r="E37" s="54">
        <f>SUM(E21,E27,E32,E35,E19)</f>
        <v>8047.1478854455081</v>
      </c>
      <c r="F37" s="7"/>
      <c r="G37" s="250">
        <f>SUM(G21,G27,G32,G35,G19)</f>
        <v>723</v>
      </c>
      <c r="H37" s="34"/>
      <c r="I37" s="250">
        <f>SUM(I21,I27,I32,I35,I19)</f>
        <v>222.50239987330127</v>
      </c>
      <c r="J37" s="37">
        <f>SUM(J21,J27,J32,J35,J19)</f>
        <v>945.5023998733011</v>
      </c>
      <c r="K37" s="37">
        <f>SUM(K21,K27,K32,K35,K19)</f>
        <v>1668.5023998733013</v>
      </c>
      <c r="L37" s="34"/>
      <c r="M37" s="15"/>
      <c r="N37" s="37">
        <f>SUM(N21,N27,N32,N35,N19)</f>
        <v>2227.4263899320003</v>
      </c>
      <c r="O37" s="37">
        <f t="shared" ref="O37:Q37" si="6">SUM(O21,O27,O32,O35,O19)</f>
        <v>1380</v>
      </c>
      <c r="P37" s="37">
        <f>SUM(P21,P27,P32,P35,P19)</f>
        <v>3607.4263899320003</v>
      </c>
      <c r="Q37" s="37">
        <f t="shared" si="6"/>
        <v>2398</v>
      </c>
      <c r="R37" s="37">
        <f>SUM(R21,R27,R32,R35,R19)</f>
        <v>1841</v>
      </c>
      <c r="S37" s="35"/>
      <c r="T37" s="250">
        <f>SUM(T21,T27,T32,T35,T19)</f>
        <v>-710</v>
      </c>
      <c r="U37" s="37">
        <f>SUM(U21,U27,U32,U35,U19)</f>
        <v>-1062</v>
      </c>
      <c r="V37" s="37">
        <f>SUM(V21,V27,V32,V35,V19)</f>
        <v>-1296</v>
      </c>
      <c r="X37" s="250">
        <f>SUM(X21,X27,X32,X35,X19)</f>
        <v>-8607.0342684007774</v>
      </c>
      <c r="Y37" s="250">
        <f>SUM(Y21,Y27,Y32,Y35,Y19)</f>
        <v>-268.13279571050998</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72">
        <f>X37+('CAP 20.4 - Retirements'!Y26/1000)</f>
        <v>0</v>
      </c>
      <c r="Y39" s="172">
        <f>Y37-('CAP 20.4 - Retirements'!AK26/1000)</f>
        <v>0</v>
      </c>
    </row>
    <row r="40" spans="1:25" s="60" customFormat="1" ht="9.6">
      <c r="A40" s="60" t="s">
        <v>551</v>
      </c>
      <c r="C40" s="61"/>
      <c r="D40" s="62"/>
      <c r="E40" s="63"/>
      <c r="F40" s="64"/>
      <c r="H40" s="65"/>
      <c r="I40" s="61"/>
      <c r="L40" s="65"/>
      <c r="M40" s="65"/>
      <c r="N40" s="65"/>
      <c r="S40" s="67"/>
      <c r="T40" s="66"/>
      <c r="U40" s="68"/>
    </row>
    <row r="41" spans="1:25">
      <c r="A41" s="66" t="s">
        <v>848</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88671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66" t="s">
        <v>518</v>
      </c>
      <c r="E5" s="267"/>
      <c r="F5" s="268"/>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3599.2505916</v>
      </c>
      <c r="E10" s="25"/>
      <c r="F10" s="25">
        <f>SUMIFS('CAP 20.2 - 2020 Forecasted TTP'!$BT$206:$BT$217,'CAP 20.2 - 2020 Forecasted TTP'!$O$206:$O$217,'E-CAP 20.1 - Depreciation'!B10)/1000</f>
        <v>2138.3648097499999</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3599.2505916</v>
      </c>
      <c r="E12" s="25"/>
      <c r="F12" s="28">
        <f>SUM(F9:F11)</f>
        <v>2138.3648097499999</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14227.268485199998</v>
      </c>
      <c r="E14" s="25"/>
      <c r="F14" s="25">
        <f>SUMIFS('CAP 20.2 - 2020 Forecasted TTP'!$BT$206:$BT$217,'CAP 20.2 - 2020 Forecasted TTP'!$O$206:$O$217,'E-CAP 20.1 - Depreciation'!B14)/1000</f>
        <v>3980.5993269500004</v>
      </c>
      <c r="L14" s="4"/>
    </row>
    <row r="15" spans="1:12">
      <c r="A15" s="4" t="s">
        <v>5</v>
      </c>
      <c r="B15" s="4"/>
      <c r="C15" s="77"/>
      <c r="D15" s="28">
        <f>SUM(D14)</f>
        <v>14227.268485199998</v>
      </c>
      <c r="E15" s="30"/>
      <c r="F15" s="28">
        <f>SUM(F14)</f>
        <v>3980.5993269500004</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2763.76</v>
      </c>
      <c r="E18" s="25"/>
      <c r="F18" s="25">
        <f>SUMIFS('CAP 20.2 - 2020 Forecasted TTP'!$BT$206:$BT$217,'CAP 20.2 - 2020 Forecasted TTP'!$O$206:$O$217,'E-CAP 20.1 - Depreciation'!B18)/1000</f>
        <v>115.15666666666667</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2763.76</v>
      </c>
      <c r="E21" s="30"/>
      <c r="F21" s="28">
        <f>SUM(F18:F20)</f>
        <v>115.15666666666667</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1392.4125130405969</v>
      </c>
      <c r="E23" s="25"/>
      <c r="F23" s="25">
        <f>SUMIFS('CAP 20.2 - 2020 Forecasted TTP'!$BT$206:$BT$217,'CAP 20.2 - 2020 Forecasted TTP'!$O$206:$O$217,'E-CAP 20.1 - Depreciation'!B23)/1000</f>
        <v>854.96093162386433</v>
      </c>
    </row>
    <row r="24" spans="1:12">
      <c r="A24" s="4"/>
      <c r="B24" s="4" t="s">
        <v>253</v>
      </c>
      <c r="C24" s="77"/>
      <c r="D24" s="25">
        <f>J90/1000</f>
        <v>1367.4972524137327</v>
      </c>
      <c r="E24" s="25"/>
      <c r="F24" s="25">
        <f>N90/1000</f>
        <v>822.79387522482273</v>
      </c>
    </row>
    <row r="25" spans="1:12">
      <c r="A25" s="2" t="s">
        <v>24</v>
      </c>
      <c r="B25" s="4" t="s">
        <v>253</v>
      </c>
      <c r="C25" s="140"/>
      <c r="D25" s="25">
        <f>H90/1000</f>
        <v>0</v>
      </c>
      <c r="E25" s="25"/>
      <c r="F25" s="25">
        <f>L90/1000</f>
        <v>0</v>
      </c>
      <c r="L25" s="136"/>
    </row>
    <row r="26" spans="1:12">
      <c r="A26" s="4" t="s">
        <v>5</v>
      </c>
      <c r="B26" s="4"/>
      <c r="C26" s="77"/>
      <c r="D26" s="28">
        <f>SUM(D23:D25)</f>
        <v>2759.9097654543293</v>
      </c>
      <c r="E26" s="30"/>
      <c r="F26" s="28">
        <f>SUM(F23:F25)</f>
        <v>1677.7548068486872</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889.83781946026181</v>
      </c>
      <c r="E31" s="25"/>
      <c r="F31" s="25">
        <f>M90/1000</f>
        <v>135.27227523015389</v>
      </c>
      <c r="L31" s="136"/>
    </row>
    <row r="32" spans="1:12">
      <c r="A32" s="4" t="s">
        <v>5</v>
      </c>
      <c r="B32" s="4"/>
      <c r="C32" s="77"/>
      <c r="D32" s="28">
        <f>SUM(D31)</f>
        <v>889.83781946026181</v>
      </c>
      <c r="E32" s="30"/>
      <c r="F32" s="28">
        <f>SUM(F31)</f>
        <v>135.27227523015389</v>
      </c>
    </row>
    <row r="33" spans="1:24">
      <c r="A33" s="4"/>
      <c r="B33" s="4"/>
      <c r="C33" s="77"/>
      <c r="D33" s="31"/>
      <c r="E33" s="30"/>
      <c r="F33" s="31"/>
    </row>
    <row r="34" spans="1:24">
      <c r="A34" s="4"/>
      <c r="B34" s="4"/>
      <c r="C34" s="77"/>
      <c r="D34" s="31"/>
      <c r="E34" s="30"/>
      <c r="F34" s="31"/>
    </row>
    <row r="35" spans="1:24" ht="15" thickBot="1">
      <c r="A35" s="36" t="s">
        <v>878</v>
      </c>
      <c r="B35" s="36"/>
      <c r="C35" s="78"/>
      <c r="D35" s="255">
        <f>SUM(D12,D21,D26,D29,D32,D15)</f>
        <v>24240.02666171459</v>
      </c>
      <c r="E35" s="34"/>
      <c r="F35" s="37">
        <f>SUM(F12,F21,F26,F29,F32,F15)</f>
        <v>8047.1478854455081</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25" t="s">
        <v>867</v>
      </c>
      <c r="P42" t="s">
        <v>866</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13" t="s">
        <v>858</v>
      </c>
      <c r="R43" s="213" t="s">
        <v>859</v>
      </c>
      <c r="S43" s="213" t="s">
        <v>860</v>
      </c>
      <c r="T43" s="213" t="s">
        <v>861</v>
      </c>
      <c r="U43" s="213" t="s">
        <v>862</v>
      </c>
      <c r="V43" s="213" t="s">
        <v>863</v>
      </c>
      <c r="W43" s="213" t="s">
        <v>864</v>
      </c>
      <c r="X43" s="213" t="s">
        <v>865</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1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1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1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1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11" t="s">
        <v>263</v>
      </c>
      <c r="Q48" s="148">
        <v>0</v>
      </c>
      <c r="R48" s="148">
        <v>0</v>
      </c>
      <c r="S48" s="148">
        <v>0</v>
      </c>
      <c r="T48" s="148">
        <v>0</v>
      </c>
      <c r="U48" s="148">
        <v>0</v>
      </c>
      <c r="V48" s="148">
        <v>0</v>
      </c>
      <c r="W48" s="148">
        <v>0</v>
      </c>
      <c r="X48" s="148">
        <v>0</v>
      </c>
    </row>
    <row r="49" spans="1:24">
      <c r="A49" s="169"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11" t="s">
        <v>229</v>
      </c>
      <c r="Q49" s="148">
        <v>0</v>
      </c>
      <c r="R49" s="148">
        <v>0</v>
      </c>
      <c r="S49" s="148">
        <v>0</v>
      </c>
      <c r="T49" s="148">
        <v>0</v>
      </c>
      <c r="U49" s="148">
        <v>0</v>
      </c>
      <c r="V49" s="148">
        <v>0</v>
      </c>
      <c r="W49" s="148">
        <v>0</v>
      </c>
      <c r="X49" s="148">
        <v>0</v>
      </c>
    </row>
    <row r="50" spans="1:24">
      <c r="A50" s="169"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1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11" t="s">
        <v>178</v>
      </c>
      <c r="Q51" s="148">
        <v>0</v>
      </c>
      <c r="R51" s="148">
        <v>0</v>
      </c>
      <c r="S51" s="148">
        <v>0</v>
      </c>
      <c r="T51" s="148">
        <v>0</v>
      </c>
      <c r="U51" s="148">
        <v>0</v>
      </c>
      <c r="V51" s="148">
        <v>0</v>
      </c>
      <c r="W51" s="148">
        <v>0</v>
      </c>
      <c r="X51" s="148">
        <v>0</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1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0</v>
      </c>
      <c r="H53" s="144">
        <f t="shared" si="2"/>
        <v>0</v>
      </c>
      <c r="I53" s="144">
        <f t="shared" si="3"/>
        <v>0</v>
      </c>
      <c r="J53" s="144">
        <f t="shared" si="3"/>
        <v>0</v>
      </c>
      <c r="K53" s="144">
        <f>_xlfn.IFNA(INDEX('CAP 20.2 - 2020 Forecasted TTP'!$BT:$BT,MATCH(1,INDEX(('E-CAP 20.1 - Depreciation'!B53='CAP 20.2 - 2020 Forecasted TTP'!$I:$I)*("Y"='CAP 20.2 - 2020 Forecasted TTP'!$A:$A),0,1),0)),)</f>
        <v>0</v>
      </c>
      <c r="L53" s="145">
        <f t="shared" si="4"/>
        <v>0</v>
      </c>
      <c r="M53" s="145">
        <f t="shared" si="0"/>
        <v>0</v>
      </c>
      <c r="N53" s="145">
        <f t="shared" si="0"/>
        <v>0</v>
      </c>
      <c r="P53" s="211" t="s">
        <v>182</v>
      </c>
      <c r="Q53" s="148">
        <v>0</v>
      </c>
      <c r="R53" s="148">
        <v>0</v>
      </c>
      <c r="S53" s="148">
        <v>0</v>
      </c>
      <c r="T53" s="148">
        <v>0</v>
      </c>
      <c r="U53" s="148">
        <v>0</v>
      </c>
      <c r="V53" s="148">
        <v>0</v>
      </c>
      <c r="W53" s="148">
        <v>0</v>
      </c>
      <c r="X53" s="148">
        <v>0</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11" t="s">
        <v>185</v>
      </c>
      <c r="Q54" s="148">
        <v>0</v>
      </c>
      <c r="R54" s="148">
        <v>0</v>
      </c>
      <c r="S54" s="148">
        <v>0</v>
      </c>
      <c r="T54" s="148">
        <v>0</v>
      </c>
      <c r="U54" s="148">
        <v>0</v>
      </c>
      <c r="V54" s="148">
        <v>0</v>
      </c>
      <c r="W54" s="148">
        <v>0</v>
      </c>
      <c r="X54" s="148">
        <v>0</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1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11" t="s">
        <v>187</v>
      </c>
      <c r="Q56" s="148">
        <v>0</v>
      </c>
      <c r="R56" s="148">
        <v>0</v>
      </c>
      <c r="S56" s="148">
        <v>0</v>
      </c>
      <c r="T56" s="148">
        <v>0</v>
      </c>
      <c r="U56" s="148">
        <v>0</v>
      </c>
      <c r="V56" s="148">
        <v>0</v>
      </c>
      <c r="W56" s="148">
        <v>0</v>
      </c>
      <c r="X56" s="148">
        <v>0</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1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0</v>
      </c>
      <c r="H58" s="144">
        <f t="shared" si="2"/>
        <v>0</v>
      </c>
      <c r="I58" s="144">
        <f t="shared" si="3"/>
        <v>0</v>
      </c>
      <c r="J58" s="144">
        <f t="shared" si="3"/>
        <v>0</v>
      </c>
      <c r="K58" s="144">
        <f>_xlfn.IFNA(INDEX('CAP 20.2 - 2020 Forecasted TTP'!$BT:$BT,MATCH(1,INDEX(('E-CAP 20.1 - Depreciation'!B58='CAP 20.2 - 2020 Forecasted TTP'!$I:$I)*("Y"='CAP 20.2 - 2020 Forecasted TTP'!$A:$A),0,1),0)),)</f>
        <v>0</v>
      </c>
      <c r="L58" s="145">
        <f t="shared" si="4"/>
        <v>0</v>
      </c>
      <c r="M58" s="145">
        <f t="shared" si="0"/>
        <v>0</v>
      </c>
      <c r="N58" s="145">
        <f t="shared" si="0"/>
        <v>0</v>
      </c>
      <c r="P58" s="211" t="s">
        <v>190</v>
      </c>
      <c r="Q58" s="148">
        <v>0</v>
      </c>
      <c r="R58" s="148">
        <v>0</v>
      </c>
      <c r="S58" s="148">
        <v>0</v>
      </c>
      <c r="T58" s="148">
        <v>0</v>
      </c>
      <c r="U58" s="148">
        <v>0</v>
      </c>
      <c r="V58" s="148">
        <v>0</v>
      </c>
      <c r="W58" s="148">
        <v>0</v>
      </c>
      <c r="X58" s="148">
        <v>0</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0</v>
      </c>
      <c r="H59" s="144">
        <f t="shared" si="2"/>
        <v>0</v>
      </c>
      <c r="I59" s="144">
        <f t="shared" si="3"/>
        <v>0</v>
      </c>
      <c r="J59" s="144">
        <f t="shared" si="3"/>
        <v>0</v>
      </c>
      <c r="K59" s="144">
        <f>_xlfn.IFNA(INDEX('CAP 20.2 - 2020 Forecasted TTP'!$BT:$BT,MATCH(1,INDEX(('E-CAP 20.1 - Depreciation'!B59='CAP 20.2 - 2020 Forecasted TTP'!$I:$I)*("Y"='CAP 20.2 - 2020 Forecasted TTP'!$A:$A),0,1),0)),)</f>
        <v>0</v>
      </c>
      <c r="L59" s="145">
        <f t="shared" si="4"/>
        <v>0</v>
      </c>
      <c r="M59" s="145">
        <f t="shared" si="0"/>
        <v>0</v>
      </c>
      <c r="N59" s="145">
        <f t="shared" si="0"/>
        <v>0</v>
      </c>
      <c r="P59" s="21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11" t="s">
        <v>192</v>
      </c>
      <c r="Q60" s="148">
        <v>0</v>
      </c>
      <c r="R60" s="148">
        <v>0</v>
      </c>
      <c r="S60" s="148">
        <v>0</v>
      </c>
      <c r="T60" s="148">
        <v>0</v>
      </c>
      <c r="U60" s="148">
        <v>0</v>
      </c>
      <c r="V60" s="148">
        <v>0</v>
      </c>
      <c r="W60" s="148">
        <v>0</v>
      </c>
      <c r="X60" s="148">
        <v>0</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1189543.5785821807</v>
      </c>
      <c r="H61" s="144">
        <f t="shared" si="2"/>
        <v>0</v>
      </c>
      <c r="I61" s="144">
        <f t="shared" si="2"/>
        <v>6982.5017725311136</v>
      </c>
      <c r="J61" s="144">
        <f t="shared" si="2"/>
        <v>1182561.0768096496</v>
      </c>
      <c r="K61" s="144">
        <f>_xlfn.IFNA(INDEX('CAP 20.2 - 2020 Forecasted TTP'!$BT:$BT,MATCH(1,INDEX(('E-CAP 20.1 - Depreciation'!B61='CAP 20.2 - 2020 Forecasted TTP'!$I:$I)*("Y"='CAP 20.2 - 2020 Forecasted TTP'!$A:$A),0,1),0)),)</f>
        <v>800138.28634378256</v>
      </c>
      <c r="L61" s="145">
        <f t="shared" si="4"/>
        <v>0</v>
      </c>
      <c r="M61" s="145">
        <f t="shared" si="4"/>
        <v>4696.7316736092898</v>
      </c>
      <c r="N61" s="145">
        <f t="shared" si="4"/>
        <v>795441.55467017321</v>
      </c>
      <c r="P61" s="21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11" t="s">
        <v>207</v>
      </c>
      <c r="Q62" s="148">
        <v>0</v>
      </c>
      <c r="R62" s="148">
        <v>6982.5017725311136</v>
      </c>
      <c r="S62" s="148">
        <v>1182561.0768096496</v>
      </c>
      <c r="T62" s="148">
        <v>1189543.5785821807</v>
      </c>
      <c r="U62" s="148">
        <v>0</v>
      </c>
      <c r="V62" s="148">
        <v>4696.7316736092898</v>
      </c>
      <c r="W62" s="148">
        <v>795441.55467017321</v>
      </c>
      <c r="X62" s="148">
        <v>800138.28634378256</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0</v>
      </c>
      <c r="H63" s="144">
        <f t="shared" si="2"/>
        <v>0</v>
      </c>
      <c r="I63" s="144">
        <f t="shared" si="2"/>
        <v>0</v>
      </c>
      <c r="J63" s="144">
        <f t="shared" si="2"/>
        <v>0</v>
      </c>
      <c r="K63" s="144">
        <f>_xlfn.IFNA(INDEX('CAP 20.2 - 2020 Forecasted TTP'!$BT:$BT,MATCH(1,INDEX(('E-CAP 20.1 - Depreciation'!B63='CAP 20.2 - 2020 Forecasted TTP'!$I:$I)*("Y"='CAP 20.2 - 2020 Forecasted TTP'!$A:$A),0,1),0)),)</f>
        <v>0</v>
      </c>
      <c r="L63" s="145">
        <f t="shared" si="4"/>
        <v>0</v>
      </c>
      <c r="M63" s="145">
        <f t="shared" si="4"/>
        <v>0</v>
      </c>
      <c r="N63" s="145">
        <f t="shared" si="4"/>
        <v>0</v>
      </c>
      <c r="P63" s="21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11" t="s">
        <v>197</v>
      </c>
      <c r="Q64" s="148">
        <v>0</v>
      </c>
      <c r="R64" s="148">
        <v>0</v>
      </c>
      <c r="S64" s="148">
        <v>0</v>
      </c>
      <c r="T64" s="148">
        <v>0</v>
      </c>
      <c r="U64" s="148">
        <v>0</v>
      </c>
      <c r="V64" s="148">
        <v>0</v>
      </c>
      <c r="W64" s="148">
        <v>0</v>
      </c>
      <c r="X64" s="148">
        <v>0</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1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1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1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1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11" t="s">
        <v>225</v>
      </c>
      <c r="Q69" s="148">
        <v>0</v>
      </c>
      <c r="R69" s="148">
        <v>0</v>
      </c>
      <c r="S69" s="148">
        <v>0</v>
      </c>
      <c r="T69" s="148">
        <v>0</v>
      </c>
      <c r="U69" s="148">
        <v>0</v>
      </c>
      <c r="V69" s="148">
        <v>0</v>
      </c>
      <c r="W69" s="148">
        <v>0</v>
      </c>
      <c r="X69" s="148">
        <v>0</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0</v>
      </c>
      <c r="H70" s="144">
        <f t="shared" si="2"/>
        <v>0</v>
      </c>
      <c r="I70" s="144">
        <f t="shared" si="2"/>
        <v>0</v>
      </c>
      <c r="J70" s="144">
        <f t="shared" si="2"/>
        <v>0</v>
      </c>
      <c r="K70" s="144">
        <f>_xlfn.IFNA(INDEX('CAP 20.2 - 2020 Forecasted TTP'!$BT:$BT,MATCH(1,INDEX(('E-CAP 20.1 - Depreciation'!B70='CAP 20.2 - 2020 Forecasted TTP'!$I:$I)*("Y"='CAP 20.2 - 2020 Forecasted TTP'!$A:$A),0,1),0)),)</f>
        <v>0</v>
      </c>
      <c r="L70" s="145">
        <f t="shared" si="4"/>
        <v>0</v>
      </c>
      <c r="M70" s="145">
        <f t="shared" si="4"/>
        <v>0</v>
      </c>
      <c r="N70" s="145">
        <f t="shared" si="4"/>
        <v>0</v>
      </c>
      <c r="P70" s="21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11" t="s">
        <v>805</v>
      </c>
      <c r="Q71" s="148">
        <v>0</v>
      </c>
      <c r="R71" s="148">
        <v>0</v>
      </c>
      <c r="S71" s="148">
        <v>0</v>
      </c>
      <c r="T71" s="148">
        <v>0</v>
      </c>
      <c r="U71" s="148">
        <v>0</v>
      </c>
      <c r="V71" s="148">
        <v>0</v>
      </c>
      <c r="W71" s="148">
        <v>0</v>
      </c>
      <c r="X71" s="148">
        <v>0</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1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11" t="s">
        <v>218</v>
      </c>
      <c r="Q73" s="148">
        <v>0</v>
      </c>
      <c r="R73" s="148">
        <v>0</v>
      </c>
      <c r="S73" s="148">
        <v>0</v>
      </c>
      <c r="T73" s="148">
        <v>0</v>
      </c>
      <c r="U73" s="148">
        <v>0</v>
      </c>
      <c r="V73" s="148">
        <v>0</v>
      </c>
      <c r="W73" s="148">
        <v>0</v>
      </c>
      <c r="X73" s="148">
        <v>0</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1067791.4932918139</v>
      </c>
      <c r="H74" s="144">
        <f t="shared" si="2"/>
        <v>0</v>
      </c>
      <c r="I74" s="144">
        <f t="shared" si="2"/>
        <v>882855.31768773077</v>
      </c>
      <c r="J74" s="144">
        <f t="shared" si="2"/>
        <v>184936.1756040832</v>
      </c>
      <c r="K74" s="144">
        <f>_xlfn.IFNA(INDEX('CAP 20.2 - 2020 Forecasted TTP'!$BT:$BT,MATCH(1,INDEX(('E-CAP 20.1 - Depreciation'!B74='CAP 20.2 - 2020 Forecasted TTP'!$I:$I)*("Y"='CAP 20.2 - 2020 Forecasted TTP'!$A:$A),0,1),0)),)</f>
        <v>157927.86411119413</v>
      </c>
      <c r="L74" s="145">
        <f t="shared" si="4"/>
        <v>0</v>
      </c>
      <c r="M74" s="145">
        <f t="shared" si="4"/>
        <v>130575.54355654461</v>
      </c>
      <c r="N74" s="145">
        <f t="shared" si="4"/>
        <v>27352.320554649519</v>
      </c>
      <c r="P74" s="211" t="s">
        <v>222</v>
      </c>
      <c r="Q74" s="148">
        <v>0</v>
      </c>
      <c r="R74" s="148">
        <v>0</v>
      </c>
      <c r="S74" s="148">
        <v>0</v>
      </c>
      <c r="T74" s="148">
        <v>0</v>
      </c>
      <c r="U74" s="148">
        <v>0</v>
      </c>
      <c r="V74" s="148">
        <v>0</v>
      </c>
      <c r="W74" s="148">
        <v>0</v>
      </c>
      <c r="X74" s="148">
        <v>0</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1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0</v>
      </c>
      <c r="H76" s="144">
        <f t="shared" si="2"/>
        <v>0</v>
      </c>
      <c r="I76" s="144">
        <f t="shared" si="2"/>
        <v>0</v>
      </c>
      <c r="J76" s="144">
        <f t="shared" si="2"/>
        <v>0</v>
      </c>
      <c r="K76" s="144">
        <f>_xlfn.IFNA(INDEX('CAP 20.2 - 2020 Forecasted TTP'!$BT:$BT,MATCH(1,INDEX(('E-CAP 20.1 - Depreciation'!B76='CAP 20.2 - 2020 Forecasted TTP'!$I:$I)*("Y"='CAP 20.2 - 2020 Forecasted TTP'!$A:$A),0,1),0)),)</f>
        <v>0</v>
      </c>
      <c r="L76" s="145">
        <f t="shared" si="4"/>
        <v>0</v>
      </c>
      <c r="M76" s="145">
        <f t="shared" si="4"/>
        <v>0</v>
      </c>
      <c r="N76" s="145">
        <f t="shared" si="4"/>
        <v>0</v>
      </c>
      <c r="P76" s="21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11" t="s">
        <v>176</v>
      </c>
      <c r="Q77" s="148">
        <v>0</v>
      </c>
      <c r="R77" s="148">
        <v>0</v>
      </c>
      <c r="S77" s="148">
        <v>0</v>
      </c>
      <c r="T77" s="148">
        <v>0</v>
      </c>
      <c r="U77" s="148">
        <v>0</v>
      </c>
      <c r="V77" s="148">
        <v>0</v>
      </c>
      <c r="W77" s="148">
        <v>0</v>
      </c>
      <c r="X77" s="148">
        <v>0</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11" t="s">
        <v>481</v>
      </c>
      <c r="Q78" s="148">
        <v>0</v>
      </c>
      <c r="R78" s="148">
        <v>882855.31768773077</v>
      </c>
      <c r="S78" s="148">
        <v>184936.1756040832</v>
      </c>
      <c r="T78" s="148">
        <v>1067791.4932918139</v>
      </c>
      <c r="U78" s="148">
        <v>0</v>
      </c>
      <c r="V78" s="148">
        <v>130575.54355654461</v>
      </c>
      <c r="W78" s="148">
        <v>27352.320554649519</v>
      </c>
      <c r="X78" s="148">
        <v>157927.86411119413</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1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1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1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11" t="s">
        <v>231</v>
      </c>
      <c r="Q82" s="148">
        <v>0</v>
      </c>
      <c r="R82" s="148">
        <v>0</v>
      </c>
      <c r="S82" s="148">
        <v>0</v>
      </c>
      <c r="T82" s="148">
        <v>0</v>
      </c>
      <c r="U82" s="148">
        <v>0</v>
      </c>
      <c r="V82" s="148">
        <v>0</v>
      </c>
      <c r="W82" s="148">
        <v>0</v>
      </c>
      <c r="X82" s="148">
        <v>0</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1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1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11" t="s">
        <v>244</v>
      </c>
      <c r="Q85" s="148">
        <v>0</v>
      </c>
      <c r="R85" s="148">
        <v>889837.81946026185</v>
      </c>
      <c r="S85" s="148">
        <v>1367497.2524137327</v>
      </c>
      <c r="T85" s="148">
        <v>2257335.0718739945</v>
      </c>
      <c r="U85" s="148">
        <v>0</v>
      </c>
      <c r="V85" s="148">
        <v>135272.2752301539</v>
      </c>
      <c r="W85" s="148">
        <v>822793.87522482278</v>
      </c>
      <c r="X85" s="148">
        <v>958066.15045497671</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0</v>
      </c>
      <c r="H88" s="144">
        <f t="shared" si="6"/>
        <v>0</v>
      </c>
      <c r="I88" s="144">
        <f t="shared" si="7"/>
        <v>0</v>
      </c>
      <c r="J88" s="144">
        <f t="shared" si="8"/>
        <v>0</v>
      </c>
      <c r="K88" s="144">
        <f>_xlfn.IFNA(INDEX('CAP 20.2 - 2020 Forecasted TTP'!$BT:$BT,MATCH(1,INDEX(('E-CAP 20.1 - Depreciation'!B88='CAP 20.2 - 2020 Forecasted TTP'!$I:$I)*("Y"='CAP 20.2 - 2020 Forecasted TTP'!$A:$A),0,1),0)),)</f>
        <v>0</v>
      </c>
      <c r="L88" s="145">
        <f t="shared" si="9"/>
        <v>0</v>
      </c>
      <c r="M88" s="145">
        <f t="shared" si="10"/>
        <v>0</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0</v>
      </c>
      <c r="H89" s="144">
        <f t="shared" si="6"/>
        <v>0</v>
      </c>
      <c r="I89" s="144">
        <f t="shared" si="7"/>
        <v>0</v>
      </c>
      <c r="J89" s="144">
        <f t="shared" si="8"/>
        <v>0</v>
      </c>
      <c r="K89" s="144">
        <f>_xlfn.IFNA(INDEX('CAP 20.2 - 2020 Forecasted TTP'!$BT:$BT,MATCH(1,INDEX(('E-CAP 20.1 - Depreciation'!B89='CAP 20.2 - 2020 Forecasted TTP'!$I:$I)*("Y"='CAP 20.2 - 2020 Forecasted TTP'!$A:$A),0,1),0)),)</f>
        <v>0</v>
      </c>
      <c r="L89" s="145">
        <f t="shared" si="9"/>
        <v>0</v>
      </c>
      <c r="M89" s="145">
        <f t="shared" si="10"/>
        <v>0</v>
      </c>
      <c r="N89" s="145">
        <f t="shared" si="11"/>
        <v>0</v>
      </c>
      <c r="P89"/>
      <c r="Q89"/>
    </row>
    <row r="90" spans="1:24">
      <c r="F90" s="143"/>
      <c r="G90" s="144">
        <f>SUM(G44:G89)</f>
        <v>2257335.0718739945</v>
      </c>
      <c r="H90" s="144">
        <f t="shared" ref="H90:N90" si="12">SUM(H44:H89)</f>
        <v>0</v>
      </c>
      <c r="I90" s="144">
        <f t="shared" si="12"/>
        <v>889837.81946026185</v>
      </c>
      <c r="J90" s="144">
        <f t="shared" si="12"/>
        <v>1367497.2524137327</v>
      </c>
      <c r="K90" s="144">
        <f t="shared" si="12"/>
        <v>958066.15045497671</v>
      </c>
      <c r="L90" s="144">
        <f t="shared" si="12"/>
        <v>0</v>
      </c>
      <c r="M90" s="144">
        <f t="shared" si="12"/>
        <v>135272.2752301539</v>
      </c>
      <c r="N90" s="144">
        <f t="shared" si="12"/>
        <v>822793.87522482278</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2" fitToWidth="2" orientation="portrait" r:id="rId2"/>
  <headerFooter>
    <oddHeader>&amp;LAvista
Ms. Schultz Workpapers&amp;R&amp;F
Workpaper Ref. &amp;A</oddHeader>
    <oddFooter>&amp;R
Page &amp;P of &amp;N</oddFooter>
  </headerFooter>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71" t="s">
        <v>542</v>
      </c>
      <c r="T10" s="170">
        <v>0.21</v>
      </c>
    </row>
    <row r="11" spans="1:25" s="5" customFormat="1" ht="12.75" customHeight="1">
      <c r="A11" s="6"/>
      <c r="B11" s="6"/>
      <c r="C11" s="6"/>
      <c r="D11" s="6"/>
      <c r="E11" s="6"/>
      <c r="F11" s="15"/>
      <c r="I11" s="266" t="s">
        <v>257</v>
      </c>
      <c r="J11" s="267"/>
      <c r="K11" s="268"/>
      <c r="L11" s="20"/>
      <c r="M11" s="20"/>
      <c r="N11" s="269" t="s">
        <v>16</v>
      </c>
      <c r="O11" s="270"/>
      <c r="P11" s="270"/>
      <c r="Q11" s="270"/>
      <c r="R11" s="271"/>
      <c r="S11" s="20"/>
      <c r="T11" s="269" t="s">
        <v>256</v>
      </c>
      <c r="U11" s="270"/>
      <c r="V11" s="271"/>
    </row>
    <row r="12" spans="1:25" s="5" customFormat="1" ht="13.8" thickBot="1">
      <c r="A12" s="6"/>
      <c r="B12" s="6"/>
      <c r="C12" s="6"/>
      <c r="D12" s="6"/>
      <c r="E12" s="6"/>
      <c r="F12" s="15"/>
      <c r="I12" s="20"/>
      <c r="J12" s="20"/>
      <c r="K12" s="20"/>
      <c r="L12" s="20"/>
      <c r="M12" s="20"/>
      <c r="N12" s="266">
        <v>2020</v>
      </c>
      <c r="O12" s="267"/>
      <c r="P12" s="268"/>
      <c r="Q12" s="45">
        <v>2021</v>
      </c>
      <c r="R12" s="45">
        <v>2022</v>
      </c>
      <c r="S12" s="20"/>
      <c r="T12" s="44"/>
      <c r="U12" s="44"/>
      <c r="V12" s="44"/>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857</v>
      </c>
      <c r="X14" s="55"/>
      <c r="Y14" s="55"/>
    </row>
    <row r="15" spans="1:25">
      <c r="A15" s="4" t="s">
        <v>6</v>
      </c>
      <c r="C15" s="58">
        <f>'G-CAP 20.1 - Depreciation'!D8</f>
        <v>1402.3995843999999</v>
      </c>
      <c r="D15" s="25"/>
      <c r="E15" s="58">
        <f>'G-CAP 20.1 - Depreciation'!F8</f>
        <v>637.79444481666678</v>
      </c>
      <c r="F15" s="15">
        <v>1.46E-2</v>
      </c>
      <c r="G15" s="58">
        <f>ROUND(C15*F15,0)</f>
        <v>20</v>
      </c>
      <c r="H15" s="26"/>
      <c r="I15" s="58">
        <f>F15*E15</f>
        <v>9.311798894323335</v>
      </c>
      <c r="J15" s="33">
        <f>I15+G15</f>
        <v>29.311798894323335</v>
      </c>
      <c r="K15" s="33">
        <f>J15+G15</f>
        <v>49.311798894323331</v>
      </c>
      <c r="L15" s="16"/>
      <c r="M15" s="134">
        <v>0</v>
      </c>
      <c r="N15" s="72">
        <f>$C15*M15</f>
        <v>0</v>
      </c>
      <c r="O15" s="33">
        <f>ROUND((C15-N15)*$O$6,0)</f>
        <v>53</v>
      </c>
      <c r="P15" s="33">
        <f>SUM(N15:O15)</f>
        <v>53</v>
      </c>
      <c r="Q15" s="33">
        <f>ROUND((C15-N15)*$Q$6,0)</f>
        <v>101</v>
      </c>
      <c r="R15" s="33">
        <f>ROUND((C15-N15)*$R$6,0)</f>
        <v>94</v>
      </c>
      <c r="S15" s="27"/>
      <c r="T15" s="58">
        <f>ROUND(((P15-I15)*-$T$10),0)</f>
        <v>-9</v>
      </c>
      <c r="U15" s="33">
        <f>ROUND(((Q15-G15)*-$T$10)+T15,0)</f>
        <v>-26</v>
      </c>
      <c r="V15" s="33">
        <f>ROUND(((R15-G15)*-$T$10)+U15,0)</f>
        <v>-42</v>
      </c>
      <c r="X15" s="69">
        <f>-'CAP 20.4 - Retirements'!AE18/1000</f>
        <v>-60.096201434366506</v>
      </c>
      <c r="Y15" s="69">
        <f>'CAP 20.4 - Retirements'!AQ18/1000</f>
        <v>-0.62178428448638723</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4917.9610000000002</v>
      </c>
      <c r="D18" s="25"/>
      <c r="E18" s="59">
        <f>'G-CAP 20.1 - Depreciation'!F11</f>
        <v>2664.0013749999998</v>
      </c>
      <c r="F18" s="15">
        <v>2.3699999999999999E-2</v>
      </c>
      <c r="G18" s="59">
        <f>ROUND(C18*F18,0)</f>
        <v>117</v>
      </c>
      <c r="H18" s="26"/>
      <c r="I18" s="59">
        <f>F18*E18</f>
        <v>63.136832587499995</v>
      </c>
      <c r="J18" s="16">
        <f>I18+G18</f>
        <v>180.13683258750001</v>
      </c>
      <c r="K18" s="16">
        <f>J18+G18</f>
        <v>297.13683258750001</v>
      </c>
      <c r="L18" s="16"/>
      <c r="M18" s="134">
        <v>0.1</v>
      </c>
      <c r="N18" s="16">
        <f>$C18*M$18</f>
        <v>491.79610000000002</v>
      </c>
      <c r="O18" s="16">
        <f>ROUND((C18-N18)*$O$6,0)</f>
        <v>166</v>
      </c>
      <c r="P18" s="16">
        <f>SUM(N18:O18)</f>
        <v>657.79610000000002</v>
      </c>
      <c r="Q18" s="16">
        <f>ROUND((C18-N18)*$Q$6,0)</f>
        <v>320</v>
      </c>
      <c r="R18" s="16">
        <f>ROUND((C18-N18)*$R$6,0)</f>
        <v>296</v>
      </c>
      <c r="S18" s="27"/>
      <c r="T18" s="59">
        <f>ROUND(((P18-I18)*-$T$10),0)</f>
        <v>-125</v>
      </c>
      <c r="U18" s="16">
        <f>ROUND(((Q18-G18)*-$T$10)+T18,0)</f>
        <v>-168</v>
      </c>
      <c r="V18" s="16">
        <f>ROUND(((R18-G18)*-$T$10)+U18,0)</f>
        <v>-206</v>
      </c>
      <c r="X18" s="71">
        <f>-'CAP 20.4 - Retirements'!AE16/1000</f>
        <v>-676.86612026098544</v>
      </c>
      <c r="Y18" s="71">
        <f>'CAP 20.4 - Retirements'!AQ16/1000</f>
        <v>-16.930458875732004</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4917.9610000000002</v>
      </c>
      <c r="D21" s="30"/>
      <c r="E21" s="56">
        <f>SUM(E18:E20)</f>
        <v>2664.0013749999998</v>
      </c>
      <c r="F21" s="6"/>
      <c r="G21" s="56">
        <f>SUM(G18:G20)</f>
        <v>117</v>
      </c>
      <c r="H21" s="26"/>
      <c r="I21" s="56">
        <f t="shared" ref="I21:V21" si="1">SUM(I18:I20)</f>
        <v>63.136832587499995</v>
      </c>
      <c r="J21" s="29">
        <f t="shared" si="1"/>
        <v>180.13683258750001</v>
      </c>
      <c r="K21" s="29">
        <f t="shared" si="1"/>
        <v>297.13683258750001</v>
      </c>
      <c r="L21" s="26"/>
      <c r="M21" s="134"/>
      <c r="N21" s="29">
        <f t="shared" si="1"/>
        <v>491.79610000000002</v>
      </c>
      <c r="O21" s="29">
        <f t="shared" si="1"/>
        <v>166</v>
      </c>
      <c r="P21" s="29">
        <f t="shared" si="1"/>
        <v>657.79610000000002</v>
      </c>
      <c r="Q21" s="29">
        <f t="shared" si="1"/>
        <v>320</v>
      </c>
      <c r="R21" s="29">
        <f t="shared" si="1"/>
        <v>296</v>
      </c>
      <c r="S21" s="30"/>
      <c r="T21" s="56">
        <f t="shared" si="1"/>
        <v>-125</v>
      </c>
      <c r="U21" s="29">
        <f t="shared" si="1"/>
        <v>-168</v>
      </c>
      <c r="V21" s="29">
        <f t="shared" si="1"/>
        <v>-206</v>
      </c>
      <c r="X21" s="53">
        <f>SUM(X18:X20)</f>
        <v>-676.86612026098544</v>
      </c>
      <c r="Y21" s="53">
        <f>SUM(Y18:Y20)</f>
        <v>-16.930458875732004</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866.02889149849852</v>
      </c>
      <c r="D23" s="25"/>
      <c r="E23" s="59">
        <f>SUM('G-CAP 20.1 - Depreciation'!F16:F17)</f>
        <v>526.46073932140303</v>
      </c>
      <c r="F23" s="15">
        <v>3.7900000000000003E-2</v>
      </c>
      <c r="G23" s="59">
        <f>ROUND(C23*F23,0)</f>
        <v>33</v>
      </c>
      <c r="H23" s="26"/>
      <c r="I23" s="59">
        <f>F23*E23</f>
        <v>19.952862020281177</v>
      </c>
      <c r="J23" s="16">
        <f>I23+G23</f>
        <v>52.952862020281174</v>
      </c>
      <c r="K23" s="16">
        <f>J23+G23</f>
        <v>85.952862020281174</v>
      </c>
      <c r="L23" s="16"/>
      <c r="M23" s="134">
        <v>0</v>
      </c>
      <c r="N23" s="16">
        <f>$C23*M$23</f>
        <v>0</v>
      </c>
      <c r="O23" s="16">
        <f>ROUND((C23-N23)*$O$7,0)</f>
        <v>124</v>
      </c>
      <c r="P23" s="16">
        <f>SUM(N23:O23)</f>
        <v>124</v>
      </c>
      <c r="Q23" s="16">
        <f>ROUND((C23-N23)*$Q$7,0)</f>
        <v>212</v>
      </c>
      <c r="R23" s="16">
        <f>ROUND((C23-N23)*$R$7,0)</f>
        <v>151</v>
      </c>
      <c r="S23" s="27"/>
      <c r="T23" s="59">
        <f>ROUND(((P23-I23)*-$T$10),0)</f>
        <v>-22</v>
      </c>
      <c r="U23" s="16">
        <f>ROUND(((Q23-G23)*-$T$10)+T23,0)</f>
        <v>-60</v>
      </c>
      <c r="V23" s="16">
        <f>ROUND(((R23-G23)*-$T$10)+U23,0)</f>
        <v>-85</v>
      </c>
      <c r="X23" s="71">
        <f>-SUM('CAP 20.4 - Retirements'!AE22:AE23)/1000</f>
        <v>-411.39970652660065</v>
      </c>
      <c r="Y23" s="71">
        <f>SUM('CAP 20.4 - Retirements'!AQ22:AQ23)/1000</f>
        <v>-22.084279733142036</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Retirements'!AE24/1000</f>
        <v>0</v>
      </c>
      <c r="Y24" s="71">
        <f>'CAP 20.4 - Retirements'!AQ24/1000</f>
        <v>0</v>
      </c>
    </row>
    <row r="25" spans="1:25">
      <c r="A25" s="4" t="s">
        <v>24</v>
      </c>
      <c r="C25" s="59">
        <f>'G-CAP 20.1 - Depreciation'!D18</f>
        <v>0</v>
      </c>
      <c r="D25" s="25"/>
      <c r="E25" s="59">
        <f>'G-CAP 20.1 - Depreciation'!F18</f>
        <v>0</v>
      </c>
      <c r="F25" s="46">
        <v>0.2</v>
      </c>
      <c r="G25" s="59">
        <f>ROUND(C25*F25,0)</f>
        <v>0</v>
      </c>
      <c r="H25" s="26"/>
      <c r="I25" s="59">
        <f>F25*E25</f>
        <v>0</v>
      </c>
      <c r="J25" s="16">
        <f>I25+G25</f>
        <v>0</v>
      </c>
      <c r="K25" s="16">
        <f>J25+G25</f>
        <v>0</v>
      </c>
      <c r="L25" s="16"/>
      <c r="M25" s="134">
        <v>0</v>
      </c>
      <c r="N25" s="16">
        <f>$C25*M$25</f>
        <v>0</v>
      </c>
      <c r="O25" s="16">
        <f>ROUND((C25-N25)*$O$8,0)</f>
        <v>0</v>
      </c>
      <c r="P25" s="16">
        <f>SUM(N25:O25)</f>
        <v>0</v>
      </c>
      <c r="Q25" s="16">
        <f>ROUND((C25-N25)*$Q$8,0)</f>
        <v>0</v>
      </c>
      <c r="R25" s="16">
        <f>ROUND((C25-N25)*$R$8,0)</f>
        <v>0</v>
      </c>
      <c r="S25" s="27"/>
      <c r="T25" s="59">
        <f>ROUND(((P25-I25)*-$T$10),0)</f>
        <v>0</v>
      </c>
      <c r="U25" s="16">
        <f>ROUND(((Q25-G25)*-$T$10)+T25,0)</f>
        <v>0</v>
      </c>
      <c r="V25" s="16">
        <f>ROUND(((R25-G25)*-$T$10)+U25,0)</f>
        <v>0</v>
      </c>
      <c r="X25" s="71"/>
      <c r="Y25" s="71"/>
    </row>
    <row r="26" spans="1:25">
      <c r="A26" s="4" t="s">
        <v>5</v>
      </c>
      <c r="C26" s="53">
        <f>SUM(C23:C25)</f>
        <v>866.02889149849852</v>
      </c>
      <c r="D26" s="30"/>
      <c r="E26" s="53">
        <f>SUM(E23:E25)</f>
        <v>526.46073932140303</v>
      </c>
      <c r="F26" s="27"/>
      <c r="G26" s="53">
        <f>SUM(G23:G25)</f>
        <v>33</v>
      </c>
      <c r="H26" s="26"/>
      <c r="I26" s="53">
        <f>SUM(I23:I25)</f>
        <v>19.952862020281177</v>
      </c>
      <c r="J26" s="28">
        <f>SUM(J23:J25)</f>
        <v>52.952862020281174</v>
      </c>
      <c r="K26" s="28">
        <f>SUM(K23:K25)</f>
        <v>85.952862020281174</v>
      </c>
      <c r="L26" s="26"/>
      <c r="M26" s="134"/>
      <c r="N26" s="28">
        <f>SUM(N23:N25)</f>
        <v>0</v>
      </c>
      <c r="O26" s="28">
        <f>SUM(O23:O25)</f>
        <v>124</v>
      </c>
      <c r="P26" s="28">
        <f>SUM(P23:P25)</f>
        <v>124</v>
      </c>
      <c r="Q26" s="28">
        <f>SUM(Q23:Q25)</f>
        <v>212</v>
      </c>
      <c r="R26" s="28">
        <f>SUM(R23:R25)</f>
        <v>151</v>
      </c>
      <c r="S26" s="30"/>
      <c r="T26" s="56">
        <f>SUM(T23:T25)</f>
        <v>-22</v>
      </c>
      <c r="U26" s="29">
        <f>SUM(U23:U25)</f>
        <v>-60</v>
      </c>
      <c r="V26" s="29">
        <f>SUM(V23:V25)</f>
        <v>-85</v>
      </c>
      <c r="X26" s="53">
        <f>SUM(X23:X25)</f>
        <v>-411.39970652660065</v>
      </c>
      <c r="Y26" s="53">
        <f>SUM(Y23:Y25)</f>
        <v>-22.084279733142036</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279.22117963655722</v>
      </c>
      <c r="D28" s="25"/>
      <c r="E28" s="59">
        <f>'G-CAP 20.1 - Depreciation'!F24</f>
        <v>42.446930705636717</v>
      </c>
      <c r="F28" s="46">
        <v>0.2</v>
      </c>
      <c r="G28" s="59">
        <f>ROUND(C28*F28,0)</f>
        <v>56</v>
      </c>
      <c r="H28" s="26"/>
      <c r="I28" s="59">
        <f>F28*E28</f>
        <v>8.4893861411273441</v>
      </c>
      <c r="J28" s="16">
        <f>I28+G28</f>
        <v>64.489386141127341</v>
      </c>
      <c r="K28" s="16">
        <f>J28+G28</f>
        <v>120.48938614112734</v>
      </c>
      <c r="L28" s="16"/>
      <c r="M28" s="134">
        <v>0</v>
      </c>
      <c r="N28" s="16">
        <f>$C28*M$25</f>
        <v>0</v>
      </c>
      <c r="O28" s="16">
        <f>ROUND((C28-N28)*$O$9,0)</f>
        <v>93</v>
      </c>
      <c r="P28" s="16">
        <f>SUM(N28:O28)</f>
        <v>93</v>
      </c>
      <c r="Q28" s="16">
        <f>ROUND((C28-N28)*$Q$9,0)</f>
        <v>124</v>
      </c>
      <c r="R28" s="16">
        <f>ROUND((C28-N28)*$R$9,0)</f>
        <v>41</v>
      </c>
      <c r="S28" s="27"/>
      <c r="T28" s="59">
        <f>ROUND(((P28-I28)*-$T$10),0)</f>
        <v>-18</v>
      </c>
      <c r="U28" s="16">
        <f>ROUND(((Q28-G28)*-$T$10)+T28,0)</f>
        <v>-32</v>
      </c>
      <c r="V28" s="16">
        <f>ROUND(((R28-G28)*-$T$10)+U28,0)</f>
        <v>-29</v>
      </c>
      <c r="X28" s="71">
        <f>-'CAP 20.4 - Retirements'!AE20/1000</f>
        <v>0</v>
      </c>
      <c r="Y28" s="71">
        <f>'CAP 20.4 - Retirements'!AQ20/1000</f>
        <v>0</v>
      </c>
    </row>
    <row r="29" spans="1:25">
      <c r="C29" s="53">
        <f>SUM(C28)</f>
        <v>279.22117963655722</v>
      </c>
      <c r="D29" s="30"/>
      <c r="E29" s="53">
        <f>SUM(E28)</f>
        <v>42.446930705636717</v>
      </c>
      <c r="F29" s="27"/>
      <c r="G29" s="53">
        <f>SUM(G28)</f>
        <v>56</v>
      </c>
      <c r="H29" s="26"/>
      <c r="I29" s="53">
        <f>SUM(I28)</f>
        <v>8.4893861411273441</v>
      </c>
      <c r="J29" s="28">
        <f>SUM(J28)</f>
        <v>64.489386141127341</v>
      </c>
      <c r="K29" s="28">
        <f>SUM(K28)</f>
        <v>120.48938614112734</v>
      </c>
      <c r="L29" s="26"/>
      <c r="M29" s="134"/>
      <c r="N29" s="28">
        <f>SUM(N28)</f>
        <v>0</v>
      </c>
      <c r="O29" s="28">
        <f>SUM(O28)</f>
        <v>93</v>
      </c>
      <c r="P29" s="28">
        <f>SUM(P28)</f>
        <v>93</v>
      </c>
      <c r="Q29" s="28">
        <f>SUM(Q28)</f>
        <v>124</v>
      </c>
      <c r="R29" s="28">
        <f>SUM(R28)</f>
        <v>41</v>
      </c>
      <c r="S29" s="30"/>
      <c r="T29" s="56">
        <f>SUM(T28)</f>
        <v>-18</v>
      </c>
      <c r="U29" s="29">
        <f>SUM(U28)</f>
        <v>-32</v>
      </c>
      <c r="V29" s="29">
        <f>SUM(V28)</f>
        <v>-29</v>
      </c>
      <c r="X29" s="53">
        <f>SUM(X28)</f>
        <v>0</v>
      </c>
      <c r="Y29" s="53">
        <f>SUM(Y28)</f>
        <v>0</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50">
        <f>SUM(C15,C21,C26,C29)</f>
        <v>7465.6106555350561</v>
      </c>
      <c r="D31" s="34"/>
      <c r="E31" s="54">
        <f>SUM(E15,E21,E26,E29)</f>
        <v>3870.7034898437064</v>
      </c>
      <c r="F31" s="7"/>
      <c r="G31" s="250">
        <f>SUM(G15,G21,G26,G29)</f>
        <v>226</v>
      </c>
      <c r="H31" s="34"/>
      <c r="I31" s="250">
        <f>SUM(I15,I21,I26,I29)</f>
        <v>100.89087964323184</v>
      </c>
      <c r="J31" s="37">
        <f>SUM(J15,J21,J26,J29)</f>
        <v>326.89087964323187</v>
      </c>
      <c r="K31" s="37">
        <f>SUM(K15,K21,K26,K29)</f>
        <v>552.89087964323176</v>
      </c>
      <c r="L31" s="34"/>
      <c r="M31" s="15"/>
      <c r="N31" s="37">
        <f>SUM(N15,N21,N26,N29)</f>
        <v>491.79610000000002</v>
      </c>
      <c r="O31" s="37">
        <f>SUM(O15,O21,O26,O29)</f>
        <v>436</v>
      </c>
      <c r="P31" s="37">
        <f>SUM(P15,P21,P26,P29)</f>
        <v>927.79610000000002</v>
      </c>
      <c r="Q31" s="37">
        <f>SUM(Q15,Q21,Q26,Q29)</f>
        <v>757</v>
      </c>
      <c r="R31" s="37">
        <f>SUM(R15,R21,R26,R29)</f>
        <v>582</v>
      </c>
      <c r="S31" s="35"/>
      <c r="T31" s="250">
        <f>SUM(T15,T21,T26,T29)</f>
        <v>-174</v>
      </c>
      <c r="U31" s="37">
        <f>SUM(U15,U21,U26,U29)</f>
        <v>-286</v>
      </c>
      <c r="V31" s="37">
        <f>SUM(V15,V21,V26,V29)</f>
        <v>-362</v>
      </c>
      <c r="X31" s="250">
        <f>SUM(X15,X21,X26,X29)</f>
        <v>-1148.3620282219526</v>
      </c>
      <c r="Y31" s="250">
        <f>SUM(Y15,Y21,Y26,Y29)</f>
        <v>-39.636522893360429</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2">
        <f>X31+('CAP 20.4 - Retirements'!AE26/1000)</f>
        <v>0</v>
      </c>
      <c r="Y33" s="172">
        <f>Y31-('CAP 20.4 - Retirements'!AQ26/1000)</f>
        <v>0</v>
      </c>
    </row>
    <row r="34" spans="1:25" s="60" customFormat="1" ht="9.6">
      <c r="A34" s="66" t="s">
        <v>551</v>
      </c>
      <c r="C34" s="61"/>
      <c r="D34" s="62"/>
      <c r="E34" s="63"/>
      <c r="F34" s="64"/>
      <c r="H34" s="65"/>
      <c r="I34" s="61"/>
      <c r="L34" s="65"/>
      <c r="M34" s="65"/>
      <c r="N34" s="65"/>
      <c r="S34" s="67"/>
      <c r="T34" s="66"/>
      <c r="U34" s="68"/>
    </row>
    <row r="35" spans="1:25">
      <c r="A35" s="66" t="s">
        <v>847</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&amp;LAvista
Ms. Schultz Workpapers&amp;R&amp;F
Workpaper Ref. &amp;A</oddHeader>
    <oddFooter>&amp;R
Page &amp;P of &amp;N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4"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66" t="s">
        <v>538</v>
      </c>
      <c r="E5" s="267"/>
      <c r="F5" s="268"/>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1402.3995843999999</v>
      </c>
      <c r="E8" s="25"/>
      <c r="F8" s="50">
        <f>SUMIFS('CAP 20.2 - 2020 Forecasted TTP'!$CV$206:$CV$217,'CAP 20.2 - 2020 Forecasted TTP'!$O$206:$O$217,'G-CAP 20.1 - Depreciation'!$B8)/1000</f>
        <v>637.79444481666678</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4917.9610000000002</v>
      </c>
      <c r="E11" s="25"/>
      <c r="F11" s="25">
        <f>SUMIFS('CAP 20.2 - 2020 Forecasted TTP'!$CV$206:$CV$217,'CAP 20.2 - 2020 Forecasted TTP'!$O$206:$O$217,'G-CAP 20.1 - Depreciation'!$B11)/1000</f>
        <v>2664.0013749999998</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4917.9610000000002</v>
      </c>
      <c r="E14" s="30"/>
      <c r="F14" s="28">
        <f>SUM(F11:F13)</f>
        <v>2664.0013749999998</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436.9235111491696</v>
      </c>
      <c r="E16" s="25"/>
      <c r="F16" s="25">
        <f>SUMIFS('CAP 20.2 - 2020 Forecasted TTP'!$CV$206:$CV$217,'CAP 20.2 - 2020 Forecasted TTP'!$O$206:$O$217,'G-CAP 20.1 - Depreciation'!$B16)/1000</f>
        <v>268.27720136236138</v>
      </c>
      <c r="P16"/>
    </row>
    <row r="17" spans="1:16">
      <c r="A17" s="4"/>
      <c r="B17" s="4" t="s">
        <v>253</v>
      </c>
      <c r="C17" s="77"/>
      <c r="D17" s="25">
        <f>J83/1000</f>
        <v>429.10538034932898</v>
      </c>
      <c r="E17" s="25"/>
      <c r="F17" s="25">
        <f>N83/1000</f>
        <v>258.18353795904159</v>
      </c>
      <c r="P17"/>
    </row>
    <row r="18" spans="1:16">
      <c r="A18" s="2" t="s">
        <v>24</v>
      </c>
      <c r="B18" s="4" t="s">
        <v>253</v>
      </c>
      <c r="C18" s="140"/>
      <c r="D18" s="25">
        <f>H83/1000</f>
        <v>0</v>
      </c>
      <c r="E18" s="25"/>
      <c r="F18" s="25">
        <f>L83/1000</f>
        <v>0</v>
      </c>
      <c r="L18" s="136"/>
      <c r="P18"/>
    </row>
    <row r="19" spans="1:16">
      <c r="A19" s="4" t="s">
        <v>5</v>
      </c>
      <c r="B19" s="4"/>
      <c r="C19" s="77"/>
      <c r="D19" s="28">
        <f>SUM(D16:D18)</f>
        <v>866.02889149849852</v>
      </c>
      <c r="E19" s="30"/>
      <c r="F19" s="28">
        <f>SUM(F16:F18)</f>
        <v>526.46073932140303</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279.22117963655722</v>
      </c>
      <c r="E24" s="25"/>
      <c r="F24" s="25">
        <f>M83/1000</f>
        <v>42.446930705636717</v>
      </c>
      <c r="L24" s="136"/>
      <c r="P24"/>
    </row>
    <row r="25" spans="1:16">
      <c r="A25" s="4" t="s">
        <v>5</v>
      </c>
      <c r="B25" s="4"/>
      <c r="C25" s="77"/>
      <c r="D25" s="28">
        <f>SUM(D24)</f>
        <v>279.22117963655722</v>
      </c>
      <c r="E25" s="30"/>
      <c r="F25" s="28">
        <f>SUM(F24)</f>
        <v>42.446930705636717</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55">
        <f>SUM(D8,D14,D19,D22,D25)</f>
        <v>7465.6106555350561</v>
      </c>
      <c r="E28" s="34"/>
      <c r="F28" s="37">
        <f>SUM(F8,F14,F19,F22,F25)</f>
        <v>3870.7034898437064</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25" t="s">
        <v>867</v>
      </c>
      <c r="P35" t="s">
        <v>866</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13" t="s">
        <v>858</v>
      </c>
      <c r="R36" s="213" t="s">
        <v>859</v>
      </c>
      <c r="S36" s="213" t="s">
        <v>860</v>
      </c>
      <c r="T36" s="213" t="s">
        <v>861</v>
      </c>
      <c r="U36" s="213" t="s">
        <v>862</v>
      </c>
      <c r="V36" s="213" t="s">
        <v>863</v>
      </c>
      <c r="W36" s="213" t="s">
        <v>864</v>
      </c>
      <c r="X36" s="213" t="s">
        <v>865</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1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1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1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1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11" t="s">
        <v>263</v>
      </c>
      <c r="Q41" s="148">
        <v>0</v>
      </c>
      <c r="R41" s="148">
        <v>0</v>
      </c>
      <c r="S41" s="148">
        <v>0</v>
      </c>
      <c r="T41" s="148">
        <v>0</v>
      </c>
      <c r="U41" s="148">
        <v>0</v>
      </c>
      <c r="V41" s="148">
        <v>0</v>
      </c>
      <c r="W41" s="148">
        <v>0</v>
      </c>
      <c r="X41" s="148">
        <v>0</v>
      </c>
    </row>
    <row r="42" spans="1:24">
      <c r="A42" s="169"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11" t="s">
        <v>229</v>
      </c>
      <c r="Q42" s="148">
        <v>0</v>
      </c>
      <c r="R42" s="148">
        <v>0</v>
      </c>
      <c r="S42" s="148">
        <v>0</v>
      </c>
      <c r="T42" s="148">
        <v>0</v>
      </c>
      <c r="U42" s="148">
        <v>0</v>
      </c>
      <c r="V42" s="148">
        <v>0</v>
      </c>
      <c r="W42" s="148">
        <v>0</v>
      </c>
      <c r="X42" s="148">
        <v>0</v>
      </c>
    </row>
    <row r="43" spans="1:24">
      <c r="A43" s="169"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1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11" t="s">
        <v>178</v>
      </c>
      <c r="Q44" s="148">
        <v>0</v>
      </c>
      <c r="R44" s="148">
        <v>0</v>
      </c>
      <c r="S44" s="148">
        <v>0</v>
      </c>
      <c r="T44" s="148">
        <v>0</v>
      </c>
      <c r="U44" s="148">
        <v>0</v>
      </c>
      <c r="V44" s="148">
        <v>0</v>
      </c>
      <c r="W44" s="148">
        <v>0</v>
      </c>
      <c r="X44" s="148">
        <v>0</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1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11" t="s">
        <v>182</v>
      </c>
      <c r="Q46" s="148">
        <v>0</v>
      </c>
      <c r="R46" s="148">
        <v>0</v>
      </c>
      <c r="S46" s="148">
        <v>0</v>
      </c>
      <c r="T46" s="148">
        <v>0</v>
      </c>
      <c r="U46" s="148">
        <v>0</v>
      </c>
      <c r="V46" s="148">
        <v>0</v>
      </c>
      <c r="W46" s="148">
        <v>0</v>
      </c>
      <c r="X46" s="148">
        <v>0</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11" t="s">
        <v>185</v>
      </c>
      <c r="Q47" s="148">
        <v>0</v>
      </c>
      <c r="R47" s="148">
        <v>0</v>
      </c>
      <c r="S47" s="148">
        <v>0</v>
      </c>
      <c r="T47" s="148">
        <v>0</v>
      </c>
      <c r="U47" s="148">
        <v>0</v>
      </c>
      <c r="V47" s="148">
        <v>0</v>
      </c>
      <c r="W47" s="148">
        <v>0</v>
      </c>
      <c r="X47" s="148">
        <v>0</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1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11" t="s">
        <v>187</v>
      </c>
      <c r="Q49" s="148">
        <v>0</v>
      </c>
      <c r="R49" s="148">
        <v>0</v>
      </c>
      <c r="S49" s="148">
        <v>0</v>
      </c>
      <c r="T49" s="148">
        <v>0</v>
      </c>
      <c r="U49" s="148">
        <v>0</v>
      </c>
      <c r="V49" s="148">
        <v>0</v>
      </c>
      <c r="W49" s="148">
        <v>0</v>
      </c>
      <c r="X49" s="148">
        <v>0</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1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11" t="s">
        <v>190</v>
      </c>
      <c r="Q51" s="148">
        <v>0</v>
      </c>
      <c r="R51" s="148">
        <v>0</v>
      </c>
      <c r="S51" s="148">
        <v>0</v>
      </c>
      <c r="T51" s="148">
        <v>0</v>
      </c>
      <c r="U51" s="148">
        <v>0</v>
      </c>
      <c r="V51" s="148">
        <v>0</v>
      </c>
      <c r="W51" s="148">
        <v>0</v>
      </c>
      <c r="X51" s="148">
        <v>0</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1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11" t="s">
        <v>192</v>
      </c>
      <c r="Q53" s="148">
        <v>0</v>
      </c>
      <c r="R53" s="148">
        <v>0</v>
      </c>
      <c r="S53" s="148">
        <v>0</v>
      </c>
      <c r="T53" s="148">
        <v>0</v>
      </c>
      <c r="U53" s="148">
        <v>0</v>
      </c>
      <c r="V53" s="148">
        <v>0</v>
      </c>
      <c r="W53" s="148">
        <v>0</v>
      </c>
      <c r="X53" s="148">
        <v>0</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373265.50296802819</v>
      </c>
      <c r="H54" s="144">
        <f t="shared" si="5"/>
        <v>0</v>
      </c>
      <c r="I54" s="144">
        <f t="shared" si="6"/>
        <v>2191.0311509608255</v>
      </c>
      <c r="J54" s="144">
        <f t="shared" si="7"/>
        <v>371074.47181706736</v>
      </c>
      <c r="K54" s="144">
        <f>_xlfn.IFNA(INDEX('CAP 20.2 - 2020 Forecasted TTP'!$CV:$CV,MATCH(1,INDEX(('G-CAP 20.1 - Depreciation'!B54='CAP 20.2 - 2020 Forecasted TTP'!$I:$I)*("Y"='CAP 20.2 - 2020 Forecasted TTP'!$A:$A),0,1),0)),)</f>
        <v>251074.4669414016</v>
      </c>
      <c r="L54" s="145">
        <f t="shared" si="8"/>
        <v>0</v>
      </c>
      <c r="M54" s="145">
        <f t="shared" si="9"/>
        <v>1473.7819967429841</v>
      </c>
      <c r="N54" s="145">
        <f t="shared" si="10"/>
        <v>249600.6849446586</v>
      </c>
      <c r="P54" s="21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11" t="s">
        <v>207</v>
      </c>
      <c r="Q55" s="148">
        <v>0</v>
      </c>
      <c r="R55" s="148">
        <v>2191.0311509608255</v>
      </c>
      <c r="S55" s="148">
        <v>371074.47181706736</v>
      </c>
      <c r="T55" s="148">
        <v>373265.50296802819</v>
      </c>
      <c r="U55" s="148">
        <v>0</v>
      </c>
      <c r="V55" s="148">
        <v>1473.7819967429841</v>
      </c>
      <c r="W55" s="148">
        <v>249600.6849446586</v>
      </c>
      <c r="X55" s="148">
        <v>251074.4669414016</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1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11" t="s">
        <v>197</v>
      </c>
      <c r="Q57" s="148">
        <v>0</v>
      </c>
      <c r="R57" s="148">
        <v>0</v>
      </c>
      <c r="S57" s="148">
        <v>0</v>
      </c>
      <c r="T57" s="148">
        <v>0</v>
      </c>
      <c r="U57" s="148">
        <v>0</v>
      </c>
      <c r="V57" s="148">
        <v>0</v>
      </c>
      <c r="W57" s="148">
        <v>0</v>
      </c>
      <c r="X57" s="148">
        <v>0</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1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1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1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1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11" t="s">
        <v>225</v>
      </c>
      <c r="Q62" s="148">
        <v>0</v>
      </c>
      <c r="R62" s="148">
        <v>0</v>
      </c>
      <c r="S62" s="148">
        <v>0</v>
      </c>
      <c r="T62" s="148">
        <v>0</v>
      </c>
      <c r="U62" s="148">
        <v>0</v>
      </c>
      <c r="V62" s="148">
        <v>0</v>
      </c>
      <c r="W62" s="148">
        <v>0</v>
      </c>
      <c r="X62" s="148">
        <v>0</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0</v>
      </c>
      <c r="H63" s="144">
        <f t="shared" si="5"/>
        <v>0</v>
      </c>
      <c r="I63" s="144">
        <f t="shared" si="6"/>
        <v>0</v>
      </c>
      <c r="J63" s="144">
        <f t="shared" si="7"/>
        <v>0</v>
      </c>
      <c r="K63" s="144">
        <f>_xlfn.IFNA(INDEX('CAP 20.2 - 2020 Forecasted TTP'!$CV:$CV,MATCH(1,INDEX(('G-CAP 20.1 - Depreciation'!B63='CAP 20.2 - 2020 Forecasted TTP'!$I:$I)*("Y"='CAP 20.2 - 2020 Forecasted TTP'!$A:$A),0,1),0)),)</f>
        <v>0</v>
      </c>
      <c r="L63" s="145">
        <f t="shared" si="8"/>
        <v>0</v>
      </c>
      <c r="M63" s="145">
        <f t="shared" si="9"/>
        <v>0</v>
      </c>
      <c r="N63" s="145">
        <f t="shared" si="10"/>
        <v>0</v>
      </c>
      <c r="P63" s="21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11" t="s">
        <v>805</v>
      </c>
      <c r="Q64" s="148">
        <v>0</v>
      </c>
      <c r="R64" s="148">
        <v>0</v>
      </c>
      <c r="S64" s="148">
        <v>0</v>
      </c>
      <c r="T64" s="148">
        <v>0</v>
      </c>
      <c r="U64" s="148">
        <v>0</v>
      </c>
      <c r="V64" s="148">
        <v>0</v>
      </c>
      <c r="W64" s="148">
        <v>0</v>
      </c>
      <c r="X64" s="148">
        <v>0</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1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11" t="s">
        <v>218</v>
      </c>
      <c r="Q66" s="148">
        <v>0</v>
      </c>
      <c r="R66" s="148">
        <v>0</v>
      </c>
      <c r="S66" s="148">
        <v>0</v>
      </c>
      <c r="T66" s="148">
        <v>0</v>
      </c>
      <c r="U66" s="148">
        <v>0</v>
      </c>
      <c r="V66" s="148">
        <v>0</v>
      </c>
      <c r="W66" s="148">
        <v>0</v>
      </c>
      <c r="X66" s="148">
        <v>0</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335061.05701785802</v>
      </c>
      <c r="H67" s="144">
        <f t="shared" si="5"/>
        <v>0</v>
      </c>
      <c r="I67" s="144">
        <f t="shared" si="6"/>
        <v>277030.14848559641</v>
      </c>
      <c r="J67" s="144">
        <f t="shared" si="7"/>
        <v>58030.908532261645</v>
      </c>
      <c r="K67" s="144">
        <f>_xlfn.IFNA(INDEX('CAP 20.2 - 2020 Forecasted TTP'!$CV:$CV,MATCH(1,INDEX(('G-CAP 20.1 - Depreciation'!B67='CAP 20.2 - 2020 Forecasted TTP'!$I:$I)*("Y"='CAP 20.2 - 2020 Forecasted TTP'!$A:$A),0,1),0)),)</f>
        <v>49556.00172327672</v>
      </c>
      <c r="L67" s="145">
        <f t="shared" si="8"/>
        <v>0</v>
      </c>
      <c r="M67" s="145">
        <f t="shared" si="9"/>
        <v>40973.148708893736</v>
      </c>
      <c r="N67" s="145">
        <f t="shared" si="10"/>
        <v>8582.8530143829848</v>
      </c>
      <c r="P67" s="211" t="s">
        <v>222</v>
      </c>
      <c r="Q67" s="148">
        <v>0</v>
      </c>
      <c r="R67" s="148">
        <v>0</v>
      </c>
      <c r="S67" s="148">
        <v>0</v>
      </c>
      <c r="T67" s="148">
        <v>0</v>
      </c>
      <c r="U67" s="148">
        <v>0</v>
      </c>
      <c r="V67" s="148">
        <v>0</v>
      </c>
      <c r="W67" s="148">
        <v>0</v>
      </c>
      <c r="X67" s="148">
        <v>0</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1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0</v>
      </c>
      <c r="H69" s="144">
        <f t="shared" si="5"/>
        <v>0</v>
      </c>
      <c r="I69" s="144">
        <f t="shared" si="6"/>
        <v>0</v>
      </c>
      <c r="J69" s="144">
        <f t="shared" si="7"/>
        <v>0</v>
      </c>
      <c r="K69" s="144">
        <f>_xlfn.IFNA(INDEX('CAP 20.2 - 2020 Forecasted TTP'!$CV:$CV,MATCH(1,INDEX(('G-CAP 20.1 - Depreciation'!B69='CAP 20.2 - 2020 Forecasted TTP'!$I:$I)*("Y"='CAP 20.2 - 2020 Forecasted TTP'!$A:$A),0,1),0)),)</f>
        <v>0</v>
      </c>
      <c r="L69" s="145">
        <f t="shared" si="8"/>
        <v>0</v>
      </c>
      <c r="M69" s="145">
        <f t="shared" si="9"/>
        <v>0</v>
      </c>
      <c r="N69" s="145">
        <f t="shared" si="10"/>
        <v>0</v>
      </c>
      <c r="P69" s="21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11" t="s">
        <v>176</v>
      </c>
      <c r="Q70" s="148">
        <v>0</v>
      </c>
      <c r="R70" s="148">
        <v>0</v>
      </c>
      <c r="S70" s="148">
        <v>0</v>
      </c>
      <c r="T70" s="148">
        <v>0</v>
      </c>
      <c r="U70" s="148">
        <v>0</v>
      </c>
      <c r="V70" s="148">
        <v>0</v>
      </c>
      <c r="W70" s="148">
        <v>0</v>
      </c>
      <c r="X70" s="148">
        <v>0</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11" t="s">
        <v>481</v>
      </c>
      <c r="Q71" s="148">
        <v>0</v>
      </c>
      <c r="R71" s="148">
        <v>277030.14848559641</v>
      </c>
      <c r="S71" s="148">
        <v>58030.908532261645</v>
      </c>
      <c r="T71" s="148">
        <v>335061.05701785802</v>
      </c>
      <c r="U71" s="148">
        <v>0</v>
      </c>
      <c r="V71" s="148">
        <v>40973.148708893736</v>
      </c>
      <c r="W71" s="148">
        <v>8582.8530143829848</v>
      </c>
      <c r="X71" s="148">
        <v>49556.00172327672</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1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1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1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11" t="s">
        <v>231</v>
      </c>
      <c r="Q75" s="148">
        <v>0</v>
      </c>
      <c r="R75" s="148">
        <v>0</v>
      </c>
      <c r="S75" s="148">
        <v>0</v>
      </c>
      <c r="T75" s="148">
        <v>0</v>
      </c>
      <c r="U75" s="148">
        <v>0</v>
      </c>
      <c r="V75" s="148">
        <v>0</v>
      </c>
      <c r="W75" s="148">
        <v>0</v>
      </c>
      <c r="X75" s="148">
        <v>0</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1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1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11" t="s">
        <v>244</v>
      </c>
      <c r="Q78" s="148">
        <v>0</v>
      </c>
      <c r="R78" s="148">
        <v>279221.17963655724</v>
      </c>
      <c r="S78" s="148">
        <v>429105.38034932897</v>
      </c>
      <c r="T78" s="148">
        <v>708326.55998588621</v>
      </c>
      <c r="U78" s="148">
        <v>0</v>
      </c>
      <c r="V78" s="148">
        <v>42446.930705636718</v>
      </c>
      <c r="W78" s="148">
        <v>258183.5379590416</v>
      </c>
      <c r="X78" s="148">
        <v>300630.46866467834</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0</v>
      </c>
      <c r="H82" s="144">
        <f t="shared" si="12"/>
        <v>0</v>
      </c>
      <c r="I82" s="144">
        <f t="shared" si="13"/>
        <v>0</v>
      </c>
      <c r="J82" s="144">
        <f t="shared" si="14"/>
        <v>0</v>
      </c>
      <c r="K82" s="144">
        <f>_xlfn.IFNA(INDEX('CAP 20.2 - 2020 Forecasted TTP'!$CV:$CV,MATCH(1,INDEX(('G-CAP 20.1 - Depreciation'!B82='CAP 20.2 - 2020 Forecasted TTP'!$I:$I)*("Y"='CAP 20.2 - 2020 Forecasted TTP'!$A:$A),0,1),0)),)</f>
        <v>0</v>
      </c>
      <c r="L82" s="145">
        <f t="shared" si="15"/>
        <v>0</v>
      </c>
      <c r="M82" s="145">
        <f t="shared" si="16"/>
        <v>0</v>
      </c>
      <c r="N82" s="145">
        <f t="shared" si="17"/>
        <v>0</v>
      </c>
      <c r="P82"/>
      <c r="Q82"/>
    </row>
    <row r="83" spans="1:17">
      <c r="F83" s="143"/>
      <c r="G83" s="144">
        <f>SUM(G37:G82)</f>
        <v>708326.55998588621</v>
      </c>
      <c r="H83" s="144">
        <f t="shared" ref="H83:N83" si="18">SUM(H37:H82)</f>
        <v>0</v>
      </c>
      <c r="I83" s="144">
        <f t="shared" si="18"/>
        <v>279221.17963655724</v>
      </c>
      <c r="J83" s="144">
        <f t="shared" si="18"/>
        <v>429105.38034932897</v>
      </c>
      <c r="K83" s="144">
        <f t="shared" si="18"/>
        <v>300630.46866467834</v>
      </c>
      <c r="L83" s="144">
        <f t="shared" si="18"/>
        <v>0</v>
      </c>
      <c r="M83" s="144">
        <f t="shared" si="18"/>
        <v>42446.930705636718</v>
      </c>
      <c r="N83" s="144">
        <f t="shared" si="18"/>
        <v>258183.5379590416</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fitToWidth="2" orientation="portrait" r:id="rId2"/>
  <headerFooter>
    <oddHeader>&amp;LAvista
Ms. Schultz Workpapers&amp;R&amp;F
Workpaper Ref. &amp;A</oddHeader>
    <oddFooter>&amp;R
Page &amp;P of &amp;N</oddFooter>
  </headerFooter>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zoomScaleNormal="100" workbookViewId="0">
      <pane ySplit="4" topLeftCell="A5" activePane="bottomLeft" state="frozen"/>
      <selection pane="bottomLeft"/>
    </sheetView>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869</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869</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869</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869</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869</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869</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869</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869</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869</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869</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869</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869</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869</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869</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869</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869</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869</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869</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869</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869</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869</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869</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869</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869</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869</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869</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869</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869</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869</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869</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869</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869</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869</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869</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869</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869</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869</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869</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869</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869</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869</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869</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869</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869</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869</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869</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869</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869</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869</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869</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869</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869</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869</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869</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869</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869</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869</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869</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869</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869</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869</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869</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869</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869</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869</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869</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869</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869</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869</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869</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869</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869</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869</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869</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869</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869</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869</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869</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869</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869</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869</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869</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869</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869</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869</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869</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869</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869</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869</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869</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869</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869</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869</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869</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869</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869</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869</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869</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869</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869</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869</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869</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869</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869</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869</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869</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869</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869</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869</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869</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869</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869</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869</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869</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869</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510</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510</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510</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510</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510</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510</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510</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510</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510</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510</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869</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869</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869</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869</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869</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869</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869</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869</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869</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869</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869</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869</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869</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869</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869</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869</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869</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869</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869</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869</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869</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869</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869</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869</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510</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869</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869</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869</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869</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510</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510</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510</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869</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869</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869</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869</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869</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869</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869</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869</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869</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510</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869</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869</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869</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869</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869</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869</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869</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869</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510</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869</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869</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869</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869</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869</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869</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869</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869</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869</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869</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869</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869</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510</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510</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869</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869</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869</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869</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869</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869</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869</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510</v>
      </c>
      <c r="B202" t="s">
        <v>266</v>
      </c>
      <c r="C202" s="137" t="s">
        <v>21</v>
      </c>
      <c r="D202" s="137" t="s">
        <v>736</v>
      </c>
      <c r="E202" s="210" t="s">
        <v>53</v>
      </c>
      <c r="F202" s="137" t="s">
        <v>270</v>
      </c>
      <c r="G202" s="137" t="s">
        <v>298</v>
      </c>
      <c r="H202" s="137" t="s">
        <v>299</v>
      </c>
      <c r="I202" s="137" t="s">
        <v>836</v>
      </c>
      <c r="J202" s="137" t="s">
        <v>837</v>
      </c>
      <c r="K202" s="154" t="s">
        <v>502</v>
      </c>
      <c r="L202" s="154" t="s">
        <v>506</v>
      </c>
      <c r="M202" s="119" t="str">
        <f>B202&amp;"."&amp;C202</f>
        <v>ED.AN</v>
      </c>
      <c r="N202" s="209">
        <v>0.65639999999999998</v>
      </c>
      <c r="O202" s="20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510</v>
      </c>
      <c r="B203" t="s">
        <v>266</v>
      </c>
      <c r="C203" s="243" t="s">
        <v>267</v>
      </c>
      <c r="D203" s="137" t="s">
        <v>736</v>
      </c>
      <c r="E203" s="21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0</v>
      </c>
      <c r="S207" s="111">
        <f t="shared" ref="S207:AD208" si="255">SUMIFS(S$5:S$203,$L$5:$L$203,$O207,$A$5:$A$203,"Y")</f>
        <v>0</v>
      </c>
      <c r="T207" s="111">
        <f t="shared" si="255"/>
        <v>0</v>
      </c>
      <c r="U207" s="111">
        <f t="shared" si="255"/>
        <v>0</v>
      </c>
      <c r="V207" s="111">
        <f t="shared" si="255"/>
        <v>0</v>
      </c>
      <c r="W207" s="111">
        <f t="shared" si="255"/>
        <v>0</v>
      </c>
      <c r="X207" s="111">
        <f t="shared" si="255"/>
        <v>0</v>
      </c>
      <c r="Y207" s="111">
        <f t="shared" si="255"/>
        <v>0</v>
      </c>
      <c r="Z207" s="111">
        <f t="shared" si="255"/>
        <v>0</v>
      </c>
      <c r="AA207" s="111">
        <f t="shared" si="255"/>
        <v>0</v>
      </c>
      <c r="AB207" s="111">
        <f t="shared" si="255"/>
        <v>0</v>
      </c>
      <c r="AC207" s="111">
        <f t="shared" si="255"/>
        <v>2763760</v>
      </c>
      <c r="AD207" s="111">
        <f t="shared" si="255"/>
        <v>2763760</v>
      </c>
      <c r="AE207" s="96"/>
      <c r="AF207" s="111">
        <f>SUMIFS(AF$5:AF$203,$L$5:$L$203,$O207,$A$5:$A$203,"Y")</f>
        <v>0</v>
      </c>
      <c r="AG207" s="111">
        <f t="shared" ref="AF207:AR217" si="256">SUMIFS(AG$5:AG$203,$L$5:$L$203,$O207,$A$5:$A$203,"Y")</f>
        <v>0</v>
      </c>
      <c r="AH207" s="111">
        <f t="shared" si="256"/>
        <v>0</v>
      </c>
      <c r="AI207" s="111">
        <f t="shared" si="256"/>
        <v>0</v>
      </c>
      <c r="AJ207" s="111">
        <f t="shared" si="256"/>
        <v>0</v>
      </c>
      <c r="AK207" s="111">
        <f t="shared" si="256"/>
        <v>0</v>
      </c>
      <c r="AL207" s="111">
        <f t="shared" si="256"/>
        <v>0</v>
      </c>
      <c r="AM207" s="111">
        <f t="shared" si="256"/>
        <v>0</v>
      </c>
      <c r="AN207" s="111">
        <f t="shared" si="256"/>
        <v>0</v>
      </c>
      <c r="AO207" s="111">
        <f t="shared" si="256"/>
        <v>0</v>
      </c>
      <c r="AP207" s="111">
        <f t="shared" si="256"/>
        <v>0</v>
      </c>
      <c r="AQ207" s="111">
        <f t="shared" si="256"/>
        <v>2763760</v>
      </c>
      <c r="AR207" s="111">
        <f t="shared" si="256"/>
        <v>115156.66666666667</v>
      </c>
      <c r="AS207" s="111"/>
      <c r="AT207" s="111">
        <f>SUMIFS(AT$5:AT$203,$L$5:$L$203,$O207,$A$5:$A$203,"Y")</f>
        <v>0</v>
      </c>
      <c r="AU207" s="111">
        <f t="shared" ref="AU207:BF208" si="257">SUMIFS(AU$5:AU$203,$L$5:$L$203,$O207,$A$5:$A$203,"Y")</f>
        <v>0</v>
      </c>
      <c r="AV207" s="111">
        <f t="shared" si="257"/>
        <v>0</v>
      </c>
      <c r="AW207" s="111">
        <f t="shared" si="257"/>
        <v>0</v>
      </c>
      <c r="AX207" s="111">
        <f t="shared" si="257"/>
        <v>0</v>
      </c>
      <c r="AY207" s="111">
        <f t="shared" si="257"/>
        <v>0</v>
      </c>
      <c r="AZ207" s="111">
        <f t="shared" si="257"/>
        <v>0</v>
      </c>
      <c r="BA207" s="111">
        <f t="shared" si="257"/>
        <v>0</v>
      </c>
      <c r="BB207" s="111">
        <f t="shared" si="257"/>
        <v>0</v>
      </c>
      <c r="BC207" s="111">
        <f t="shared" si="257"/>
        <v>0</v>
      </c>
      <c r="BD207" s="111">
        <f t="shared" si="257"/>
        <v>0</v>
      </c>
      <c r="BE207" s="111">
        <f t="shared" si="257"/>
        <v>2763760</v>
      </c>
      <c r="BF207" s="111">
        <f t="shared" si="257"/>
        <v>2763760</v>
      </c>
      <c r="BG207" s="111"/>
      <c r="BH207" s="111">
        <f>SUMIFS(BH$5:BH$203,$L$5:$L$203,$O207,$A$5:$A$203,"Y")</f>
        <v>0</v>
      </c>
      <c r="BI207" s="111">
        <f t="shared" ref="BH207:BT217" si="258">SUMIFS(BI$5:BI$203,$L$5:$L$203,$O207,$A$5:$A$203,"Y")</f>
        <v>0</v>
      </c>
      <c r="BJ207" s="111">
        <f t="shared" si="258"/>
        <v>0</v>
      </c>
      <c r="BK207" s="111">
        <f t="shared" si="258"/>
        <v>0</v>
      </c>
      <c r="BL207" s="111">
        <f t="shared" si="258"/>
        <v>0</v>
      </c>
      <c r="BM207" s="111">
        <f t="shared" si="258"/>
        <v>0</v>
      </c>
      <c r="BN207" s="111">
        <f t="shared" si="258"/>
        <v>0</v>
      </c>
      <c r="BO207" s="111">
        <f t="shared" si="258"/>
        <v>0</v>
      </c>
      <c r="BP207" s="111">
        <f t="shared" si="258"/>
        <v>0</v>
      </c>
      <c r="BQ207" s="111">
        <f t="shared" si="258"/>
        <v>0</v>
      </c>
      <c r="BR207" s="111">
        <f t="shared" si="258"/>
        <v>0</v>
      </c>
      <c r="BS207" s="111">
        <f t="shared" si="258"/>
        <v>2763760</v>
      </c>
      <c r="BT207" s="111">
        <f t="shared" si="258"/>
        <v>115156.66666666667</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2354823</v>
      </c>
      <c r="S208" s="112">
        <f t="shared" si="255"/>
        <v>53</v>
      </c>
      <c r="T208" s="112">
        <f t="shared" si="255"/>
        <v>3609</v>
      </c>
      <c r="U208" s="112">
        <f t="shared" si="255"/>
        <v>14816</v>
      </c>
      <c r="V208" s="112">
        <f t="shared" si="255"/>
        <v>531072</v>
      </c>
      <c r="W208" s="112">
        <f t="shared" si="255"/>
        <v>3492899</v>
      </c>
      <c r="X208" s="112">
        <f t="shared" si="255"/>
        <v>0</v>
      </c>
      <c r="Y208" s="112">
        <f t="shared" si="255"/>
        <v>0</v>
      </c>
      <c r="Z208" s="112">
        <f t="shared" si="255"/>
        <v>0</v>
      </c>
      <c r="AA208" s="112">
        <f t="shared" si="255"/>
        <v>5602316</v>
      </c>
      <c r="AB208" s="112">
        <f t="shared" si="255"/>
        <v>0</v>
      </c>
      <c r="AC208" s="112">
        <f t="shared" si="255"/>
        <v>9675105</v>
      </c>
      <c r="AD208" s="112">
        <f t="shared" si="255"/>
        <v>21674693</v>
      </c>
      <c r="AE208" s="96"/>
      <c r="AF208" s="112">
        <f>SUMIFS(AF$5:AF$203,$L$5:$L$203,$O208,$A$5:$A$203,"Y")</f>
        <v>2354823</v>
      </c>
      <c r="AG208" s="112">
        <f t="shared" si="256"/>
        <v>2354876</v>
      </c>
      <c r="AH208" s="112">
        <f t="shared" si="256"/>
        <v>2358485</v>
      </c>
      <c r="AI208" s="112">
        <f t="shared" si="256"/>
        <v>2373301</v>
      </c>
      <c r="AJ208" s="112">
        <f t="shared" si="256"/>
        <v>2904373</v>
      </c>
      <c r="AK208" s="112">
        <f t="shared" si="256"/>
        <v>6397272</v>
      </c>
      <c r="AL208" s="112">
        <f t="shared" si="256"/>
        <v>6397272</v>
      </c>
      <c r="AM208" s="112">
        <f t="shared" si="256"/>
        <v>6397272</v>
      </c>
      <c r="AN208" s="112">
        <f t="shared" si="256"/>
        <v>6397272</v>
      </c>
      <c r="AO208" s="112">
        <f t="shared" si="256"/>
        <v>11999588</v>
      </c>
      <c r="AP208" s="112">
        <f t="shared" si="256"/>
        <v>11999588</v>
      </c>
      <c r="AQ208" s="112">
        <f t="shared" si="256"/>
        <v>21674693</v>
      </c>
      <c r="AR208" s="112">
        <f t="shared" si="256"/>
        <v>6064289.041666667</v>
      </c>
      <c r="AS208" s="112"/>
      <c r="AT208" s="112">
        <f>SUMIFS(AT$5:AT$203,$L$5:$L$203,$O208,$A$5:$A$203,"Y")</f>
        <v>1545705.8171999999</v>
      </c>
      <c r="AU208" s="112">
        <f t="shared" si="257"/>
        <v>34.789200000000001</v>
      </c>
      <c r="AV208" s="112">
        <f t="shared" si="257"/>
        <v>2368.9476</v>
      </c>
      <c r="AW208" s="112">
        <f t="shared" si="257"/>
        <v>9725.2224000000006</v>
      </c>
      <c r="AX208" s="112">
        <f t="shared" si="257"/>
        <v>348595.66080000001</v>
      </c>
      <c r="AY208" s="112">
        <f t="shared" si="257"/>
        <v>2292738.9035999998</v>
      </c>
      <c r="AZ208" s="112">
        <f t="shared" si="257"/>
        <v>0</v>
      </c>
      <c r="BA208" s="112">
        <f t="shared" si="257"/>
        <v>0</v>
      </c>
      <c r="BB208" s="112">
        <f t="shared" si="257"/>
        <v>0</v>
      </c>
      <c r="BC208" s="112">
        <f t="shared" si="257"/>
        <v>3677360.2224000003</v>
      </c>
      <c r="BD208" s="112">
        <f t="shared" si="257"/>
        <v>0</v>
      </c>
      <c r="BE208" s="112">
        <f t="shared" si="257"/>
        <v>6350738.9220000003</v>
      </c>
      <c r="BF208" s="112">
        <f t="shared" si="257"/>
        <v>14227268.485199999</v>
      </c>
      <c r="BG208" s="112"/>
      <c r="BH208" s="112">
        <f>SUMIFS(BH$5:BH$203,$L$5:$L$203,$O208,$A$5:$A$203,"Y")</f>
        <v>1545705.8171999999</v>
      </c>
      <c r="BI208" s="112">
        <f t="shared" si="258"/>
        <v>1545740.6063999999</v>
      </c>
      <c r="BJ208" s="112">
        <f t="shared" si="258"/>
        <v>1548109.554</v>
      </c>
      <c r="BK208" s="112">
        <f t="shared" si="258"/>
        <v>1557834.7764000001</v>
      </c>
      <c r="BL208" s="112">
        <f t="shared" si="258"/>
        <v>1906430.4372</v>
      </c>
      <c r="BM208" s="112">
        <f t="shared" si="258"/>
        <v>4199169.3408000004</v>
      </c>
      <c r="BN208" s="112">
        <f t="shared" si="258"/>
        <v>4199169.3408000004</v>
      </c>
      <c r="BO208" s="112">
        <f t="shared" si="258"/>
        <v>4199169.3408000004</v>
      </c>
      <c r="BP208" s="112">
        <f t="shared" si="258"/>
        <v>4199169.3408000004</v>
      </c>
      <c r="BQ208" s="112">
        <f t="shared" si="258"/>
        <v>7876529.5632000007</v>
      </c>
      <c r="BR208" s="112">
        <f t="shared" si="258"/>
        <v>7876529.5632000007</v>
      </c>
      <c r="BS208" s="112">
        <f t="shared" si="258"/>
        <v>14227268.485199999</v>
      </c>
      <c r="BT208" s="112">
        <f t="shared" si="258"/>
        <v>3980599.3269500006</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0</v>
      </c>
      <c r="S209" s="112">
        <f t="shared" si="261"/>
        <v>0</v>
      </c>
      <c r="T209" s="112">
        <f t="shared" si="261"/>
        <v>3924681</v>
      </c>
      <c r="U209" s="112">
        <f t="shared" si="261"/>
        <v>38396</v>
      </c>
      <c r="V209" s="112">
        <f t="shared" si="261"/>
        <v>74898</v>
      </c>
      <c r="W209" s="112">
        <f t="shared" si="261"/>
        <v>5529</v>
      </c>
      <c r="X209" s="112">
        <f t="shared" si="261"/>
        <v>16549</v>
      </c>
      <c r="Y209" s="112">
        <f t="shared" si="261"/>
        <v>11633</v>
      </c>
      <c r="Z209" s="112">
        <f t="shared" si="261"/>
        <v>11633</v>
      </c>
      <c r="AA209" s="112">
        <f t="shared" si="261"/>
        <v>0</v>
      </c>
      <c r="AB209" s="112">
        <f t="shared" si="261"/>
        <v>0</v>
      </c>
      <c r="AC209" s="112">
        <f t="shared" si="261"/>
        <v>1400000</v>
      </c>
      <c r="AD209" s="112">
        <f t="shared" si="261"/>
        <v>5483319</v>
      </c>
      <c r="AE209" s="96"/>
      <c r="AF209" s="112">
        <f t="shared" si="261"/>
        <v>0</v>
      </c>
      <c r="AG209" s="112">
        <f t="shared" si="261"/>
        <v>0</v>
      </c>
      <c r="AH209" s="112">
        <f t="shared" si="256"/>
        <v>3924681</v>
      </c>
      <c r="AI209" s="112">
        <f t="shared" si="256"/>
        <v>3963077</v>
      </c>
      <c r="AJ209" s="112">
        <f t="shared" si="256"/>
        <v>4037975</v>
      </c>
      <c r="AK209" s="112">
        <f t="shared" si="256"/>
        <v>4043504</v>
      </c>
      <c r="AL209" s="112">
        <f t="shared" si="256"/>
        <v>4060053</v>
      </c>
      <c r="AM209" s="112">
        <f t="shared" si="256"/>
        <v>4071686</v>
      </c>
      <c r="AN209" s="112">
        <f t="shared" si="256"/>
        <v>4083319</v>
      </c>
      <c r="AO209" s="112">
        <f t="shared" si="256"/>
        <v>4083319</v>
      </c>
      <c r="AP209" s="112">
        <f t="shared" si="256"/>
        <v>4083319</v>
      </c>
      <c r="AQ209" s="112">
        <f t="shared" si="256"/>
        <v>5483319</v>
      </c>
      <c r="AR209" s="112">
        <f t="shared" si="256"/>
        <v>3257716.041666667</v>
      </c>
      <c r="AS209" s="112"/>
      <c r="AT209" s="112">
        <f t="shared" ref="AT209:BI217" si="262">SUMIFS(AT$5:AT$203,$L$5:$L$203,$O209,$A$5:$A$203,"Y")</f>
        <v>0</v>
      </c>
      <c r="AU209" s="112">
        <f t="shared" si="262"/>
        <v>0</v>
      </c>
      <c r="AV209" s="112">
        <f t="shared" si="262"/>
        <v>2576160.6083999998</v>
      </c>
      <c r="AW209" s="112">
        <f t="shared" si="262"/>
        <v>25203.134399999999</v>
      </c>
      <c r="AX209" s="112">
        <f t="shared" si="262"/>
        <v>49163.047200000001</v>
      </c>
      <c r="AY209" s="112">
        <f t="shared" si="262"/>
        <v>3629.2356</v>
      </c>
      <c r="AZ209" s="112">
        <f t="shared" si="262"/>
        <v>10862.7636</v>
      </c>
      <c r="BA209" s="112">
        <f t="shared" si="262"/>
        <v>7635.9012000000002</v>
      </c>
      <c r="BB209" s="112">
        <f t="shared" si="262"/>
        <v>7635.9012000000002</v>
      </c>
      <c r="BC209" s="112">
        <f t="shared" si="262"/>
        <v>0</v>
      </c>
      <c r="BD209" s="112">
        <f t="shared" si="262"/>
        <v>0</v>
      </c>
      <c r="BE209" s="112">
        <f t="shared" si="262"/>
        <v>918960</v>
      </c>
      <c r="BF209" s="112">
        <f t="shared" si="262"/>
        <v>3599250.5915999999</v>
      </c>
      <c r="BG209" s="112"/>
      <c r="BH209" s="112">
        <f t="shared" si="262"/>
        <v>0</v>
      </c>
      <c r="BI209" s="112">
        <f t="shared" si="262"/>
        <v>0</v>
      </c>
      <c r="BJ209" s="112">
        <f t="shared" si="258"/>
        <v>2576160.6083999998</v>
      </c>
      <c r="BK209" s="112">
        <f t="shared" si="258"/>
        <v>2601363.7427999997</v>
      </c>
      <c r="BL209" s="112">
        <f t="shared" si="258"/>
        <v>2650526.7899999996</v>
      </c>
      <c r="BM209" s="112">
        <f t="shared" si="258"/>
        <v>2654156.0255999994</v>
      </c>
      <c r="BN209" s="112">
        <f t="shared" si="258"/>
        <v>2665018.7891999995</v>
      </c>
      <c r="BO209" s="112">
        <f t="shared" si="258"/>
        <v>2672654.6903999997</v>
      </c>
      <c r="BP209" s="112">
        <f t="shared" si="258"/>
        <v>2680290.5915999999</v>
      </c>
      <c r="BQ209" s="112">
        <f t="shared" si="258"/>
        <v>2680290.5915999999</v>
      </c>
      <c r="BR209" s="112">
        <f t="shared" si="258"/>
        <v>2680290.5915999999</v>
      </c>
      <c r="BS209" s="112">
        <f t="shared" si="258"/>
        <v>3599250.5915999999</v>
      </c>
      <c r="BT209" s="112">
        <f t="shared" si="258"/>
        <v>2138364.80975</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9044</v>
      </c>
      <c r="S211" s="112">
        <f t="shared" si="261"/>
        <v>3970</v>
      </c>
      <c r="T211" s="112">
        <f t="shared" si="261"/>
        <v>216873</v>
      </c>
      <c r="U211" s="112">
        <f t="shared" si="261"/>
        <v>318181</v>
      </c>
      <c r="V211" s="112">
        <f t="shared" si="261"/>
        <v>204320</v>
      </c>
      <c r="W211" s="112">
        <f t="shared" si="261"/>
        <v>237772</v>
      </c>
      <c r="X211" s="112">
        <f t="shared" si="261"/>
        <v>175295</v>
      </c>
      <c r="Y211" s="112">
        <f t="shared" si="261"/>
        <v>175295</v>
      </c>
      <c r="Z211" s="112">
        <f t="shared" si="261"/>
        <v>175297</v>
      </c>
      <c r="AA211" s="112">
        <f t="shared" si="261"/>
        <v>175295</v>
      </c>
      <c r="AB211" s="112">
        <f t="shared" si="261"/>
        <v>175295</v>
      </c>
      <c r="AC211" s="112">
        <f t="shared" si="261"/>
        <v>175296</v>
      </c>
      <c r="AD211" s="112">
        <f t="shared" si="261"/>
        <v>2041933</v>
      </c>
      <c r="AE211" s="96"/>
      <c r="AF211" s="112">
        <f t="shared" si="256"/>
        <v>9044</v>
      </c>
      <c r="AG211" s="112">
        <f t="shared" si="256"/>
        <v>13014</v>
      </c>
      <c r="AH211" s="112">
        <f t="shared" si="256"/>
        <v>229887</v>
      </c>
      <c r="AI211" s="112">
        <f t="shared" si="256"/>
        <v>548068</v>
      </c>
      <c r="AJ211" s="112">
        <f t="shared" si="256"/>
        <v>752388</v>
      </c>
      <c r="AK211" s="112">
        <f t="shared" si="256"/>
        <v>990160</v>
      </c>
      <c r="AL211" s="112">
        <f t="shared" si="256"/>
        <v>1165455</v>
      </c>
      <c r="AM211" s="112">
        <f t="shared" si="256"/>
        <v>1340750</v>
      </c>
      <c r="AN211" s="112">
        <f t="shared" si="256"/>
        <v>1516047</v>
      </c>
      <c r="AO211" s="112">
        <f t="shared" si="256"/>
        <v>1691342</v>
      </c>
      <c r="AP211" s="112">
        <f t="shared" si="256"/>
        <v>1866637</v>
      </c>
      <c r="AQ211" s="112">
        <f t="shared" si="256"/>
        <v>2041933</v>
      </c>
      <c r="AR211" s="112">
        <f t="shared" si="256"/>
        <v>928646.54166666663</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6211.4191999999994</v>
      </c>
      <c r="BW211" s="112">
        <f t="shared" si="263"/>
        <v>2726.596</v>
      </c>
      <c r="BX211" s="112">
        <f t="shared" si="263"/>
        <v>148948.37639999998</v>
      </c>
      <c r="BY211" s="112">
        <f t="shared" si="263"/>
        <v>218526.7108</v>
      </c>
      <c r="BZ211" s="112">
        <f t="shared" si="263"/>
        <v>140326.976</v>
      </c>
      <c r="CA211" s="112">
        <f t="shared" si="263"/>
        <v>163301.80959999998</v>
      </c>
      <c r="CB211" s="112">
        <f t="shared" si="263"/>
        <v>120392.606</v>
      </c>
      <c r="CC211" s="112">
        <f t="shared" si="263"/>
        <v>120392.606</v>
      </c>
      <c r="CD211" s="112">
        <f t="shared" si="263"/>
        <v>120393.97959999999</v>
      </c>
      <c r="CE211" s="112">
        <f t="shared" si="263"/>
        <v>120392.606</v>
      </c>
      <c r="CF211" s="112">
        <f t="shared" si="263"/>
        <v>120392.606</v>
      </c>
      <c r="CG211" s="112">
        <f t="shared" si="263"/>
        <v>120393.2928</v>
      </c>
      <c r="CH211" s="112">
        <f t="shared" si="263"/>
        <v>1402399.5843999998</v>
      </c>
      <c r="CI211" s="112"/>
      <c r="CJ211" s="112">
        <f t="shared" si="260"/>
        <v>6211.4191999999994</v>
      </c>
      <c r="CK211" s="112">
        <f t="shared" si="260"/>
        <v>8938.0151999999998</v>
      </c>
      <c r="CL211" s="112">
        <f t="shared" si="260"/>
        <v>157886.39159999997</v>
      </c>
      <c r="CM211" s="112">
        <f t="shared" si="260"/>
        <v>376413.10239999997</v>
      </c>
      <c r="CN211" s="112">
        <f t="shared" si="260"/>
        <v>516740.0784</v>
      </c>
      <c r="CO211" s="112">
        <f t="shared" si="260"/>
        <v>680041.88800000004</v>
      </c>
      <c r="CP211" s="112">
        <f t="shared" si="260"/>
        <v>800434.49400000006</v>
      </c>
      <c r="CQ211" s="112">
        <f t="shared" si="260"/>
        <v>920827.10000000009</v>
      </c>
      <c r="CR211" s="112">
        <f t="shared" si="260"/>
        <v>1041221.0796000001</v>
      </c>
      <c r="CS211" s="112">
        <f t="shared" si="260"/>
        <v>1161613.6856</v>
      </c>
      <c r="CT211" s="112">
        <f t="shared" si="260"/>
        <v>1282006.2915999999</v>
      </c>
      <c r="CU211" s="112">
        <f t="shared" si="260"/>
        <v>1402399.5843999998</v>
      </c>
      <c r="CV211" s="112">
        <f t="shared" si="260"/>
        <v>637794.44481666677</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254</v>
      </c>
      <c r="S212" s="112">
        <f t="shared" si="261"/>
        <v>0</v>
      </c>
      <c r="T212" s="112">
        <f t="shared" si="261"/>
        <v>0</v>
      </c>
      <c r="U212" s="112">
        <f t="shared" si="261"/>
        <v>0</v>
      </c>
      <c r="V212" s="112">
        <f t="shared" si="261"/>
        <v>0</v>
      </c>
      <c r="W212" s="112">
        <f t="shared" si="261"/>
        <v>4917707</v>
      </c>
      <c r="X212" s="112">
        <f t="shared" si="261"/>
        <v>0</v>
      </c>
      <c r="Y212" s="112">
        <f t="shared" si="261"/>
        <v>0</v>
      </c>
      <c r="Z212" s="112">
        <f t="shared" si="261"/>
        <v>0</v>
      </c>
      <c r="AA212" s="112">
        <f t="shared" si="261"/>
        <v>0</v>
      </c>
      <c r="AB212" s="112">
        <f t="shared" si="261"/>
        <v>0</v>
      </c>
      <c r="AC212" s="112">
        <f t="shared" si="261"/>
        <v>0</v>
      </c>
      <c r="AD212" s="112">
        <f t="shared" si="261"/>
        <v>4917961</v>
      </c>
      <c r="AE212" s="96"/>
      <c r="AF212" s="112">
        <f t="shared" si="256"/>
        <v>254</v>
      </c>
      <c r="AG212" s="112">
        <f t="shared" si="256"/>
        <v>254</v>
      </c>
      <c r="AH212" s="112">
        <f t="shared" si="256"/>
        <v>254</v>
      </c>
      <c r="AI212" s="112">
        <f t="shared" si="256"/>
        <v>254</v>
      </c>
      <c r="AJ212" s="112">
        <f t="shared" si="256"/>
        <v>254</v>
      </c>
      <c r="AK212" s="112">
        <f t="shared" si="256"/>
        <v>4917961</v>
      </c>
      <c r="AL212" s="112">
        <f t="shared" si="256"/>
        <v>4917961</v>
      </c>
      <c r="AM212" s="112">
        <f t="shared" si="256"/>
        <v>4917961</v>
      </c>
      <c r="AN212" s="112">
        <f t="shared" si="256"/>
        <v>4917961</v>
      </c>
      <c r="AO212" s="112">
        <f t="shared" si="256"/>
        <v>4917961</v>
      </c>
      <c r="AP212" s="112">
        <f t="shared" si="256"/>
        <v>4917961</v>
      </c>
      <c r="AQ212" s="112">
        <f t="shared" si="256"/>
        <v>4917961</v>
      </c>
      <c r="AR212" s="112">
        <f t="shared" si="256"/>
        <v>2664001.375</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254</v>
      </c>
      <c r="BW212" s="112">
        <f t="shared" si="263"/>
        <v>0</v>
      </c>
      <c r="BX212" s="112">
        <f t="shared" si="263"/>
        <v>0</v>
      </c>
      <c r="BY212" s="112">
        <f t="shared" si="263"/>
        <v>0</v>
      </c>
      <c r="BZ212" s="112">
        <f t="shared" si="263"/>
        <v>0</v>
      </c>
      <c r="CA212" s="112">
        <f t="shared" si="263"/>
        <v>4917707</v>
      </c>
      <c r="CB212" s="112">
        <f t="shared" si="263"/>
        <v>0</v>
      </c>
      <c r="CC212" s="112">
        <f t="shared" si="263"/>
        <v>0</v>
      </c>
      <c r="CD212" s="112">
        <f t="shared" si="263"/>
        <v>0</v>
      </c>
      <c r="CE212" s="112">
        <f t="shared" si="263"/>
        <v>0</v>
      </c>
      <c r="CF212" s="112">
        <f t="shared" si="263"/>
        <v>0</v>
      </c>
      <c r="CG212" s="112">
        <f t="shared" si="263"/>
        <v>0</v>
      </c>
      <c r="CH212" s="112">
        <f t="shared" si="263"/>
        <v>4917961</v>
      </c>
      <c r="CI212" s="112"/>
      <c r="CJ212" s="112">
        <f t="shared" si="260"/>
        <v>254</v>
      </c>
      <c r="CK212" s="112">
        <f t="shared" si="260"/>
        <v>254</v>
      </c>
      <c r="CL212" s="112">
        <f t="shared" si="260"/>
        <v>254</v>
      </c>
      <c r="CM212" s="112">
        <f t="shared" si="260"/>
        <v>254</v>
      </c>
      <c r="CN212" s="112">
        <f t="shared" si="260"/>
        <v>254</v>
      </c>
      <c r="CO212" s="112">
        <f t="shared" si="260"/>
        <v>4917961</v>
      </c>
      <c r="CP212" s="112">
        <f t="shared" si="260"/>
        <v>4917961</v>
      </c>
      <c r="CQ212" s="112">
        <f t="shared" si="260"/>
        <v>4917961</v>
      </c>
      <c r="CR212" s="112">
        <f t="shared" si="260"/>
        <v>4917961</v>
      </c>
      <c r="CS212" s="112">
        <f t="shared" si="260"/>
        <v>4917961</v>
      </c>
      <c r="CT212" s="112">
        <f t="shared" si="260"/>
        <v>4917961</v>
      </c>
      <c r="CU212" s="112">
        <f t="shared" si="260"/>
        <v>4917961</v>
      </c>
      <c r="CV212" s="112">
        <f t="shared" si="260"/>
        <v>2664001.375</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0</v>
      </c>
      <c r="S213" s="112">
        <f t="shared" si="261"/>
        <v>0</v>
      </c>
      <c r="T213" s="112">
        <f t="shared" si="261"/>
        <v>0</v>
      </c>
      <c r="U213" s="112">
        <f t="shared" si="261"/>
        <v>0</v>
      </c>
      <c r="V213" s="112">
        <f t="shared" si="261"/>
        <v>0</v>
      </c>
      <c r="W213" s="112">
        <f t="shared" si="261"/>
        <v>0</v>
      </c>
      <c r="X213" s="112">
        <f t="shared" si="261"/>
        <v>0</v>
      </c>
      <c r="Y213" s="112">
        <f t="shared" si="261"/>
        <v>0</v>
      </c>
      <c r="Z213" s="112">
        <f t="shared" si="261"/>
        <v>0</v>
      </c>
      <c r="AA213" s="112">
        <f t="shared" si="261"/>
        <v>0</v>
      </c>
      <c r="AB213" s="112">
        <f t="shared" si="261"/>
        <v>0</v>
      </c>
      <c r="AC213" s="112">
        <f t="shared" si="261"/>
        <v>0</v>
      </c>
      <c r="AD213" s="112">
        <f t="shared" si="261"/>
        <v>0</v>
      </c>
      <c r="AE213" s="96"/>
      <c r="AF213" s="112">
        <f t="shared" si="256"/>
        <v>0</v>
      </c>
      <c r="AG213" s="112">
        <f t="shared" si="256"/>
        <v>0</v>
      </c>
      <c r="AH213" s="112">
        <f t="shared" si="256"/>
        <v>0</v>
      </c>
      <c r="AI213" s="112">
        <f t="shared" si="256"/>
        <v>0</v>
      </c>
      <c r="AJ213" s="112">
        <f t="shared" si="256"/>
        <v>0</v>
      </c>
      <c r="AK213" s="112">
        <f t="shared" si="256"/>
        <v>0</v>
      </c>
      <c r="AL213" s="112">
        <f t="shared" si="256"/>
        <v>0</v>
      </c>
      <c r="AM213" s="112">
        <f t="shared" si="256"/>
        <v>0</v>
      </c>
      <c r="AN213" s="112">
        <f t="shared" si="256"/>
        <v>0</v>
      </c>
      <c r="AO213" s="112">
        <f t="shared" si="256"/>
        <v>0</v>
      </c>
      <c r="AP213" s="112">
        <f t="shared" si="256"/>
        <v>0</v>
      </c>
      <c r="AQ213" s="112">
        <f t="shared" si="256"/>
        <v>0</v>
      </c>
      <c r="AR213" s="112">
        <f t="shared" si="256"/>
        <v>0</v>
      </c>
      <c r="AS213" s="112"/>
      <c r="AT213" s="112">
        <f t="shared" si="262"/>
        <v>0</v>
      </c>
      <c r="AU213" s="112">
        <f t="shared" si="262"/>
        <v>0</v>
      </c>
      <c r="AV213" s="112">
        <f t="shared" si="262"/>
        <v>0</v>
      </c>
      <c r="AW213" s="112">
        <f t="shared" si="262"/>
        <v>0</v>
      </c>
      <c r="AX213" s="112">
        <f t="shared" si="262"/>
        <v>0</v>
      </c>
      <c r="AY213" s="112">
        <f t="shared" si="262"/>
        <v>0</v>
      </c>
      <c r="AZ213" s="112">
        <f t="shared" si="262"/>
        <v>0</v>
      </c>
      <c r="BA213" s="112">
        <f t="shared" si="262"/>
        <v>0</v>
      </c>
      <c r="BB213" s="112">
        <f t="shared" si="262"/>
        <v>0</v>
      </c>
      <c r="BC213" s="112">
        <f t="shared" si="262"/>
        <v>0</v>
      </c>
      <c r="BD213" s="112">
        <f t="shared" si="262"/>
        <v>0</v>
      </c>
      <c r="BE213" s="112">
        <f t="shared" si="262"/>
        <v>0</v>
      </c>
      <c r="BF213" s="112">
        <f t="shared" si="262"/>
        <v>0</v>
      </c>
      <c r="BG213" s="112"/>
      <c r="BH213" s="112">
        <f t="shared" si="258"/>
        <v>0</v>
      </c>
      <c r="BI213" s="112">
        <f t="shared" si="258"/>
        <v>0</v>
      </c>
      <c r="BJ213" s="112">
        <f t="shared" si="258"/>
        <v>0</v>
      </c>
      <c r="BK213" s="112">
        <f t="shared" si="258"/>
        <v>0</v>
      </c>
      <c r="BL213" s="112">
        <f t="shared" si="258"/>
        <v>0</v>
      </c>
      <c r="BM213" s="112">
        <f t="shared" si="258"/>
        <v>0</v>
      </c>
      <c r="BN213" s="112">
        <f t="shared" si="258"/>
        <v>0</v>
      </c>
      <c r="BO213" s="112">
        <f t="shared" si="258"/>
        <v>0</v>
      </c>
      <c r="BP213" s="112">
        <f t="shared" si="258"/>
        <v>0</v>
      </c>
      <c r="BQ213" s="112">
        <f t="shared" si="258"/>
        <v>0</v>
      </c>
      <c r="BR213" s="112">
        <f t="shared" si="258"/>
        <v>0</v>
      </c>
      <c r="BS213" s="112">
        <f t="shared" si="258"/>
        <v>0</v>
      </c>
      <c r="BT213" s="112">
        <f t="shared" si="258"/>
        <v>0</v>
      </c>
      <c r="BU213" s="112"/>
      <c r="BV213" s="112">
        <f t="shared" si="263"/>
        <v>0</v>
      </c>
      <c r="BW213" s="112">
        <f t="shared" si="263"/>
        <v>0</v>
      </c>
      <c r="BX213" s="112">
        <f t="shared" si="263"/>
        <v>0</v>
      </c>
      <c r="BY213" s="112">
        <f t="shared" si="263"/>
        <v>0</v>
      </c>
      <c r="BZ213" s="112">
        <f t="shared" si="263"/>
        <v>0</v>
      </c>
      <c r="CA213" s="112">
        <f t="shared" si="263"/>
        <v>0</v>
      </c>
      <c r="CB213" s="112">
        <f t="shared" si="263"/>
        <v>0</v>
      </c>
      <c r="CC213" s="112">
        <f t="shared" si="263"/>
        <v>0</v>
      </c>
      <c r="CD213" s="112">
        <f t="shared" si="263"/>
        <v>0</v>
      </c>
      <c r="CE213" s="112">
        <f t="shared" si="263"/>
        <v>0</v>
      </c>
      <c r="CF213" s="112">
        <f t="shared" si="263"/>
        <v>0</v>
      </c>
      <c r="CG213" s="112">
        <f t="shared" si="263"/>
        <v>0</v>
      </c>
      <c r="CH213" s="112">
        <f t="shared" si="263"/>
        <v>0</v>
      </c>
      <c r="CI213" s="112"/>
      <c r="CJ213" s="112">
        <f t="shared" si="260"/>
        <v>0</v>
      </c>
      <c r="CK213" s="112">
        <f t="shared" si="260"/>
        <v>0</v>
      </c>
      <c r="CL213" s="112">
        <f t="shared" si="260"/>
        <v>0</v>
      </c>
      <c r="CM213" s="112">
        <f t="shared" si="260"/>
        <v>0</v>
      </c>
      <c r="CN213" s="112">
        <f t="shared" si="260"/>
        <v>0</v>
      </c>
      <c r="CO213" s="112">
        <f t="shared" si="260"/>
        <v>0</v>
      </c>
      <c r="CP213" s="112">
        <f t="shared" si="260"/>
        <v>0</v>
      </c>
      <c r="CQ213" s="112">
        <f t="shared" si="260"/>
        <v>0</v>
      </c>
      <c r="CR213" s="112">
        <f t="shared" si="260"/>
        <v>0</v>
      </c>
      <c r="CS213" s="112">
        <f t="shared" si="260"/>
        <v>0</v>
      </c>
      <c r="CT213" s="112">
        <f t="shared" si="260"/>
        <v>0</v>
      </c>
      <c r="CU213" s="112">
        <f t="shared" si="260"/>
        <v>0</v>
      </c>
      <c r="CV213" s="112">
        <f t="shared" si="260"/>
        <v>0</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1328331</v>
      </c>
      <c r="S214" s="112">
        <f t="shared" si="261"/>
        <v>233132</v>
      </c>
      <c r="T214" s="112">
        <f t="shared" si="261"/>
        <v>42477</v>
      </c>
      <c r="U214" s="112">
        <f t="shared" si="261"/>
        <v>20852</v>
      </c>
      <c r="V214" s="112">
        <f t="shared" si="261"/>
        <v>20031</v>
      </c>
      <c r="W214" s="112">
        <f t="shared" si="261"/>
        <v>59836</v>
      </c>
      <c r="X214" s="112">
        <f t="shared" si="261"/>
        <v>223287</v>
      </c>
      <c r="Y214" s="112">
        <f t="shared" si="261"/>
        <v>148566</v>
      </c>
      <c r="Z214" s="112">
        <f t="shared" si="261"/>
        <v>218198</v>
      </c>
      <c r="AA214" s="112">
        <f t="shared" si="261"/>
        <v>453620</v>
      </c>
      <c r="AB214" s="112">
        <f t="shared" si="261"/>
        <v>198201</v>
      </c>
      <c r="AC214" s="112">
        <f t="shared" si="261"/>
        <v>1726156</v>
      </c>
      <c r="AD214" s="112">
        <f t="shared" si="261"/>
        <v>4672687</v>
      </c>
      <c r="AE214" s="96"/>
      <c r="AF214" s="112">
        <f t="shared" si="256"/>
        <v>1328331</v>
      </c>
      <c r="AG214" s="112">
        <f t="shared" si="256"/>
        <v>1561463</v>
      </c>
      <c r="AH214" s="112">
        <f t="shared" si="256"/>
        <v>1603940</v>
      </c>
      <c r="AI214" s="112">
        <f t="shared" si="256"/>
        <v>1624792</v>
      </c>
      <c r="AJ214" s="112">
        <f t="shared" si="256"/>
        <v>1644823</v>
      </c>
      <c r="AK214" s="112">
        <f t="shared" si="256"/>
        <v>1704659</v>
      </c>
      <c r="AL214" s="112">
        <f t="shared" si="256"/>
        <v>1927946</v>
      </c>
      <c r="AM214" s="112">
        <f t="shared" si="256"/>
        <v>2076512</v>
      </c>
      <c r="AN214" s="112">
        <f t="shared" si="256"/>
        <v>2294710</v>
      </c>
      <c r="AO214" s="112">
        <f t="shared" si="256"/>
        <v>2748330</v>
      </c>
      <c r="AP214" s="112">
        <f t="shared" si="256"/>
        <v>2946531</v>
      </c>
      <c r="AQ214" s="112">
        <f t="shared" si="256"/>
        <v>4672687</v>
      </c>
      <c r="AR214" s="112">
        <f t="shared" si="256"/>
        <v>1983198.375</v>
      </c>
      <c r="AS214" s="112"/>
      <c r="AT214" s="112">
        <f t="shared" si="262"/>
        <v>641705.33000764973</v>
      </c>
      <c r="AU214" s="112">
        <f t="shared" si="262"/>
        <v>112624.07261092559</v>
      </c>
      <c r="AV214" s="112">
        <f t="shared" si="262"/>
        <v>20520.2749184766</v>
      </c>
      <c r="AW214" s="112">
        <f t="shared" si="262"/>
        <v>10073.4226193016</v>
      </c>
      <c r="AX214" s="112">
        <f t="shared" si="262"/>
        <v>9676.804550509798</v>
      </c>
      <c r="AY214" s="112">
        <f t="shared" si="262"/>
        <v>28906.259152528797</v>
      </c>
      <c r="AZ214" s="112">
        <f t="shared" si="262"/>
        <v>107868.0374254746</v>
      </c>
      <c r="BA214" s="112">
        <f t="shared" si="262"/>
        <v>71770.962251062796</v>
      </c>
      <c r="BB214" s="112">
        <f t="shared" si="262"/>
        <v>105409.58510868839</v>
      </c>
      <c r="BC214" s="112">
        <f t="shared" si="262"/>
        <v>219139.93710759599</v>
      </c>
      <c r="BD214" s="112">
        <f t="shared" si="262"/>
        <v>95749.205666995782</v>
      </c>
      <c r="BE214" s="112">
        <f t="shared" si="262"/>
        <v>833891.18045478477</v>
      </c>
      <c r="BF214" s="112">
        <f t="shared" si="262"/>
        <v>2257335.0718739945</v>
      </c>
      <c r="BG214" s="112"/>
      <c r="BH214" s="112">
        <f t="shared" si="258"/>
        <v>641705.33000764973</v>
      </c>
      <c r="BI214" s="112">
        <f t="shared" si="258"/>
        <v>754329.40261857526</v>
      </c>
      <c r="BJ214" s="112">
        <f t="shared" si="258"/>
        <v>774849.67753705184</v>
      </c>
      <c r="BK214" s="112">
        <f t="shared" si="258"/>
        <v>784923.10015635355</v>
      </c>
      <c r="BL214" s="112">
        <f t="shared" si="258"/>
        <v>794599.90470686334</v>
      </c>
      <c r="BM214" s="112">
        <f t="shared" si="258"/>
        <v>823506.16385939205</v>
      </c>
      <c r="BN214" s="112">
        <f t="shared" si="258"/>
        <v>931374.20128486666</v>
      </c>
      <c r="BO214" s="112">
        <f t="shared" si="258"/>
        <v>1003145.1635359295</v>
      </c>
      <c r="BP214" s="112">
        <f t="shared" si="258"/>
        <v>1108554.7486446179</v>
      </c>
      <c r="BQ214" s="112">
        <f t="shared" si="258"/>
        <v>1327694.6857522139</v>
      </c>
      <c r="BR214" s="112">
        <f t="shared" si="258"/>
        <v>1423443.89141921</v>
      </c>
      <c r="BS214" s="112">
        <f t="shared" si="258"/>
        <v>2257335.0718739945</v>
      </c>
      <c r="BT214" s="112">
        <f t="shared" si="258"/>
        <v>958066.15045497671</v>
      </c>
      <c r="BU214" s="112"/>
      <c r="BV214" s="112">
        <f t="shared" si="263"/>
        <v>201359.97291336063</v>
      </c>
      <c r="BW214" s="112">
        <f t="shared" si="263"/>
        <v>35340.177414543206</v>
      </c>
      <c r="BX214" s="112">
        <f t="shared" si="263"/>
        <v>6439.0333203402006</v>
      </c>
      <c r="BY214" s="112">
        <f t="shared" si="263"/>
        <v>3160.9276266152006</v>
      </c>
      <c r="BZ214" s="112">
        <f t="shared" si="263"/>
        <v>3036.4733017806002</v>
      </c>
      <c r="CA214" s="112">
        <f t="shared" si="263"/>
        <v>9070.4616087736013</v>
      </c>
      <c r="CB214" s="112">
        <f t="shared" si="263"/>
        <v>33847.786637446203</v>
      </c>
      <c r="CC214" s="112">
        <f t="shared" si="263"/>
        <v>22520.927190471601</v>
      </c>
      <c r="CD214" s="112">
        <f t="shared" si="263"/>
        <v>33076.351729914801</v>
      </c>
      <c r="CE214" s="112">
        <f t="shared" si="263"/>
        <v>68763.667273412007</v>
      </c>
      <c r="CF214" s="112">
        <f t="shared" si="263"/>
        <v>30045.032444022603</v>
      </c>
      <c r="CG214" s="112">
        <f t="shared" si="263"/>
        <v>261665.74852520562</v>
      </c>
      <c r="CH214" s="112">
        <f t="shared" si="263"/>
        <v>708326.55998588621</v>
      </c>
      <c r="CI214" s="112"/>
      <c r="CJ214" s="112">
        <f t="shared" si="260"/>
        <v>201359.97291336063</v>
      </c>
      <c r="CK214" s="112">
        <f t="shared" si="260"/>
        <v>236700.15032790383</v>
      </c>
      <c r="CL214" s="112">
        <f t="shared" si="260"/>
        <v>243139.18364824401</v>
      </c>
      <c r="CM214" s="112">
        <f t="shared" si="260"/>
        <v>246300.11127485923</v>
      </c>
      <c r="CN214" s="112">
        <f t="shared" si="260"/>
        <v>249336.58457663981</v>
      </c>
      <c r="CO214" s="112">
        <f t="shared" si="260"/>
        <v>258407.04618541343</v>
      </c>
      <c r="CP214" s="112">
        <f t="shared" si="260"/>
        <v>292254.83282285964</v>
      </c>
      <c r="CQ214" s="112">
        <f t="shared" si="260"/>
        <v>314775.76001333119</v>
      </c>
      <c r="CR214" s="112">
        <f t="shared" si="260"/>
        <v>347852.11174324597</v>
      </c>
      <c r="CS214" s="112">
        <f t="shared" si="260"/>
        <v>416615.77901665797</v>
      </c>
      <c r="CT214" s="112">
        <f t="shared" si="260"/>
        <v>446660.81146068062</v>
      </c>
      <c r="CU214" s="112">
        <f t="shared" si="260"/>
        <v>708326.55998588621</v>
      </c>
      <c r="CV214" s="112">
        <f t="shared" si="260"/>
        <v>300630.46866467834</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0</v>
      </c>
      <c r="S216" s="112">
        <f t="shared" si="261"/>
        <v>0</v>
      </c>
      <c r="T216" s="112">
        <f t="shared" si="261"/>
        <v>0</v>
      </c>
      <c r="U216" s="112">
        <f t="shared" si="261"/>
        <v>0</v>
      </c>
      <c r="V216" s="112">
        <f t="shared" si="261"/>
        <v>0</v>
      </c>
      <c r="W216" s="112">
        <f t="shared" si="261"/>
        <v>0</v>
      </c>
      <c r="X216" s="112">
        <f t="shared" si="261"/>
        <v>0</v>
      </c>
      <c r="Y216" s="112">
        <f t="shared" si="261"/>
        <v>0</v>
      </c>
      <c r="Z216" s="112">
        <f t="shared" si="261"/>
        <v>0</v>
      </c>
      <c r="AA216" s="112">
        <f t="shared" si="261"/>
        <v>0</v>
      </c>
      <c r="AB216" s="112">
        <f t="shared" si="261"/>
        <v>0</v>
      </c>
      <c r="AC216" s="112">
        <f t="shared" si="261"/>
        <v>0</v>
      </c>
      <c r="AD216" s="112">
        <f t="shared" si="261"/>
        <v>0</v>
      </c>
      <c r="AE216" s="96"/>
      <c r="AF216" s="112">
        <f t="shared" si="256"/>
        <v>0</v>
      </c>
      <c r="AG216" s="112">
        <f t="shared" si="256"/>
        <v>0</v>
      </c>
      <c r="AH216" s="112">
        <f t="shared" si="256"/>
        <v>0</v>
      </c>
      <c r="AI216" s="112">
        <f t="shared" si="256"/>
        <v>0</v>
      </c>
      <c r="AJ216" s="112">
        <f t="shared" si="256"/>
        <v>0</v>
      </c>
      <c r="AK216" s="112">
        <f t="shared" si="256"/>
        <v>0</v>
      </c>
      <c r="AL216" s="112">
        <f t="shared" si="256"/>
        <v>0</v>
      </c>
      <c r="AM216" s="112">
        <f t="shared" si="256"/>
        <v>0</v>
      </c>
      <c r="AN216" s="112">
        <f t="shared" si="256"/>
        <v>0</v>
      </c>
      <c r="AO216" s="112">
        <f t="shared" si="256"/>
        <v>0</v>
      </c>
      <c r="AP216" s="112">
        <f t="shared" si="256"/>
        <v>0</v>
      </c>
      <c r="AQ216" s="112">
        <f t="shared" si="256"/>
        <v>0</v>
      </c>
      <c r="AR216" s="112">
        <f t="shared" si="256"/>
        <v>0</v>
      </c>
      <c r="AS216" s="112"/>
      <c r="AT216" s="112">
        <f t="shared" si="262"/>
        <v>0</v>
      </c>
      <c r="AU216" s="112">
        <f t="shared" si="262"/>
        <v>0</v>
      </c>
      <c r="AV216" s="112">
        <f t="shared" si="262"/>
        <v>0</v>
      </c>
      <c r="AW216" s="112">
        <f t="shared" si="262"/>
        <v>0</v>
      </c>
      <c r="AX216" s="112">
        <f t="shared" si="262"/>
        <v>0</v>
      </c>
      <c r="AY216" s="112">
        <f t="shared" si="262"/>
        <v>0</v>
      </c>
      <c r="AZ216" s="112">
        <f t="shared" si="262"/>
        <v>0</v>
      </c>
      <c r="BA216" s="112">
        <f t="shared" si="262"/>
        <v>0</v>
      </c>
      <c r="BB216" s="112">
        <f t="shared" si="262"/>
        <v>0</v>
      </c>
      <c r="BC216" s="112">
        <f t="shared" si="262"/>
        <v>0</v>
      </c>
      <c r="BD216" s="112">
        <f t="shared" si="262"/>
        <v>0</v>
      </c>
      <c r="BE216" s="112">
        <f t="shared" si="262"/>
        <v>0</v>
      </c>
      <c r="BF216" s="112">
        <f t="shared" si="262"/>
        <v>0</v>
      </c>
      <c r="BG216" s="112"/>
      <c r="BH216" s="112">
        <f t="shared" si="258"/>
        <v>0</v>
      </c>
      <c r="BI216" s="112">
        <f t="shared" si="258"/>
        <v>0</v>
      </c>
      <c r="BJ216" s="112">
        <f t="shared" si="258"/>
        <v>0</v>
      </c>
      <c r="BK216" s="112">
        <f t="shared" si="258"/>
        <v>0</v>
      </c>
      <c r="BL216" s="112">
        <f t="shared" si="258"/>
        <v>0</v>
      </c>
      <c r="BM216" s="112">
        <f t="shared" si="258"/>
        <v>0</v>
      </c>
      <c r="BN216" s="112">
        <f t="shared" si="258"/>
        <v>0</v>
      </c>
      <c r="BO216" s="112">
        <f t="shared" si="258"/>
        <v>0</v>
      </c>
      <c r="BP216" s="112">
        <f t="shared" si="258"/>
        <v>0</v>
      </c>
      <c r="BQ216" s="112">
        <f t="shared" si="258"/>
        <v>0</v>
      </c>
      <c r="BR216" s="112">
        <f t="shared" si="258"/>
        <v>0</v>
      </c>
      <c r="BS216" s="112">
        <f t="shared" si="258"/>
        <v>0</v>
      </c>
      <c r="BT216" s="112">
        <f t="shared" si="258"/>
        <v>0</v>
      </c>
      <c r="BU216" s="112"/>
      <c r="BV216" s="112">
        <f t="shared" si="263"/>
        <v>0</v>
      </c>
      <c r="BW216" s="112">
        <f t="shared" si="263"/>
        <v>0</v>
      </c>
      <c r="BX216" s="112">
        <f t="shared" si="263"/>
        <v>0</v>
      </c>
      <c r="BY216" s="112">
        <f t="shared" si="263"/>
        <v>0</v>
      </c>
      <c r="BZ216" s="112">
        <f t="shared" si="263"/>
        <v>0</v>
      </c>
      <c r="CA216" s="112">
        <f t="shared" si="263"/>
        <v>0</v>
      </c>
      <c r="CB216" s="112">
        <f t="shared" si="263"/>
        <v>0</v>
      </c>
      <c r="CC216" s="112">
        <f t="shared" si="263"/>
        <v>0</v>
      </c>
      <c r="CD216" s="112">
        <f t="shared" si="263"/>
        <v>0</v>
      </c>
      <c r="CE216" s="112">
        <f t="shared" si="263"/>
        <v>0</v>
      </c>
      <c r="CF216" s="112">
        <f t="shared" si="263"/>
        <v>0</v>
      </c>
      <c r="CG216" s="112">
        <f t="shared" si="263"/>
        <v>0</v>
      </c>
      <c r="CH216" s="112">
        <f t="shared" si="263"/>
        <v>0</v>
      </c>
      <c r="CI216" s="112"/>
      <c r="CJ216" s="112">
        <f t="shared" si="260"/>
        <v>0</v>
      </c>
      <c r="CK216" s="112">
        <f t="shared" si="260"/>
        <v>0</v>
      </c>
      <c r="CL216" s="112">
        <f t="shared" si="260"/>
        <v>0</v>
      </c>
      <c r="CM216" s="112">
        <f t="shared" si="260"/>
        <v>0</v>
      </c>
      <c r="CN216" s="112">
        <f t="shared" si="260"/>
        <v>0</v>
      </c>
      <c r="CO216" s="112">
        <f t="shared" si="260"/>
        <v>0</v>
      </c>
      <c r="CP216" s="112">
        <f t="shared" si="260"/>
        <v>0</v>
      </c>
      <c r="CQ216" s="112">
        <f t="shared" si="260"/>
        <v>0</v>
      </c>
      <c r="CR216" s="112">
        <f t="shared" si="260"/>
        <v>0</v>
      </c>
      <c r="CS216" s="112">
        <f t="shared" si="260"/>
        <v>0</v>
      </c>
      <c r="CT216" s="112">
        <f t="shared" si="260"/>
        <v>0</v>
      </c>
      <c r="CU216" s="112">
        <f t="shared" si="260"/>
        <v>0</v>
      </c>
      <c r="CV216" s="112">
        <f t="shared" si="260"/>
        <v>0</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-496803</v>
      </c>
      <c r="S217" s="112">
        <f t="shared" si="261"/>
        <v>821015</v>
      </c>
      <c r="T217" s="112">
        <f t="shared" si="261"/>
        <v>553463</v>
      </c>
      <c r="U217" s="112">
        <f t="shared" si="261"/>
        <v>563876</v>
      </c>
      <c r="V217" s="112">
        <f t="shared" si="261"/>
        <v>518135</v>
      </c>
      <c r="W217" s="112">
        <f t="shared" si="261"/>
        <v>120610</v>
      </c>
      <c r="X217" s="112">
        <f t="shared" si="261"/>
        <v>0</v>
      </c>
      <c r="Y217" s="112">
        <f t="shared" si="261"/>
        <v>802000</v>
      </c>
      <c r="Z217" s="112">
        <f t="shared" si="261"/>
        <v>0</v>
      </c>
      <c r="AA217" s="112">
        <f t="shared" si="261"/>
        <v>0</v>
      </c>
      <c r="AB217" s="112">
        <f t="shared" si="261"/>
        <v>0</v>
      </c>
      <c r="AC217" s="112">
        <f t="shared" si="261"/>
        <v>0</v>
      </c>
      <c r="AD217" s="112">
        <f t="shared" si="261"/>
        <v>2882296</v>
      </c>
      <c r="AE217" s="96"/>
      <c r="AF217" s="112">
        <f t="shared" si="256"/>
        <v>-496803</v>
      </c>
      <c r="AG217" s="112">
        <f t="shared" si="256"/>
        <v>324212</v>
      </c>
      <c r="AH217" s="112">
        <f t="shared" si="256"/>
        <v>877675</v>
      </c>
      <c r="AI217" s="112">
        <f t="shared" si="256"/>
        <v>1441551</v>
      </c>
      <c r="AJ217" s="112">
        <f t="shared" si="256"/>
        <v>1959686</v>
      </c>
      <c r="AK217" s="112">
        <f t="shared" si="256"/>
        <v>2080296</v>
      </c>
      <c r="AL217" s="112">
        <f t="shared" si="256"/>
        <v>2080296</v>
      </c>
      <c r="AM217" s="112">
        <f t="shared" si="256"/>
        <v>2882296</v>
      </c>
      <c r="AN217" s="112">
        <f t="shared" si="256"/>
        <v>2882296</v>
      </c>
      <c r="AO217" s="112">
        <f t="shared" si="256"/>
        <v>2882296</v>
      </c>
      <c r="AP217" s="112">
        <f t="shared" si="256"/>
        <v>2882296</v>
      </c>
      <c r="AQ217" s="112">
        <f t="shared" si="256"/>
        <v>2882296</v>
      </c>
      <c r="AR217" s="112">
        <f t="shared" si="256"/>
        <v>1769770.4166666667</v>
      </c>
      <c r="AS217" s="112"/>
      <c r="AT217" s="112">
        <f t="shared" si="262"/>
        <v>-240001.27457974738</v>
      </c>
      <c r="AU217" s="112">
        <f t="shared" si="262"/>
        <v>396625.31516333699</v>
      </c>
      <c r="AV217" s="112">
        <f t="shared" si="262"/>
        <v>267373.23533217539</v>
      </c>
      <c r="AW217" s="112">
        <f t="shared" si="262"/>
        <v>272403.66645316081</v>
      </c>
      <c r="AX217" s="112">
        <f t="shared" si="262"/>
        <v>250306.58108823298</v>
      </c>
      <c r="AY217" s="112">
        <f t="shared" si="262"/>
        <v>58265.658071837999</v>
      </c>
      <c r="AZ217" s="112">
        <f t="shared" si="262"/>
        <v>0</v>
      </c>
      <c r="BA217" s="112">
        <f t="shared" si="262"/>
        <v>387439.3315116</v>
      </c>
      <c r="BB217" s="112">
        <f t="shared" si="262"/>
        <v>0</v>
      </c>
      <c r="BC217" s="112">
        <f t="shared" si="262"/>
        <v>0</v>
      </c>
      <c r="BD217" s="112">
        <f t="shared" si="262"/>
        <v>0</v>
      </c>
      <c r="BE217" s="112">
        <f t="shared" si="262"/>
        <v>0</v>
      </c>
      <c r="BF217" s="112">
        <f t="shared" si="262"/>
        <v>1392412.5130405969</v>
      </c>
      <c r="BG217" s="112"/>
      <c r="BH217" s="112">
        <f t="shared" si="258"/>
        <v>-240001.27457974738</v>
      </c>
      <c r="BI217" s="112">
        <f t="shared" si="258"/>
        <v>156624.04058358961</v>
      </c>
      <c r="BJ217" s="112">
        <f t="shared" si="258"/>
        <v>423997.27591576497</v>
      </c>
      <c r="BK217" s="112">
        <f t="shared" si="258"/>
        <v>696400.94236892578</v>
      </c>
      <c r="BL217" s="112">
        <f t="shared" si="258"/>
        <v>946707.52345715882</v>
      </c>
      <c r="BM217" s="112">
        <f t="shared" si="258"/>
        <v>1004973.1815289968</v>
      </c>
      <c r="BN217" s="112">
        <f t="shared" si="258"/>
        <v>1004973.1815289968</v>
      </c>
      <c r="BO217" s="112">
        <f t="shared" si="258"/>
        <v>1392412.5130405969</v>
      </c>
      <c r="BP217" s="112">
        <f t="shared" si="258"/>
        <v>1392412.5130405969</v>
      </c>
      <c r="BQ217" s="112">
        <f t="shared" si="258"/>
        <v>1392412.5130405969</v>
      </c>
      <c r="BR217" s="112">
        <f t="shared" si="258"/>
        <v>1392412.5130405969</v>
      </c>
      <c r="BS217" s="112">
        <f t="shared" si="258"/>
        <v>1392412.5130405969</v>
      </c>
      <c r="BT217" s="112">
        <f t="shared" si="258"/>
        <v>854960.93162386434</v>
      </c>
      <c r="BU217" s="112"/>
      <c r="BV217" s="112">
        <f t="shared" si="263"/>
        <v>-75309.722217787814</v>
      </c>
      <c r="BW217" s="112">
        <f t="shared" si="263"/>
        <v>124456.59866513901</v>
      </c>
      <c r="BX217" s="112">
        <f t="shared" si="263"/>
        <v>83898.738107103811</v>
      </c>
      <c r="BY217" s="112">
        <f t="shared" si="263"/>
        <v>85477.231267277602</v>
      </c>
      <c r="BZ217" s="112">
        <f t="shared" si="263"/>
        <v>78543.41242165101</v>
      </c>
      <c r="CA217" s="112">
        <f t="shared" si="263"/>
        <v>18283.113420586</v>
      </c>
      <c r="CB217" s="112">
        <f t="shared" si="263"/>
        <v>0</v>
      </c>
      <c r="CC217" s="112">
        <f t="shared" si="263"/>
        <v>121574.13948520001</v>
      </c>
      <c r="CD217" s="112">
        <f t="shared" si="263"/>
        <v>0</v>
      </c>
      <c r="CE217" s="112">
        <f t="shared" si="263"/>
        <v>0</v>
      </c>
      <c r="CF217" s="112">
        <f t="shared" si="263"/>
        <v>0</v>
      </c>
      <c r="CG217" s="112">
        <f t="shared" si="263"/>
        <v>0</v>
      </c>
      <c r="CH217" s="112">
        <f t="shared" si="263"/>
        <v>436923.51114916959</v>
      </c>
      <c r="CI217" s="112"/>
      <c r="CJ217" s="112">
        <f t="shared" si="260"/>
        <v>-75309.722217787814</v>
      </c>
      <c r="CK217" s="112">
        <f t="shared" si="260"/>
        <v>49146.876447351198</v>
      </c>
      <c r="CL217" s="112">
        <f t="shared" si="260"/>
        <v>133045.61455445501</v>
      </c>
      <c r="CM217" s="112">
        <f t="shared" si="260"/>
        <v>218522.8458217326</v>
      </c>
      <c r="CN217" s="112">
        <f t="shared" si="260"/>
        <v>297066.25824338361</v>
      </c>
      <c r="CO217" s="112">
        <f t="shared" si="260"/>
        <v>315349.37166396959</v>
      </c>
      <c r="CP217" s="112">
        <f t="shared" si="260"/>
        <v>315349.37166396959</v>
      </c>
      <c r="CQ217" s="112">
        <f t="shared" si="260"/>
        <v>436923.51114916959</v>
      </c>
      <c r="CR217" s="112">
        <f t="shared" si="260"/>
        <v>436923.51114916959</v>
      </c>
      <c r="CS217" s="112">
        <f t="shared" si="260"/>
        <v>436923.51114916959</v>
      </c>
      <c r="CT217" s="112">
        <f t="shared" si="260"/>
        <v>436923.51114916959</v>
      </c>
      <c r="CU217" s="112">
        <f t="shared" si="260"/>
        <v>436923.51114916959</v>
      </c>
      <c r="CV217" s="112">
        <f t="shared" si="260"/>
        <v>268277.20136236137</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3195649</v>
      </c>
      <c r="S218" s="111">
        <f t="shared" ref="S218:AD218" si="264">SUM(S207:S217)</f>
        <v>1058170</v>
      </c>
      <c r="T218" s="111">
        <f t="shared" si="264"/>
        <v>4741103</v>
      </c>
      <c r="U218" s="111">
        <f t="shared" si="264"/>
        <v>956121</v>
      </c>
      <c r="V218" s="111">
        <f t="shared" si="264"/>
        <v>1348456</v>
      </c>
      <c r="W218" s="111">
        <f t="shared" si="264"/>
        <v>8834353</v>
      </c>
      <c r="X218" s="111">
        <f t="shared" si="264"/>
        <v>415131</v>
      </c>
      <c r="Y218" s="111">
        <f t="shared" si="264"/>
        <v>1137494</v>
      </c>
      <c r="Z218" s="111">
        <f t="shared" si="264"/>
        <v>405128</v>
      </c>
      <c r="AA218" s="111">
        <f t="shared" si="264"/>
        <v>6231231</v>
      </c>
      <c r="AB218" s="111">
        <f t="shared" si="264"/>
        <v>373496</v>
      </c>
      <c r="AC218" s="111">
        <f t="shared" si="264"/>
        <v>15740317</v>
      </c>
      <c r="AD218" s="111">
        <f t="shared" si="264"/>
        <v>44436649</v>
      </c>
      <c r="AE218" s="96"/>
      <c r="AF218" s="111">
        <f>SUM(AF207:AF217)</f>
        <v>3195649</v>
      </c>
      <c r="AG218" s="111">
        <f t="shared" ref="AG218" si="265">SUM(AG207:AG217)</f>
        <v>4253819</v>
      </c>
      <c r="AH218" s="111">
        <f t="shared" ref="AH218" si="266">SUM(AH207:AH217)</f>
        <v>8994922</v>
      </c>
      <c r="AI218" s="111">
        <f t="shared" ref="AI218" si="267">SUM(AI207:AI217)</f>
        <v>9951043</v>
      </c>
      <c r="AJ218" s="111">
        <f t="shared" ref="AJ218" si="268">SUM(AJ207:AJ217)</f>
        <v>11299499</v>
      </c>
      <c r="AK218" s="111">
        <f t="shared" ref="AK218" si="269">SUM(AK207:AK217)</f>
        <v>20133852</v>
      </c>
      <c r="AL218" s="111">
        <f t="shared" ref="AL218" si="270">SUM(AL207:AL217)</f>
        <v>20548983</v>
      </c>
      <c r="AM218" s="111">
        <f t="shared" ref="AM218" si="271">SUM(AM207:AM217)</f>
        <v>21686477</v>
      </c>
      <c r="AN218" s="111">
        <f t="shared" ref="AN218" si="272">SUM(AN207:AN217)</f>
        <v>22091605</v>
      </c>
      <c r="AO218" s="111">
        <f t="shared" ref="AO218" si="273">SUM(AO207:AO217)</f>
        <v>28322836</v>
      </c>
      <c r="AP218" s="111">
        <f t="shared" ref="AP218" si="274">SUM(AP207:AP217)</f>
        <v>28696332</v>
      </c>
      <c r="AQ218" s="111">
        <f t="shared" ref="AQ218" si="275">SUM(AQ207:AQ217)</f>
        <v>44436649</v>
      </c>
      <c r="AR218" s="111">
        <f t="shared" ref="AR218" si="276">SUM(AR207:AR217)</f>
        <v>16782778.458333332</v>
      </c>
      <c r="AS218" s="96"/>
      <c r="AT218" s="111">
        <f>SUM(AT207:AT217)</f>
        <v>1947409.8726279021</v>
      </c>
      <c r="AU218" s="111">
        <f t="shared" ref="AU218" si="277">SUM(AU207:AU217)</f>
        <v>509284.17697426258</v>
      </c>
      <c r="AV218" s="111">
        <f t="shared" ref="AV218" si="278">SUM(AV207:AV217)</f>
        <v>2866423.0662506521</v>
      </c>
      <c r="AW218" s="111">
        <f t="shared" ref="AW218" si="279">SUM(AW207:AW217)</f>
        <v>317405.44587246241</v>
      </c>
      <c r="AX218" s="111">
        <f t="shared" ref="AX218" si="280">SUM(AX207:AX217)</f>
        <v>657742.09363874281</v>
      </c>
      <c r="AY218" s="111">
        <f t="shared" ref="AY218" si="281">SUM(AY207:AY217)</f>
        <v>2383540.0564243663</v>
      </c>
      <c r="AZ218" s="111">
        <f t="shared" ref="AZ218" si="282">SUM(AZ207:AZ217)</f>
        <v>118730.8010254746</v>
      </c>
      <c r="BA218" s="111">
        <f t="shared" ref="BA218" si="283">SUM(BA207:BA217)</f>
        <v>466846.19496266276</v>
      </c>
      <c r="BB218" s="111">
        <f t="shared" ref="BB218" si="284">SUM(BB207:BB217)</f>
        <v>113045.48630868839</v>
      </c>
      <c r="BC218" s="111">
        <f t="shared" ref="BC218" si="285">SUM(BC207:BC217)</f>
        <v>3896500.1595075964</v>
      </c>
      <c r="BD218" s="111">
        <f t="shared" ref="BD218" si="286">SUM(BD207:BD217)</f>
        <v>95749.205666995782</v>
      </c>
      <c r="BE218" s="111">
        <f t="shared" ref="BE218" si="287">SUM(BE207:BE217)</f>
        <v>10867350.102454785</v>
      </c>
      <c r="BF218" s="111">
        <f t="shared" ref="BF218" si="288">SUM(BF207:BF217)</f>
        <v>24240026.661714595</v>
      </c>
      <c r="BG218" s="96"/>
      <c r="BH218" s="111">
        <f>SUM(BH207:BH217)</f>
        <v>1947409.8726279021</v>
      </c>
      <c r="BI218" s="111">
        <f t="shared" ref="BI218" si="289">SUM(BI207:BI217)</f>
        <v>2456694.0496021649</v>
      </c>
      <c r="BJ218" s="111">
        <f t="shared" ref="BJ218" si="290">SUM(BJ207:BJ217)</f>
        <v>5323117.115852817</v>
      </c>
      <c r="BK218" s="111">
        <f t="shared" ref="BK218" si="291">SUM(BK207:BK217)</f>
        <v>5640522.5617252793</v>
      </c>
      <c r="BL218" s="111">
        <f t="shared" ref="BL218" si="292">SUM(BL207:BL217)</f>
        <v>6298264.6553640217</v>
      </c>
      <c r="BM218" s="111">
        <f t="shared" ref="BM218" si="293">SUM(BM207:BM217)</f>
        <v>8681804.711788388</v>
      </c>
      <c r="BN218" s="111">
        <f t="shared" ref="BN218" si="294">SUM(BN207:BN217)</f>
        <v>8800535.5128138643</v>
      </c>
      <c r="BO218" s="111">
        <f t="shared" ref="BO218" si="295">SUM(BO207:BO217)</f>
        <v>9267381.707776526</v>
      </c>
      <c r="BP218" s="111">
        <f t="shared" ref="BP218" si="296">SUM(BP207:BP217)</f>
        <v>9380427.1940852143</v>
      </c>
      <c r="BQ218" s="111">
        <f t="shared" ref="BQ218" si="297">SUM(BQ207:BQ217)</f>
        <v>13276927.353592811</v>
      </c>
      <c r="BR218" s="111">
        <f t="shared" ref="BR218" si="298">SUM(BR207:BR217)</f>
        <v>13372676.559259808</v>
      </c>
      <c r="BS218" s="111">
        <f t="shared" ref="BS218" si="299">SUM(BS207:BS217)</f>
        <v>24240026.661714595</v>
      </c>
      <c r="BT218" s="111">
        <f t="shared" ref="BT218" si="300">SUM(BT207:BT217)</f>
        <v>8047147.8854455072</v>
      </c>
      <c r="BU218" s="96"/>
      <c r="BV218" s="111">
        <f>SUM(BV207:BV217)</f>
        <v>132515.66989557282</v>
      </c>
      <c r="BW218" s="111">
        <f t="shared" ref="BW218" si="301">SUM(BW207:BW217)</f>
        <v>162523.37207968222</v>
      </c>
      <c r="BX218" s="111">
        <f t="shared" ref="BX218" si="302">SUM(BX207:BX217)</f>
        <v>239286.14782744402</v>
      </c>
      <c r="BY218" s="111">
        <f t="shared" ref="BY218" si="303">SUM(BY207:BY217)</f>
        <v>307164.86969389278</v>
      </c>
      <c r="BZ218" s="111">
        <f t="shared" ref="BZ218" si="304">SUM(BZ207:BZ217)</f>
        <v>221906.86172343162</v>
      </c>
      <c r="CA218" s="111">
        <f t="shared" ref="CA218" si="305">SUM(CA207:CA217)</f>
        <v>5108362.3846293604</v>
      </c>
      <c r="CB218" s="111">
        <f t="shared" ref="CB218" si="306">SUM(CB207:CB217)</f>
        <v>154240.3926374462</v>
      </c>
      <c r="CC218" s="111">
        <f t="shared" ref="CC218" si="307">SUM(CC207:CC217)</f>
        <v>264487.67267567158</v>
      </c>
      <c r="CD218" s="111">
        <f t="shared" ref="CD218" si="308">SUM(CD207:CD217)</f>
        <v>153470.3313299148</v>
      </c>
      <c r="CE218" s="111">
        <f t="shared" ref="CE218" si="309">SUM(CE207:CE217)</f>
        <v>189156.27327341202</v>
      </c>
      <c r="CF218" s="111">
        <f t="shared" ref="CF218" si="310">SUM(CF207:CF217)</f>
        <v>150437.6384440226</v>
      </c>
      <c r="CG218" s="111">
        <f t="shared" ref="CG218" si="311">SUM(CG207:CG217)</f>
        <v>382059.04132520559</v>
      </c>
      <c r="CH218" s="111">
        <f t="shared" ref="CH218" si="312">SUM(CH207:CH217)</f>
        <v>7465610.6555350563</v>
      </c>
      <c r="CI218" s="96"/>
      <c r="CJ218" s="111">
        <f>SUM(CJ207:CJ217)</f>
        <v>132515.66989557282</v>
      </c>
      <c r="CK218" s="111">
        <f t="shared" ref="CK218" si="313">SUM(CK207:CK217)</f>
        <v>295039.04197525501</v>
      </c>
      <c r="CL218" s="111">
        <f t="shared" ref="CL218" si="314">SUM(CL207:CL217)</f>
        <v>534325.18980269902</v>
      </c>
      <c r="CM218" s="111">
        <f t="shared" ref="CM218" si="315">SUM(CM207:CM217)</f>
        <v>841490.0594965918</v>
      </c>
      <c r="CN218" s="111">
        <f t="shared" ref="CN218" si="316">SUM(CN207:CN217)</f>
        <v>1063396.9212200234</v>
      </c>
      <c r="CO218" s="111">
        <f t="shared" ref="CO218" si="317">SUM(CO207:CO217)</f>
        <v>6171759.3058493836</v>
      </c>
      <c r="CP218" s="111">
        <f t="shared" ref="CP218" si="318">SUM(CP207:CP217)</f>
        <v>6325999.6984868292</v>
      </c>
      <c r="CQ218" s="111">
        <f t="shared" ref="CQ218" si="319">SUM(CQ207:CQ217)</f>
        <v>6590487.3711625002</v>
      </c>
      <c r="CR218" s="111">
        <f t="shared" ref="CR218" si="320">SUM(CR207:CR217)</f>
        <v>6743957.7024924159</v>
      </c>
      <c r="CS218" s="111">
        <f t="shared" ref="CS218" si="321">SUM(CS207:CS217)</f>
        <v>6933113.9757658271</v>
      </c>
      <c r="CT218" s="111">
        <f t="shared" ref="CT218" si="322">SUM(CT207:CT217)</f>
        <v>7083551.6142098503</v>
      </c>
      <c r="CU218" s="111">
        <f t="shared" ref="CU218" si="323">SUM(CU207:CU217)</f>
        <v>7465610.6555350563</v>
      </c>
      <c r="CV218" s="111">
        <f t="shared" ref="CV218" si="324">SUM(CV207:CV217)</f>
        <v>3870703.4898437061</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0</v>
      </c>
      <c r="S223" s="111">
        <f t="shared" ref="S223:AD223" si="331">SUMIFS(S$5:S$203,$E$5:$E$203,$O223,$A$5:$A$203,"Y")</f>
        <v>0</v>
      </c>
      <c r="T223" s="111">
        <f t="shared" si="331"/>
        <v>3924681</v>
      </c>
      <c r="U223" s="111">
        <f t="shared" si="331"/>
        <v>38396</v>
      </c>
      <c r="V223" s="111">
        <f t="shared" si="331"/>
        <v>74898</v>
      </c>
      <c r="W223" s="111">
        <f t="shared" si="331"/>
        <v>5529</v>
      </c>
      <c r="X223" s="111">
        <f t="shared" si="331"/>
        <v>16549</v>
      </c>
      <c r="Y223" s="111">
        <f t="shared" si="331"/>
        <v>11633</v>
      </c>
      <c r="Z223" s="111">
        <f t="shared" si="331"/>
        <v>11633</v>
      </c>
      <c r="AA223" s="111">
        <f t="shared" si="331"/>
        <v>0</v>
      </c>
      <c r="AB223" s="111">
        <f t="shared" si="331"/>
        <v>0</v>
      </c>
      <c r="AC223" s="111">
        <f t="shared" si="331"/>
        <v>1400000</v>
      </c>
      <c r="AD223" s="111">
        <f t="shared" si="331"/>
        <v>5483319</v>
      </c>
      <c r="AE223" s="96"/>
      <c r="AF223" s="111">
        <f>SUMIFS(AF$5:AF$203,$E$5:$E$203,$O223,$A$5:$A$203,"Y")</f>
        <v>0</v>
      </c>
      <c r="AG223" s="111">
        <f t="shared" ref="AF223:AR229" si="332">SUMIFS(AG$5:AG$203,$E$5:$E$203,$O223,$A$5:$A$203,"Y")</f>
        <v>0</v>
      </c>
      <c r="AH223" s="111">
        <f t="shared" si="332"/>
        <v>3924681</v>
      </c>
      <c r="AI223" s="111">
        <f t="shared" si="332"/>
        <v>3963077</v>
      </c>
      <c r="AJ223" s="111">
        <f t="shared" si="332"/>
        <v>4037975</v>
      </c>
      <c r="AK223" s="111">
        <f t="shared" si="332"/>
        <v>4043504</v>
      </c>
      <c r="AL223" s="111">
        <f t="shared" si="332"/>
        <v>4060053</v>
      </c>
      <c r="AM223" s="111">
        <f t="shared" si="332"/>
        <v>4071686</v>
      </c>
      <c r="AN223" s="111">
        <f t="shared" si="332"/>
        <v>4083319</v>
      </c>
      <c r="AO223" s="111">
        <f t="shared" si="332"/>
        <v>4083319</v>
      </c>
      <c r="AP223" s="111">
        <f t="shared" si="332"/>
        <v>4083319</v>
      </c>
      <c r="AQ223" s="111">
        <f t="shared" si="332"/>
        <v>5483319</v>
      </c>
      <c r="AR223" s="111">
        <f t="shared" si="332"/>
        <v>3257716.041666667</v>
      </c>
      <c r="AS223" s="96"/>
      <c r="AT223" s="111">
        <f>SUMIFS(AT$5:AT$203,$E$5:$E$203,$O223,$A$5:$A$203,"Y")</f>
        <v>0</v>
      </c>
      <c r="AU223" s="111">
        <f t="shared" ref="AU223:BF223" si="333">SUMIFS(AU$5:AU$203,$E$5:$E$203,$O223,$A$5:$A$203,"Y")</f>
        <v>0</v>
      </c>
      <c r="AV223" s="111">
        <f t="shared" si="333"/>
        <v>2576160.6083999998</v>
      </c>
      <c r="AW223" s="111">
        <f t="shared" si="333"/>
        <v>25203.134399999999</v>
      </c>
      <c r="AX223" s="111">
        <f t="shared" si="333"/>
        <v>49163.047200000001</v>
      </c>
      <c r="AY223" s="111">
        <f t="shared" si="333"/>
        <v>3629.2356</v>
      </c>
      <c r="AZ223" s="111">
        <f t="shared" si="333"/>
        <v>10862.7636</v>
      </c>
      <c r="BA223" s="111">
        <f t="shared" si="333"/>
        <v>7635.9012000000002</v>
      </c>
      <c r="BB223" s="111">
        <f t="shared" si="333"/>
        <v>7635.9012000000002</v>
      </c>
      <c r="BC223" s="111">
        <f t="shared" si="333"/>
        <v>0</v>
      </c>
      <c r="BD223" s="111">
        <f t="shared" si="333"/>
        <v>0</v>
      </c>
      <c r="BE223" s="111">
        <f t="shared" si="333"/>
        <v>918960</v>
      </c>
      <c r="BF223" s="111">
        <f t="shared" si="333"/>
        <v>3599250.5915999999</v>
      </c>
      <c r="BG223" s="96"/>
      <c r="BH223" s="111">
        <f>SUMIFS(BH$5:BH$203,$E$5:$E$203,$O223,$A$5:$A$203,"Y")</f>
        <v>0</v>
      </c>
      <c r="BI223" s="111">
        <f t="shared" ref="BH223:BT229" si="334">SUMIFS(BI$5:BI$203,$E$5:$E$203,$O223,$A$5:$A$203,"Y")</f>
        <v>0</v>
      </c>
      <c r="BJ223" s="111">
        <f t="shared" si="334"/>
        <v>2576160.6083999998</v>
      </c>
      <c r="BK223" s="111">
        <f t="shared" si="334"/>
        <v>2601363.7427999997</v>
      </c>
      <c r="BL223" s="111">
        <f t="shared" si="334"/>
        <v>2650526.7899999996</v>
      </c>
      <c r="BM223" s="111">
        <f t="shared" si="334"/>
        <v>2654156.0255999994</v>
      </c>
      <c r="BN223" s="111">
        <f t="shared" si="334"/>
        <v>2665018.7891999995</v>
      </c>
      <c r="BO223" s="111">
        <f t="shared" si="334"/>
        <v>2672654.6903999997</v>
      </c>
      <c r="BP223" s="111">
        <f t="shared" si="334"/>
        <v>2680290.5915999999</v>
      </c>
      <c r="BQ223" s="111">
        <f t="shared" si="334"/>
        <v>2680290.5915999999</v>
      </c>
      <c r="BR223" s="111">
        <f t="shared" si="334"/>
        <v>2680290.5915999999</v>
      </c>
      <c r="BS223" s="111">
        <f t="shared" si="334"/>
        <v>3599250.5915999999</v>
      </c>
      <c r="BT223" s="111">
        <f t="shared" si="334"/>
        <v>2138364.80975</v>
      </c>
      <c r="BU223" s="96"/>
      <c r="BV223" s="111">
        <f>SUMIFS(BV$5:BV$203,$E$5:$E$203,$O223,$A$5:$A$203,"Y")</f>
        <v>0</v>
      </c>
      <c r="BW223" s="111">
        <f t="shared" ref="BW223:CH223" si="335">SUMIFS(BW$5:BW$203,$E$5:$E$203,$O223,$A$5:$A$203,"Y")</f>
        <v>0</v>
      </c>
      <c r="BX223" s="111">
        <f t="shared" si="335"/>
        <v>0</v>
      </c>
      <c r="BY223" s="111">
        <f t="shared" si="335"/>
        <v>0</v>
      </c>
      <c r="BZ223" s="111">
        <f t="shared" si="335"/>
        <v>0</v>
      </c>
      <c r="CA223" s="111">
        <f t="shared" si="335"/>
        <v>0</v>
      </c>
      <c r="CB223" s="111">
        <f t="shared" si="335"/>
        <v>0</v>
      </c>
      <c r="CC223" s="111">
        <f t="shared" si="335"/>
        <v>0</v>
      </c>
      <c r="CD223" s="111">
        <f t="shared" si="335"/>
        <v>0</v>
      </c>
      <c r="CE223" s="111">
        <f t="shared" si="335"/>
        <v>0</v>
      </c>
      <c r="CF223" s="111">
        <f t="shared" si="335"/>
        <v>0</v>
      </c>
      <c r="CG223" s="111">
        <f t="shared" si="335"/>
        <v>0</v>
      </c>
      <c r="CH223" s="111">
        <f t="shared" si="335"/>
        <v>0</v>
      </c>
      <c r="CI223" s="96"/>
      <c r="CJ223" s="111">
        <f>SUMIFS(CJ$5:CJ$203,$E$5:$E$203,$O223,$A$5:$A$203,"Y")</f>
        <v>0</v>
      </c>
      <c r="CK223" s="111">
        <f t="shared" ref="CJ223:CV229" si="336">SUMIFS(CK$5:CK$203,$E$5:$E$203,$O223,$A$5:$A$203,"Y")</f>
        <v>0</v>
      </c>
      <c r="CL223" s="111">
        <f t="shared" si="336"/>
        <v>0</v>
      </c>
      <c r="CM223" s="111">
        <f t="shared" si="336"/>
        <v>0</v>
      </c>
      <c r="CN223" s="111">
        <f t="shared" si="336"/>
        <v>0</v>
      </c>
      <c r="CO223" s="111">
        <f t="shared" si="336"/>
        <v>0</v>
      </c>
      <c r="CP223" s="111">
        <f t="shared" si="336"/>
        <v>0</v>
      </c>
      <c r="CQ223" s="111">
        <f t="shared" si="336"/>
        <v>0</v>
      </c>
      <c r="CR223" s="111">
        <f t="shared" si="336"/>
        <v>0</v>
      </c>
      <c r="CS223" s="111">
        <f t="shared" si="336"/>
        <v>0</v>
      </c>
      <c r="CT223" s="111">
        <f t="shared" si="336"/>
        <v>0</v>
      </c>
      <c r="CU223" s="111">
        <f t="shared" si="336"/>
        <v>0</v>
      </c>
      <c r="CV223" s="111">
        <f t="shared" si="336"/>
        <v>0</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2354823</v>
      </c>
      <c r="S224" s="112">
        <f t="shared" si="337"/>
        <v>53</v>
      </c>
      <c r="T224" s="112">
        <f t="shared" si="337"/>
        <v>3609</v>
      </c>
      <c r="U224" s="112">
        <f t="shared" si="337"/>
        <v>14816</v>
      </c>
      <c r="V224" s="112">
        <f t="shared" si="337"/>
        <v>531072</v>
      </c>
      <c r="W224" s="112">
        <f t="shared" si="337"/>
        <v>378895</v>
      </c>
      <c r="X224" s="112">
        <f t="shared" si="337"/>
        <v>0</v>
      </c>
      <c r="Y224" s="112">
        <f t="shared" si="337"/>
        <v>0</v>
      </c>
      <c r="Z224" s="112">
        <f t="shared" si="337"/>
        <v>0</v>
      </c>
      <c r="AA224" s="112">
        <f t="shared" si="337"/>
        <v>5602316</v>
      </c>
      <c r="AB224" s="112">
        <f t="shared" si="337"/>
        <v>0</v>
      </c>
      <c r="AC224" s="112">
        <f t="shared" si="337"/>
        <v>1568730</v>
      </c>
      <c r="AD224" s="112">
        <f t="shared" si="337"/>
        <v>10454314</v>
      </c>
      <c r="AE224" s="96"/>
      <c r="AF224" s="112">
        <f t="shared" si="337"/>
        <v>2354823</v>
      </c>
      <c r="AG224" s="112">
        <f t="shared" si="337"/>
        <v>2354876</v>
      </c>
      <c r="AH224" s="112">
        <f t="shared" si="332"/>
        <v>2358485</v>
      </c>
      <c r="AI224" s="112">
        <f t="shared" si="332"/>
        <v>2373301</v>
      </c>
      <c r="AJ224" s="112">
        <f t="shared" si="332"/>
        <v>2904373</v>
      </c>
      <c r="AK224" s="112">
        <f t="shared" si="332"/>
        <v>3283268</v>
      </c>
      <c r="AL224" s="112">
        <f t="shared" si="332"/>
        <v>3283268</v>
      </c>
      <c r="AM224" s="112">
        <f t="shared" si="332"/>
        <v>3283268</v>
      </c>
      <c r="AN224" s="112">
        <f t="shared" si="332"/>
        <v>3283268</v>
      </c>
      <c r="AO224" s="112">
        <f t="shared" si="332"/>
        <v>8885584</v>
      </c>
      <c r="AP224" s="112">
        <f t="shared" si="332"/>
        <v>8885584</v>
      </c>
      <c r="AQ224" s="112">
        <f t="shared" si="332"/>
        <v>10454314</v>
      </c>
      <c r="AR224" s="112">
        <f t="shared" si="332"/>
        <v>4039771.25</v>
      </c>
      <c r="AS224" s="96"/>
      <c r="AT224" s="112">
        <f t="shared" ref="AT224:BI229" si="338">SUMIFS(AT$5:AT$203,$E$5:$E$203,$O224,$A$5:$A$203,"Y")</f>
        <v>1545705.8171999999</v>
      </c>
      <c r="AU224" s="112">
        <f t="shared" si="338"/>
        <v>34.789200000000001</v>
      </c>
      <c r="AV224" s="112">
        <f t="shared" si="338"/>
        <v>2368.9476</v>
      </c>
      <c r="AW224" s="112">
        <f t="shared" si="338"/>
        <v>9725.2224000000006</v>
      </c>
      <c r="AX224" s="112">
        <f t="shared" si="338"/>
        <v>348595.66080000001</v>
      </c>
      <c r="AY224" s="112">
        <f t="shared" si="338"/>
        <v>248706.67799999996</v>
      </c>
      <c r="AZ224" s="112">
        <f t="shared" si="338"/>
        <v>0</v>
      </c>
      <c r="BA224" s="112">
        <f t="shared" si="338"/>
        <v>0</v>
      </c>
      <c r="BB224" s="112">
        <f t="shared" si="338"/>
        <v>0</v>
      </c>
      <c r="BC224" s="112">
        <f t="shared" si="338"/>
        <v>3677360.2224000003</v>
      </c>
      <c r="BD224" s="112">
        <f t="shared" si="338"/>
        <v>0</v>
      </c>
      <c r="BE224" s="112">
        <f t="shared" si="338"/>
        <v>1029714.372</v>
      </c>
      <c r="BF224" s="112">
        <f t="shared" si="338"/>
        <v>6862211.7095999997</v>
      </c>
      <c r="BG224" s="96"/>
      <c r="BH224" s="112">
        <f t="shared" si="338"/>
        <v>1545705.8171999999</v>
      </c>
      <c r="BI224" s="112">
        <f t="shared" si="338"/>
        <v>1545740.6063999999</v>
      </c>
      <c r="BJ224" s="112">
        <f t="shared" si="334"/>
        <v>1548109.554</v>
      </c>
      <c r="BK224" s="112">
        <f t="shared" si="334"/>
        <v>1557834.7764000001</v>
      </c>
      <c r="BL224" s="112">
        <f t="shared" si="334"/>
        <v>1906430.4372</v>
      </c>
      <c r="BM224" s="112">
        <f t="shared" si="334"/>
        <v>2155137.1151999999</v>
      </c>
      <c r="BN224" s="112">
        <f t="shared" si="334"/>
        <v>2155137.1151999999</v>
      </c>
      <c r="BO224" s="112">
        <f t="shared" si="334"/>
        <v>2155137.1151999999</v>
      </c>
      <c r="BP224" s="112">
        <f t="shared" si="334"/>
        <v>2155137.1151999999</v>
      </c>
      <c r="BQ224" s="112">
        <f t="shared" si="334"/>
        <v>5832497.3376000002</v>
      </c>
      <c r="BR224" s="112">
        <f t="shared" si="334"/>
        <v>5832497.3376000002</v>
      </c>
      <c r="BS224" s="112">
        <f t="shared" si="334"/>
        <v>6862211.7095999997</v>
      </c>
      <c r="BT224" s="112">
        <f t="shared" si="334"/>
        <v>2651705.8485000003</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0</v>
      </c>
      <c r="S225" s="112">
        <f t="shared" si="337"/>
        <v>0</v>
      </c>
      <c r="T225" s="112">
        <f t="shared" si="337"/>
        <v>0</v>
      </c>
      <c r="U225" s="112">
        <f t="shared" si="337"/>
        <v>0</v>
      </c>
      <c r="V225" s="112">
        <f t="shared" si="337"/>
        <v>0</v>
      </c>
      <c r="W225" s="112">
        <f t="shared" si="337"/>
        <v>0</v>
      </c>
      <c r="X225" s="112">
        <f t="shared" si="337"/>
        <v>0</v>
      </c>
      <c r="Y225" s="112">
        <f t="shared" si="337"/>
        <v>0</v>
      </c>
      <c r="Z225" s="112">
        <f t="shared" si="337"/>
        <v>0</v>
      </c>
      <c r="AA225" s="112">
        <f t="shared" si="337"/>
        <v>0</v>
      </c>
      <c r="AB225" s="112">
        <f t="shared" si="337"/>
        <v>0</v>
      </c>
      <c r="AC225" s="112">
        <f t="shared" si="337"/>
        <v>0</v>
      </c>
      <c r="AD225" s="112">
        <f t="shared" si="337"/>
        <v>0</v>
      </c>
      <c r="AE225" s="96"/>
      <c r="AF225" s="112">
        <f t="shared" si="332"/>
        <v>0</v>
      </c>
      <c r="AG225" s="112">
        <f t="shared" si="332"/>
        <v>0</v>
      </c>
      <c r="AH225" s="112">
        <f t="shared" si="332"/>
        <v>0</v>
      </c>
      <c r="AI225" s="112">
        <f t="shared" si="332"/>
        <v>0</v>
      </c>
      <c r="AJ225" s="112">
        <f t="shared" si="332"/>
        <v>0</v>
      </c>
      <c r="AK225" s="112">
        <f t="shared" si="332"/>
        <v>0</v>
      </c>
      <c r="AL225" s="112">
        <f t="shared" si="332"/>
        <v>0</v>
      </c>
      <c r="AM225" s="112">
        <f t="shared" si="332"/>
        <v>0</v>
      </c>
      <c r="AN225" s="112">
        <f t="shared" si="332"/>
        <v>0</v>
      </c>
      <c r="AO225" s="112">
        <f t="shared" si="332"/>
        <v>0</v>
      </c>
      <c r="AP225" s="112">
        <f t="shared" si="332"/>
        <v>0</v>
      </c>
      <c r="AQ225" s="112">
        <f t="shared" si="332"/>
        <v>0</v>
      </c>
      <c r="AR225" s="112">
        <f t="shared" si="332"/>
        <v>0</v>
      </c>
      <c r="AS225" s="96"/>
      <c r="AT225" s="112">
        <f t="shared" si="338"/>
        <v>0</v>
      </c>
      <c r="AU225" s="112">
        <f t="shared" si="338"/>
        <v>0</v>
      </c>
      <c r="AV225" s="112">
        <f t="shared" si="338"/>
        <v>0</v>
      </c>
      <c r="AW225" s="112">
        <f t="shared" si="338"/>
        <v>0</v>
      </c>
      <c r="AX225" s="112">
        <f t="shared" si="338"/>
        <v>0</v>
      </c>
      <c r="AY225" s="112">
        <f t="shared" si="338"/>
        <v>0</v>
      </c>
      <c r="AZ225" s="112">
        <f t="shared" si="338"/>
        <v>0</v>
      </c>
      <c r="BA225" s="112">
        <f t="shared" si="338"/>
        <v>0</v>
      </c>
      <c r="BB225" s="112">
        <f t="shared" si="338"/>
        <v>0</v>
      </c>
      <c r="BC225" s="112">
        <f t="shared" si="338"/>
        <v>0</v>
      </c>
      <c r="BD225" s="112">
        <f t="shared" si="338"/>
        <v>0</v>
      </c>
      <c r="BE225" s="112">
        <f t="shared" si="338"/>
        <v>0</v>
      </c>
      <c r="BF225" s="112">
        <f t="shared" si="338"/>
        <v>0</v>
      </c>
      <c r="BG225" s="96"/>
      <c r="BH225" s="112">
        <f t="shared" si="334"/>
        <v>0</v>
      </c>
      <c r="BI225" s="112">
        <f t="shared" si="334"/>
        <v>0</v>
      </c>
      <c r="BJ225" s="112">
        <f t="shared" si="334"/>
        <v>0</v>
      </c>
      <c r="BK225" s="112">
        <f t="shared" si="334"/>
        <v>0</v>
      </c>
      <c r="BL225" s="112">
        <f t="shared" si="334"/>
        <v>0</v>
      </c>
      <c r="BM225" s="112">
        <f t="shared" si="334"/>
        <v>0</v>
      </c>
      <c r="BN225" s="112">
        <f t="shared" si="334"/>
        <v>0</v>
      </c>
      <c r="BO225" s="112">
        <f t="shared" si="334"/>
        <v>0</v>
      </c>
      <c r="BP225" s="112">
        <f t="shared" si="334"/>
        <v>0</v>
      </c>
      <c r="BQ225" s="112">
        <f t="shared" si="334"/>
        <v>0</v>
      </c>
      <c r="BR225" s="112">
        <f t="shared" si="334"/>
        <v>0</v>
      </c>
      <c r="BS225" s="112">
        <f t="shared" si="334"/>
        <v>0</v>
      </c>
      <c r="BT225" s="112">
        <f t="shared" si="334"/>
        <v>0</v>
      </c>
      <c r="BU225" s="96"/>
      <c r="BV225" s="112">
        <f t="shared" si="339"/>
        <v>0</v>
      </c>
      <c r="BW225" s="112">
        <f t="shared" si="339"/>
        <v>0</v>
      </c>
      <c r="BX225" s="112">
        <f t="shared" si="339"/>
        <v>0</v>
      </c>
      <c r="BY225" s="112">
        <f t="shared" si="339"/>
        <v>0</v>
      </c>
      <c r="BZ225" s="112">
        <f t="shared" si="339"/>
        <v>0</v>
      </c>
      <c r="CA225" s="112">
        <f t="shared" si="339"/>
        <v>0</v>
      </c>
      <c r="CB225" s="112">
        <f t="shared" si="339"/>
        <v>0</v>
      </c>
      <c r="CC225" s="112">
        <f t="shared" si="339"/>
        <v>0</v>
      </c>
      <c r="CD225" s="112">
        <f t="shared" si="339"/>
        <v>0</v>
      </c>
      <c r="CE225" s="112">
        <f t="shared" si="339"/>
        <v>0</v>
      </c>
      <c r="CF225" s="112">
        <f t="shared" si="339"/>
        <v>0</v>
      </c>
      <c r="CG225" s="112">
        <f t="shared" si="339"/>
        <v>0</v>
      </c>
      <c r="CH225" s="112">
        <f t="shared" si="339"/>
        <v>0</v>
      </c>
      <c r="CI225" s="96"/>
      <c r="CJ225" s="112">
        <f t="shared" si="336"/>
        <v>0</v>
      </c>
      <c r="CK225" s="112">
        <f t="shared" si="336"/>
        <v>0</v>
      </c>
      <c r="CL225" s="112">
        <f t="shared" si="336"/>
        <v>0</v>
      </c>
      <c r="CM225" s="112">
        <f t="shared" si="336"/>
        <v>0</v>
      </c>
      <c r="CN225" s="112">
        <f t="shared" si="336"/>
        <v>0</v>
      </c>
      <c r="CO225" s="112">
        <f t="shared" si="336"/>
        <v>0</v>
      </c>
      <c r="CP225" s="112">
        <f t="shared" si="336"/>
        <v>0</v>
      </c>
      <c r="CQ225" s="112">
        <f t="shared" si="336"/>
        <v>0</v>
      </c>
      <c r="CR225" s="112">
        <f t="shared" si="336"/>
        <v>0</v>
      </c>
      <c r="CS225" s="112">
        <f t="shared" si="336"/>
        <v>0</v>
      </c>
      <c r="CT225" s="112">
        <f t="shared" si="336"/>
        <v>0</v>
      </c>
      <c r="CU225" s="112">
        <f t="shared" si="336"/>
        <v>0</v>
      </c>
      <c r="CV225" s="112">
        <f t="shared" si="336"/>
        <v>0</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3114004</v>
      </c>
      <c r="X226" s="112">
        <f t="shared" si="337"/>
        <v>0</v>
      </c>
      <c r="Y226" s="112">
        <f t="shared" si="337"/>
        <v>0</v>
      </c>
      <c r="Z226" s="112">
        <f t="shared" si="337"/>
        <v>0</v>
      </c>
      <c r="AA226" s="112">
        <f t="shared" si="337"/>
        <v>0</v>
      </c>
      <c r="AB226" s="112">
        <f t="shared" si="337"/>
        <v>0</v>
      </c>
      <c r="AC226" s="112">
        <f t="shared" si="337"/>
        <v>10870135</v>
      </c>
      <c r="AD226" s="112">
        <f t="shared" si="337"/>
        <v>13984139</v>
      </c>
      <c r="AE226" s="96"/>
      <c r="AF226" s="112">
        <f t="shared" si="332"/>
        <v>0</v>
      </c>
      <c r="AG226" s="112">
        <f t="shared" si="332"/>
        <v>0</v>
      </c>
      <c r="AH226" s="112">
        <f t="shared" si="332"/>
        <v>0</v>
      </c>
      <c r="AI226" s="112">
        <f t="shared" si="332"/>
        <v>0</v>
      </c>
      <c r="AJ226" s="112">
        <f t="shared" si="332"/>
        <v>0</v>
      </c>
      <c r="AK226" s="112">
        <f t="shared" si="332"/>
        <v>3114004</v>
      </c>
      <c r="AL226" s="112">
        <f t="shared" si="332"/>
        <v>3114004</v>
      </c>
      <c r="AM226" s="112">
        <f t="shared" si="332"/>
        <v>3114004</v>
      </c>
      <c r="AN226" s="112">
        <f t="shared" si="332"/>
        <v>3114004</v>
      </c>
      <c r="AO226" s="112">
        <f t="shared" si="332"/>
        <v>3114004</v>
      </c>
      <c r="AP226" s="112">
        <f t="shared" si="332"/>
        <v>3114004</v>
      </c>
      <c r="AQ226" s="112">
        <f t="shared" si="332"/>
        <v>13984139</v>
      </c>
      <c r="AR226" s="112">
        <f t="shared" si="332"/>
        <v>2139674.4583333335</v>
      </c>
      <c r="AS226" s="96"/>
      <c r="AT226" s="112">
        <f t="shared" si="338"/>
        <v>0</v>
      </c>
      <c r="AU226" s="112">
        <f t="shared" si="338"/>
        <v>0</v>
      </c>
      <c r="AV226" s="112">
        <f t="shared" si="338"/>
        <v>0</v>
      </c>
      <c r="AW226" s="112">
        <f t="shared" si="338"/>
        <v>0</v>
      </c>
      <c r="AX226" s="112">
        <f t="shared" si="338"/>
        <v>0</v>
      </c>
      <c r="AY226" s="112">
        <f t="shared" si="338"/>
        <v>2044032.2256</v>
      </c>
      <c r="AZ226" s="112">
        <f t="shared" si="338"/>
        <v>0</v>
      </c>
      <c r="BA226" s="112">
        <f t="shared" si="338"/>
        <v>0</v>
      </c>
      <c r="BB226" s="112">
        <f t="shared" si="338"/>
        <v>0</v>
      </c>
      <c r="BC226" s="112">
        <f t="shared" si="338"/>
        <v>0</v>
      </c>
      <c r="BD226" s="112">
        <f t="shared" si="338"/>
        <v>0</v>
      </c>
      <c r="BE226" s="112">
        <f t="shared" si="338"/>
        <v>8084784.5499999998</v>
      </c>
      <c r="BF226" s="112">
        <f t="shared" si="338"/>
        <v>10128816.775599999</v>
      </c>
      <c r="BG226" s="96"/>
      <c r="BH226" s="112">
        <f t="shared" si="334"/>
        <v>0</v>
      </c>
      <c r="BI226" s="112">
        <f t="shared" si="334"/>
        <v>0</v>
      </c>
      <c r="BJ226" s="112">
        <f t="shared" si="334"/>
        <v>0</v>
      </c>
      <c r="BK226" s="112">
        <f t="shared" si="334"/>
        <v>0</v>
      </c>
      <c r="BL226" s="112">
        <f t="shared" si="334"/>
        <v>0</v>
      </c>
      <c r="BM226" s="112">
        <f t="shared" si="334"/>
        <v>2044032.2256</v>
      </c>
      <c r="BN226" s="112">
        <f t="shared" si="334"/>
        <v>2044032.2256</v>
      </c>
      <c r="BO226" s="112">
        <f t="shared" si="334"/>
        <v>2044032.2256</v>
      </c>
      <c r="BP226" s="112">
        <f t="shared" si="334"/>
        <v>2044032.2256</v>
      </c>
      <c r="BQ226" s="112">
        <f t="shared" si="334"/>
        <v>2044032.2256</v>
      </c>
      <c r="BR226" s="112">
        <f t="shared" si="334"/>
        <v>2044032.2256</v>
      </c>
      <c r="BS226" s="112">
        <f t="shared" si="334"/>
        <v>10128816.775599999</v>
      </c>
      <c r="BT226" s="112">
        <f t="shared" si="334"/>
        <v>1444050.1451166668</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0</v>
      </c>
      <c r="S227" s="112">
        <f t="shared" si="337"/>
        <v>0</v>
      </c>
      <c r="T227" s="112">
        <f t="shared" si="337"/>
        <v>0</v>
      </c>
      <c r="U227" s="112">
        <f t="shared" si="337"/>
        <v>0</v>
      </c>
      <c r="V227" s="112">
        <f t="shared" si="337"/>
        <v>0</v>
      </c>
      <c r="W227" s="112">
        <f t="shared" si="337"/>
        <v>0</v>
      </c>
      <c r="X227" s="112">
        <f t="shared" si="337"/>
        <v>0</v>
      </c>
      <c r="Y227" s="112">
        <f t="shared" si="337"/>
        <v>0</v>
      </c>
      <c r="Z227" s="112">
        <f t="shared" si="337"/>
        <v>0</v>
      </c>
      <c r="AA227" s="112">
        <f t="shared" si="337"/>
        <v>0</v>
      </c>
      <c r="AB227" s="112">
        <f t="shared" si="337"/>
        <v>0</v>
      </c>
      <c r="AC227" s="112">
        <f t="shared" si="337"/>
        <v>0</v>
      </c>
      <c r="AD227" s="112">
        <f t="shared" si="337"/>
        <v>0</v>
      </c>
      <c r="AE227" s="96"/>
      <c r="AF227" s="112">
        <f t="shared" si="332"/>
        <v>0</v>
      </c>
      <c r="AG227" s="112">
        <f t="shared" si="332"/>
        <v>0</v>
      </c>
      <c r="AH227" s="112">
        <f t="shared" si="332"/>
        <v>0</v>
      </c>
      <c r="AI227" s="112">
        <f t="shared" si="332"/>
        <v>0</v>
      </c>
      <c r="AJ227" s="112">
        <f t="shared" si="332"/>
        <v>0</v>
      </c>
      <c r="AK227" s="112">
        <f t="shared" si="332"/>
        <v>0</v>
      </c>
      <c r="AL227" s="112">
        <f t="shared" si="332"/>
        <v>0</v>
      </c>
      <c r="AM227" s="112">
        <f t="shared" si="332"/>
        <v>0</v>
      </c>
      <c r="AN227" s="112">
        <f t="shared" si="332"/>
        <v>0</v>
      </c>
      <c r="AO227" s="112">
        <f t="shared" si="332"/>
        <v>0</v>
      </c>
      <c r="AP227" s="112">
        <f t="shared" si="332"/>
        <v>0</v>
      </c>
      <c r="AQ227" s="112">
        <f t="shared" si="332"/>
        <v>0</v>
      </c>
      <c r="AR227" s="112">
        <f t="shared" si="332"/>
        <v>0</v>
      </c>
      <c r="AS227" s="96"/>
      <c r="AT227" s="112">
        <f t="shared" si="338"/>
        <v>0</v>
      </c>
      <c r="AU227" s="112">
        <f t="shared" si="338"/>
        <v>0</v>
      </c>
      <c r="AV227" s="112">
        <f t="shared" si="338"/>
        <v>0</v>
      </c>
      <c r="AW227" s="112">
        <f t="shared" si="338"/>
        <v>0</v>
      </c>
      <c r="AX227" s="112">
        <f t="shared" si="338"/>
        <v>0</v>
      </c>
      <c r="AY227" s="112">
        <f t="shared" si="338"/>
        <v>0</v>
      </c>
      <c r="AZ227" s="112">
        <f t="shared" si="338"/>
        <v>0</v>
      </c>
      <c r="BA227" s="112">
        <f t="shared" si="338"/>
        <v>0</v>
      </c>
      <c r="BB227" s="112">
        <f t="shared" si="338"/>
        <v>0</v>
      </c>
      <c r="BC227" s="112">
        <f t="shared" si="338"/>
        <v>0</v>
      </c>
      <c r="BD227" s="112">
        <f t="shared" si="338"/>
        <v>0</v>
      </c>
      <c r="BE227" s="112">
        <f t="shared" si="338"/>
        <v>0</v>
      </c>
      <c r="BF227" s="112">
        <f t="shared" si="338"/>
        <v>0</v>
      </c>
      <c r="BG227" s="96"/>
      <c r="BH227" s="112">
        <f t="shared" si="334"/>
        <v>0</v>
      </c>
      <c r="BI227" s="112">
        <f t="shared" si="334"/>
        <v>0</v>
      </c>
      <c r="BJ227" s="112">
        <f t="shared" si="334"/>
        <v>0</v>
      </c>
      <c r="BK227" s="112">
        <f t="shared" si="334"/>
        <v>0</v>
      </c>
      <c r="BL227" s="112">
        <f t="shared" si="334"/>
        <v>0</v>
      </c>
      <c r="BM227" s="112">
        <f t="shared" si="334"/>
        <v>0</v>
      </c>
      <c r="BN227" s="112">
        <f t="shared" si="334"/>
        <v>0</v>
      </c>
      <c r="BO227" s="112">
        <f t="shared" si="334"/>
        <v>0</v>
      </c>
      <c r="BP227" s="112">
        <f t="shared" si="334"/>
        <v>0</v>
      </c>
      <c r="BQ227" s="112">
        <f t="shared" si="334"/>
        <v>0</v>
      </c>
      <c r="BR227" s="112">
        <f t="shared" si="334"/>
        <v>0</v>
      </c>
      <c r="BS227" s="112">
        <f t="shared" si="334"/>
        <v>0</v>
      </c>
      <c r="BT227" s="112">
        <f t="shared" si="334"/>
        <v>0</v>
      </c>
      <c r="BU227" s="96"/>
      <c r="BV227" s="112">
        <f t="shared" si="339"/>
        <v>0</v>
      </c>
      <c r="BW227" s="112">
        <f t="shared" si="339"/>
        <v>0</v>
      </c>
      <c r="BX227" s="112">
        <f t="shared" si="339"/>
        <v>0</v>
      </c>
      <c r="BY227" s="112">
        <f t="shared" si="339"/>
        <v>0</v>
      </c>
      <c r="BZ227" s="112">
        <f t="shared" si="339"/>
        <v>0</v>
      </c>
      <c r="CA227" s="112">
        <f t="shared" si="339"/>
        <v>0</v>
      </c>
      <c r="CB227" s="112">
        <f t="shared" si="339"/>
        <v>0</v>
      </c>
      <c r="CC227" s="112">
        <f t="shared" si="339"/>
        <v>0</v>
      </c>
      <c r="CD227" s="112">
        <f t="shared" si="339"/>
        <v>0</v>
      </c>
      <c r="CE227" s="112">
        <f t="shared" si="339"/>
        <v>0</v>
      </c>
      <c r="CF227" s="112">
        <f t="shared" si="339"/>
        <v>0</v>
      </c>
      <c r="CG227" s="112">
        <f t="shared" si="339"/>
        <v>0</v>
      </c>
      <c r="CH227" s="112">
        <f t="shared" si="339"/>
        <v>0</v>
      </c>
      <c r="CI227" s="96"/>
      <c r="CJ227" s="112">
        <f t="shared" si="336"/>
        <v>0</v>
      </c>
      <c r="CK227" s="112">
        <f t="shared" si="336"/>
        <v>0</v>
      </c>
      <c r="CL227" s="112">
        <f t="shared" si="336"/>
        <v>0</v>
      </c>
      <c r="CM227" s="112">
        <f t="shared" si="336"/>
        <v>0</v>
      </c>
      <c r="CN227" s="112">
        <f t="shared" si="336"/>
        <v>0</v>
      </c>
      <c r="CO227" s="112">
        <f t="shared" si="336"/>
        <v>0</v>
      </c>
      <c r="CP227" s="112">
        <f t="shared" si="336"/>
        <v>0</v>
      </c>
      <c r="CQ227" s="112">
        <f t="shared" si="336"/>
        <v>0</v>
      </c>
      <c r="CR227" s="112">
        <f t="shared" si="336"/>
        <v>0</v>
      </c>
      <c r="CS227" s="112">
        <f t="shared" si="336"/>
        <v>0</v>
      </c>
      <c r="CT227" s="112">
        <f t="shared" si="336"/>
        <v>0</v>
      </c>
      <c r="CU227" s="112">
        <f t="shared" si="336"/>
        <v>0</v>
      </c>
      <c r="CV227" s="112">
        <f t="shared" si="336"/>
        <v>0</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840826</v>
      </c>
      <c r="S229" s="112">
        <f t="shared" si="337"/>
        <v>1058117</v>
      </c>
      <c r="T229" s="112">
        <f t="shared" si="337"/>
        <v>812813</v>
      </c>
      <c r="U229" s="112">
        <f t="shared" si="337"/>
        <v>902909</v>
      </c>
      <c r="V229" s="112">
        <f t="shared" si="337"/>
        <v>742486</v>
      </c>
      <c r="W229" s="112">
        <f t="shared" si="337"/>
        <v>5335925</v>
      </c>
      <c r="X229" s="112">
        <f t="shared" si="337"/>
        <v>398582</v>
      </c>
      <c r="Y229" s="112">
        <f t="shared" si="337"/>
        <v>1125861</v>
      </c>
      <c r="Z229" s="112">
        <f t="shared" si="337"/>
        <v>393495</v>
      </c>
      <c r="AA229" s="112">
        <f t="shared" si="337"/>
        <v>628915</v>
      </c>
      <c r="AB229" s="112">
        <f t="shared" si="337"/>
        <v>373496</v>
      </c>
      <c r="AC229" s="112">
        <f t="shared" si="337"/>
        <v>1901452</v>
      </c>
      <c r="AD229" s="112">
        <f t="shared" si="337"/>
        <v>14514877</v>
      </c>
      <c r="AE229" s="96"/>
      <c r="AF229" s="112">
        <f t="shared" si="332"/>
        <v>840826</v>
      </c>
      <c r="AG229" s="112">
        <f t="shared" si="332"/>
        <v>1898943</v>
      </c>
      <c r="AH229" s="112">
        <f t="shared" si="332"/>
        <v>2711756</v>
      </c>
      <c r="AI229" s="112">
        <f t="shared" si="332"/>
        <v>3614665</v>
      </c>
      <c r="AJ229" s="112">
        <f t="shared" si="332"/>
        <v>4357151</v>
      </c>
      <c r="AK229" s="112">
        <f t="shared" si="332"/>
        <v>9693076</v>
      </c>
      <c r="AL229" s="112">
        <f t="shared" si="332"/>
        <v>10091658</v>
      </c>
      <c r="AM229" s="112">
        <f t="shared" si="332"/>
        <v>11217519</v>
      </c>
      <c r="AN229" s="112">
        <f t="shared" si="332"/>
        <v>11611014</v>
      </c>
      <c r="AO229" s="112">
        <f t="shared" si="332"/>
        <v>12239929</v>
      </c>
      <c r="AP229" s="112">
        <f t="shared" si="332"/>
        <v>12613425</v>
      </c>
      <c r="AQ229" s="112">
        <f t="shared" si="332"/>
        <v>14514877</v>
      </c>
      <c r="AR229" s="112">
        <f t="shared" si="332"/>
        <v>7345616.708333334</v>
      </c>
      <c r="AS229" s="96"/>
      <c r="AT229" s="112">
        <f t="shared" si="338"/>
        <v>401704.05542790238</v>
      </c>
      <c r="AU229" s="112">
        <f t="shared" si="338"/>
        <v>509249.38777426258</v>
      </c>
      <c r="AV229" s="112">
        <f t="shared" si="338"/>
        <v>287893.51025065198</v>
      </c>
      <c r="AW229" s="112">
        <f t="shared" si="338"/>
        <v>282477.0890724624</v>
      </c>
      <c r="AX229" s="112">
        <f t="shared" si="338"/>
        <v>259983.38563874277</v>
      </c>
      <c r="AY229" s="112">
        <f t="shared" si="338"/>
        <v>87171.9172243668</v>
      </c>
      <c r="AZ229" s="112">
        <f t="shared" si="338"/>
        <v>107868.0374254746</v>
      </c>
      <c r="BA229" s="112">
        <f t="shared" si="338"/>
        <v>459210.2937626628</v>
      </c>
      <c r="BB229" s="112">
        <f t="shared" si="338"/>
        <v>105409.58510868839</v>
      </c>
      <c r="BC229" s="112">
        <f t="shared" si="338"/>
        <v>219139.93710759599</v>
      </c>
      <c r="BD229" s="112">
        <f t="shared" si="338"/>
        <v>95749.205666995782</v>
      </c>
      <c r="BE229" s="112">
        <f t="shared" si="338"/>
        <v>833891.18045478477</v>
      </c>
      <c r="BF229" s="112">
        <f t="shared" si="338"/>
        <v>3649747.5849145912</v>
      </c>
      <c r="BG229" s="96"/>
      <c r="BH229" s="112">
        <f t="shared" si="334"/>
        <v>401704.05542790238</v>
      </c>
      <c r="BI229" s="112">
        <f t="shared" si="334"/>
        <v>910953.44320216484</v>
      </c>
      <c r="BJ229" s="112">
        <f t="shared" si="334"/>
        <v>1198846.9534528167</v>
      </c>
      <c r="BK229" s="112">
        <f t="shared" si="334"/>
        <v>1481324.0425252793</v>
      </c>
      <c r="BL229" s="112">
        <f t="shared" si="334"/>
        <v>1741307.428164022</v>
      </c>
      <c r="BM229" s="112">
        <f t="shared" si="334"/>
        <v>1828479.3453883887</v>
      </c>
      <c r="BN229" s="112">
        <f t="shared" si="334"/>
        <v>1936347.3828138635</v>
      </c>
      <c r="BO229" s="112">
        <f t="shared" si="334"/>
        <v>2395557.6765765264</v>
      </c>
      <c r="BP229" s="112">
        <f t="shared" si="334"/>
        <v>2500967.2616852149</v>
      </c>
      <c r="BQ229" s="112">
        <f t="shared" si="334"/>
        <v>2720107.1987928106</v>
      </c>
      <c r="BR229" s="112">
        <f t="shared" si="334"/>
        <v>2815856.4044598071</v>
      </c>
      <c r="BS229" s="112">
        <f t="shared" si="334"/>
        <v>3649747.5849145912</v>
      </c>
      <c r="BT229" s="112">
        <f t="shared" si="334"/>
        <v>1813027.082078841</v>
      </c>
      <c r="BU229" s="96"/>
      <c r="BV229" s="112">
        <f t="shared" si="339"/>
        <v>132515.66989557282</v>
      </c>
      <c r="BW229" s="112">
        <f t="shared" si="339"/>
        <v>162523.37207968222</v>
      </c>
      <c r="BX229" s="112">
        <f t="shared" si="339"/>
        <v>239286.14782744399</v>
      </c>
      <c r="BY229" s="112">
        <f t="shared" si="339"/>
        <v>307164.86969389278</v>
      </c>
      <c r="BZ229" s="112">
        <f t="shared" si="339"/>
        <v>221906.86172343162</v>
      </c>
      <c r="CA229" s="112">
        <f t="shared" si="339"/>
        <v>5108362.3846293595</v>
      </c>
      <c r="CB229" s="112">
        <f t="shared" si="339"/>
        <v>154240.3926374462</v>
      </c>
      <c r="CC229" s="112">
        <f t="shared" si="339"/>
        <v>264487.67267567164</v>
      </c>
      <c r="CD229" s="112">
        <f t="shared" si="339"/>
        <v>153470.3313299148</v>
      </c>
      <c r="CE229" s="112">
        <f t="shared" si="339"/>
        <v>189156.27327341202</v>
      </c>
      <c r="CF229" s="112">
        <f t="shared" si="339"/>
        <v>150437.6384440226</v>
      </c>
      <c r="CG229" s="112">
        <f t="shared" si="339"/>
        <v>382059.04132520559</v>
      </c>
      <c r="CH229" s="112">
        <f t="shared" si="339"/>
        <v>7465610.6555350563</v>
      </c>
      <c r="CI229" s="96"/>
      <c r="CJ229" s="112">
        <f t="shared" si="336"/>
        <v>132515.66989557282</v>
      </c>
      <c r="CK229" s="112">
        <f t="shared" si="336"/>
        <v>295039.04197525507</v>
      </c>
      <c r="CL229" s="112">
        <f t="shared" si="336"/>
        <v>534325.18980269902</v>
      </c>
      <c r="CM229" s="112">
        <f t="shared" si="336"/>
        <v>841490.0594965918</v>
      </c>
      <c r="CN229" s="112">
        <f t="shared" si="336"/>
        <v>1063396.9212200234</v>
      </c>
      <c r="CO229" s="112">
        <f t="shared" si="336"/>
        <v>6171759.3058493836</v>
      </c>
      <c r="CP229" s="112">
        <f t="shared" si="336"/>
        <v>6325999.6984868292</v>
      </c>
      <c r="CQ229" s="112">
        <f t="shared" si="336"/>
        <v>6590487.3711625002</v>
      </c>
      <c r="CR229" s="112">
        <f t="shared" si="336"/>
        <v>6743957.702492415</v>
      </c>
      <c r="CS229" s="112">
        <f t="shared" si="336"/>
        <v>6933113.975765828</v>
      </c>
      <c r="CT229" s="112">
        <f t="shared" si="336"/>
        <v>7083551.6142098503</v>
      </c>
      <c r="CU229" s="112">
        <f t="shared" si="336"/>
        <v>7465610.6555350563</v>
      </c>
      <c r="CV229" s="112">
        <f t="shared" si="336"/>
        <v>3870703.4898437061</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3195649</v>
      </c>
      <c r="S230" s="111">
        <f t="shared" ref="S230:AD230" si="340">SUM(S223:S229)</f>
        <v>1058170</v>
      </c>
      <c r="T230" s="111">
        <f t="shared" si="340"/>
        <v>4741103</v>
      </c>
      <c r="U230" s="111">
        <f t="shared" si="340"/>
        <v>956121</v>
      </c>
      <c r="V230" s="111">
        <f t="shared" si="340"/>
        <v>1348456</v>
      </c>
      <c r="W230" s="111">
        <f t="shared" si="340"/>
        <v>8834353</v>
      </c>
      <c r="X230" s="111">
        <f t="shared" si="340"/>
        <v>415131</v>
      </c>
      <c r="Y230" s="111">
        <f t="shared" si="340"/>
        <v>1137494</v>
      </c>
      <c r="Z230" s="111">
        <f t="shared" si="340"/>
        <v>405128</v>
      </c>
      <c r="AA230" s="111">
        <f t="shared" si="340"/>
        <v>6231231</v>
      </c>
      <c r="AB230" s="111">
        <f t="shared" si="340"/>
        <v>373496</v>
      </c>
      <c r="AC230" s="111">
        <f t="shared" si="340"/>
        <v>15740317</v>
      </c>
      <c r="AD230" s="111">
        <f t="shared" si="340"/>
        <v>44436649</v>
      </c>
      <c r="AE230" s="96"/>
      <c r="AF230" s="111">
        <f>SUM(AF223:AF229)</f>
        <v>3195649</v>
      </c>
      <c r="AG230" s="111">
        <f t="shared" ref="AG230" si="341">SUM(AG223:AG229)</f>
        <v>4253819</v>
      </c>
      <c r="AH230" s="111">
        <f t="shared" ref="AH230" si="342">SUM(AH223:AH229)</f>
        <v>8994922</v>
      </c>
      <c r="AI230" s="111">
        <f t="shared" ref="AI230" si="343">SUM(AI223:AI229)</f>
        <v>9951043</v>
      </c>
      <c r="AJ230" s="111">
        <f t="shared" ref="AJ230" si="344">SUM(AJ223:AJ229)</f>
        <v>11299499</v>
      </c>
      <c r="AK230" s="111">
        <f t="shared" ref="AK230" si="345">SUM(AK223:AK229)</f>
        <v>20133852</v>
      </c>
      <c r="AL230" s="111">
        <f t="shared" ref="AL230" si="346">SUM(AL223:AL229)</f>
        <v>20548983</v>
      </c>
      <c r="AM230" s="111">
        <f t="shared" ref="AM230" si="347">SUM(AM223:AM229)</f>
        <v>21686477</v>
      </c>
      <c r="AN230" s="111">
        <f t="shared" ref="AN230" si="348">SUM(AN223:AN229)</f>
        <v>22091605</v>
      </c>
      <c r="AO230" s="111">
        <f t="shared" ref="AO230" si="349">SUM(AO223:AO229)</f>
        <v>28322836</v>
      </c>
      <c r="AP230" s="111">
        <f t="shared" ref="AP230" si="350">SUM(AP223:AP229)</f>
        <v>28696332</v>
      </c>
      <c r="AQ230" s="111">
        <f t="shared" ref="AQ230" si="351">SUM(AQ223:AQ229)</f>
        <v>44436649</v>
      </c>
      <c r="AR230" s="111">
        <f t="shared" ref="AR230" si="352">SUM(AR223:AR229)</f>
        <v>16782778.458333336</v>
      </c>
      <c r="AS230" s="96"/>
      <c r="AT230" s="111">
        <f>SUM(AT223:AT229)</f>
        <v>1947409.8726279023</v>
      </c>
      <c r="AU230" s="111">
        <f t="shared" ref="AU230" si="353">SUM(AU223:AU229)</f>
        <v>509284.17697426258</v>
      </c>
      <c r="AV230" s="111">
        <f t="shared" ref="AV230" si="354">SUM(AV223:AV229)</f>
        <v>2866423.0662506521</v>
      </c>
      <c r="AW230" s="111">
        <f t="shared" ref="AW230" si="355">SUM(AW223:AW229)</f>
        <v>317405.44587246241</v>
      </c>
      <c r="AX230" s="111">
        <f t="shared" ref="AX230" si="356">SUM(AX223:AX229)</f>
        <v>657742.09363874281</v>
      </c>
      <c r="AY230" s="111">
        <f t="shared" ref="AY230" si="357">SUM(AY223:AY229)</f>
        <v>2383540.0564243668</v>
      </c>
      <c r="AZ230" s="111">
        <f t="shared" ref="AZ230" si="358">SUM(AZ223:AZ229)</f>
        <v>118730.8010254746</v>
      </c>
      <c r="BA230" s="111">
        <f t="shared" ref="BA230" si="359">SUM(BA223:BA229)</f>
        <v>466846.19496266282</v>
      </c>
      <c r="BB230" s="111">
        <f t="shared" ref="BB230" si="360">SUM(BB223:BB229)</f>
        <v>113045.48630868839</v>
      </c>
      <c r="BC230" s="111">
        <f t="shared" ref="BC230" si="361">SUM(BC223:BC229)</f>
        <v>3896500.1595075964</v>
      </c>
      <c r="BD230" s="111">
        <f t="shared" ref="BD230" si="362">SUM(BD223:BD229)</f>
        <v>95749.205666995782</v>
      </c>
      <c r="BE230" s="111">
        <f t="shared" ref="BE230" si="363">SUM(BE223:BE229)</f>
        <v>10867350.102454785</v>
      </c>
      <c r="BF230" s="111">
        <f t="shared" ref="BF230" si="364">SUM(BF223:BF229)</f>
        <v>24240026.661714587</v>
      </c>
      <c r="BG230" s="96"/>
      <c r="BH230" s="111">
        <f>SUM(BH223:BH229)</f>
        <v>1947409.8726279023</v>
      </c>
      <c r="BI230" s="111">
        <f t="shared" ref="BI230" si="365">SUM(BI223:BI229)</f>
        <v>2456694.0496021649</v>
      </c>
      <c r="BJ230" s="111">
        <f t="shared" ref="BJ230" si="366">SUM(BJ223:BJ229)</f>
        <v>5323117.115852816</v>
      </c>
      <c r="BK230" s="111">
        <f t="shared" ref="BK230" si="367">SUM(BK223:BK229)</f>
        <v>5640522.5617252793</v>
      </c>
      <c r="BL230" s="111">
        <f t="shared" ref="BL230" si="368">SUM(BL223:BL229)</f>
        <v>6298264.6553640217</v>
      </c>
      <c r="BM230" s="111">
        <f t="shared" ref="BM230" si="369">SUM(BM223:BM229)</f>
        <v>8681804.711788388</v>
      </c>
      <c r="BN230" s="111">
        <f t="shared" ref="BN230" si="370">SUM(BN223:BN229)</f>
        <v>8800535.5128138624</v>
      </c>
      <c r="BO230" s="111">
        <f t="shared" ref="BO230" si="371">SUM(BO223:BO229)</f>
        <v>9267381.707776526</v>
      </c>
      <c r="BP230" s="111">
        <f t="shared" ref="BP230" si="372">SUM(BP223:BP229)</f>
        <v>9380427.1940852143</v>
      </c>
      <c r="BQ230" s="111">
        <f t="shared" ref="BQ230" si="373">SUM(BQ223:BQ229)</f>
        <v>13276927.353592813</v>
      </c>
      <c r="BR230" s="111">
        <f t="shared" ref="BR230" si="374">SUM(BR223:BR229)</f>
        <v>13372676.55925981</v>
      </c>
      <c r="BS230" s="111">
        <f t="shared" ref="BS230" si="375">SUM(BS223:BS229)</f>
        <v>24240026.661714587</v>
      </c>
      <c r="BT230" s="111">
        <f t="shared" ref="BT230" si="376">SUM(BT223:BT229)</f>
        <v>8047147.8854455072</v>
      </c>
      <c r="BU230" s="96"/>
      <c r="BV230" s="111">
        <f>SUM(BV223:BV229)</f>
        <v>132515.66989557282</v>
      </c>
      <c r="BW230" s="111">
        <f t="shared" ref="BW230" si="377">SUM(BW223:BW229)</f>
        <v>162523.37207968222</v>
      </c>
      <c r="BX230" s="111">
        <f t="shared" ref="BX230" si="378">SUM(BX223:BX229)</f>
        <v>239286.14782744399</v>
      </c>
      <c r="BY230" s="111">
        <f t="shared" ref="BY230" si="379">SUM(BY223:BY229)</f>
        <v>307164.86969389278</v>
      </c>
      <c r="BZ230" s="111">
        <f t="shared" ref="BZ230" si="380">SUM(BZ223:BZ229)</f>
        <v>221906.86172343162</v>
      </c>
      <c r="CA230" s="111">
        <f t="shared" ref="CA230" si="381">SUM(CA223:CA229)</f>
        <v>5108362.3846293595</v>
      </c>
      <c r="CB230" s="111">
        <f t="shared" ref="CB230" si="382">SUM(CB223:CB229)</f>
        <v>154240.3926374462</v>
      </c>
      <c r="CC230" s="111">
        <f t="shared" ref="CC230" si="383">SUM(CC223:CC229)</f>
        <v>264487.67267567164</v>
      </c>
      <c r="CD230" s="111">
        <f t="shared" ref="CD230" si="384">SUM(CD223:CD229)</f>
        <v>153470.3313299148</v>
      </c>
      <c r="CE230" s="111">
        <f t="shared" ref="CE230" si="385">SUM(CE223:CE229)</f>
        <v>189156.27327341202</v>
      </c>
      <c r="CF230" s="111">
        <f t="shared" ref="CF230" si="386">SUM(CF223:CF229)</f>
        <v>150437.6384440226</v>
      </c>
      <c r="CG230" s="111">
        <f t="shared" ref="CG230" si="387">SUM(CG223:CG229)</f>
        <v>382059.04132520559</v>
      </c>
      <c r="CH230" s="111">
        <f t="shared" ref="CH230" si="388">SUM(CH223:CH229)</f>
        <v>7465610.6555350563</v>
      </c>
      <c r="CI230" s="96"/>
      <c r="CJ230" s="111">
        <f>SUM(CJ223:CJ229)</f>
        <v>132515.66989557282</v>
      </c>
      <c r="CK230" s="111">
        <f t="shared" ref="CK230" si="389">SUM(CK223:CK229)</f>
        <v>295039.04197525507</v>
      </c>
      <c r="CL230" s="111">
        <f t="shared" ref="CL230" si="390">SUM(CL223:CL229)</f>
        <v>534325.18980269902</v>
      </c>
      <c r="CM230" s="111">
        <f t="shared" ref="CM230" si="391">SUM(CM223:CM229)</f>
        <v>841490.0594965918</v>
      </c>
      <c r="CN230" s="111">
        <f t="shared" ref="CN230" si="392">SUM(CN223:CN229)</f>
        <v>1063396.9212200234</v>
      </c>
      <c r="CO230" s="111">
        <f t="shared" ref="CO230" si="393">SUM(CO223:CO229)</f>
        <v>6171759.3058493836</v>
      </c>
      <c r="CP230" s="111">
        <f t="shared" ref="CP230" si="394">SUM(CP223:CP229)</f>
        <v>6325999.6984868292</v>
      </c>
      <c r="CQ230" s="111">
        <f t="shared" ref="CQ230" si="395">SUM(CQ223:CQ229)</f>
        <v>6590487.3711625002</v>
      </c>
      <c r="CR230" s="111">
        <f t="shared" ref="CR230" si="396">SUM(CR223:CR229)</f>
        <v>6743957.702492415</v>
      </c>
      <c r="CS230" s="111">
        <f t="shared" ref="CS230" si="397">SUM(CS223:CS229)</f>
        <v>6933113.975765828</v>
      </c>
      <c r="CT230" s="111">
        <f t="shared" ref="CT230" si="398">SUM(CT223:CT229)</f>
        <v>7083551.6142098503</v>
      </c>
      <c r="CU230" s="111">
        <f t="shared" ref="CU230" si="399">SUM(CU223:CU229)</f>
        <v>7465610.6555350563</v>
      </c>
      <c r="CV230" s="111">
        <f t="shared" ref="CV230" si="400">SUM(CV223:CV229)</f>
        <v>3870703.4898437061</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846</v>
      </c>
      <c r="G235" s="106"/>
      <c r="H235" s="105"/>
      <c r="I235" s="105"/>
      <c r="J235" s="105"/>
      <c r="K235" s="105"/>
      <c r="L235" s="105"/>
      <c r="M235" s="105"/>
      <c r="N235" s="104"/>
      <c r="O235" s="115" t="s">
        <v>846</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0</v>
      </c>
      <c r="S236" s="111">
        <f t="shared" ref="S236:AD236" si="407">SUMIFS(S$5:S$203,$D$5:$D$203,$O236,$A$5:$A$203,"Y")</f>
        <v>0</v>
      </c>
      <c r="T236" s="111">
        <f t="shared" si="407"/>
        <v>0</v>
      </c>
      <c r="U236" s="111">
        <f t="shared" si="407"/>
        <v>0</v>
      </c>
      <c r="V236" s="111">
        <f t="shared" si="407"/>
        <v>0</v>
      </c>
      <c r="W236" s="111">
        <f t="shared" si="407"/>
        <v>0</v>
      </c>
      <c r="X236" s="111">
        <f t="shared" si="407"/>
        <v>0</v>
      </c>
      <c r="Y236" s="111">
        <f t="shared" si="407"/>
        <v>0</v>
      </c>
      <c r="Z236" s="111">
        <f t="shared" si="407"/>
        <v>0</v>
      </c>
      <c r="AA236" s="111">
        <f t="shared" si="407"/>
        <v>0</v>
      </c>
      <c r="AB236" s="111">
        <f t="shared" si="407"/>
        <v>0</v>
      </c>
      <c r="AC236" s="111">
        <f t="shared" si="407"/>
        <v>0</v>
      </c>
      <c r="AD236" s="111">
        <f t="shared" si="407"/>
        <v>0</v>
      </c>
      <c r="AE236" s="111"/>
      <c r="AF236" s="111">
        <f>SUMIFS(AF$5:AF$203,$D$5:$D$203,$O236,$A$5:$A$203,"Y")</f>
        <v>0</v>
      </c>
      <c r="AG236" s="111">
        <f t="shared" ref="AF236:AR240" si="408">SUMIFS(AG$5:AG$203,$D$5:$D$203,$O236,$A$5:$A$203,"Y")</f>
        <v>0</v>
      </c>
      <c r="AH236" s="111">
        <f t="shared" si="408"/>
        <v>0</v>
      </c>
      <c r="AI236" s="111">
        <f t="shared" si="408"/>
        <v>0</v>
      </c>
      <c r="AJ236" s="111">
        <f t="shared" si="408"/>
        <v>0</v>
      </c>
      <c r="AK236" s="111">
        <f t="shared" si="408"/>
        <v>0</v>
      </c>
      <c r="AL236" s="111">
        <f t="shared" si="408"/>
        <v>0</v>
      </c>
      <c r="AM236" s="111">
        <f t="shared" si="408"/>
        <v>0</v>
      </c>
      <c r="AN236" s="111">
        <f t="shared" si="408"/>
        <v>0</v>
      </c>
      <c r="AO236" s="111">
        <f t="shared" si="408"/>
        <v>0</v>
      </c>
      <c r="AP236" s="111">
        <f t="shared" si="408"/>
        <v>0</v>
      </c>
      <c r="AQ236" s="111">
        <f t="shared" si="408"/>
        <v>0</v>
      </c>
      <c r="AR236" s="111">
        <f t="shared" si="408"/>
        <v>0</v>
      </c>
      <c r="AS236" s="111"/>
      <c r="AT236" s="111">
        <f>SUMIFS(AT$5:AT$203,$D$5:$D$203,$O236,$A$5:$A$203,"Y")</f>
        <v>0</v>
      </c>
      <c r="AU236" s="111">
        <f t="shared" ref="AU236:BF236" si="409">SUMIFS(AU$5:AU$203,$D$5:$D$203,$O236,$A$5:$A$203,"Y")</f>
        <v>0</v>
      </c>
      <c r="AV236" s="111">
        <f t="shared" si="409"/>
        <v>0</v>
      </c>
      <c r="AW236" s="111">
        <f t="shared" si="409"/>
        <v>0</v>
      </c>
      <c r="AX236" s="111">
        <f t="shared" si="409"/>
        <v>0</v>
      </c>
      <c r="AY236" s="111">
        <f t="shared" si="409"/>
        <v>0</v>
      </c>
      <c r="AZ236" s="111">
        <f t="shared" si="409"/>
        <v>0</v>
      </c>
      <c r="BA236" s="111">
        <f t="shared" si="409"/>
        <v>0</v>
      </c>
      <c r="BB236" s="111">
        <f t="shared" si="409"/>
        <v>0</v>
      </c>
      <c r="BC236" s="111">
        <f t="shared" si="409"/>
        <v>0</v>
      </c>
      <c r="BD236" s="111">
        <f t="shared" si="409"/>
        <v>0</v>
      </c>
      <c r="BE236" s="111">
        <f t="shared" si="409"/>
        <v>0</v>
      </c>
      <c r="BF236" s="111">
        <f t="shared" si="409"/>
        <v>0</v>
      </c>
      <c r="BG236" s="111"/>
      <c r="BH236" s="111">
        <f>SUMIFS(BH$5:BH$203,$D$5:$D$203,$O236,$A$5:$A$203,"Y")</f>
        <v>0</v>
      </c>
      <c r="BI236" s="111">
        <f t="shared" ref="BH236:BT240" si="410">SUMIFS(BI$5:BI$203,$D$5:$D$203,$O236,$A$5:$A$203,"Y")</f>
        <v>0</v>
      </c>
      <c r="BJ236" s="111">
        <f t="shared" si="410"/>
        <v>0</v>
      </c>
      <c r="BK236" s="111">
        <f t="shared" si="410"/>
        <v>0</v>
      </c>
      <c r="BL236" s="111">
        <f t="shared" si="410"/>
        <v>0</v>
      </c>
      <c r="BM236" s="111">
        <f t="shared" si="410"/>
        <v>0</v>
      </c>
      <c r="BN236" s="111">
        <f t="shared" si="410"/>
        <v>0</v>
      </c>
      <c r="BO236" s="111">
        <f t="shared" si="410"/>
        <v>0</v>
      </c>
      <c r="BP236" s="111">
        <f t="shared" si="410"/>
        <v>0</v>
      </c>
      <c r="BQ236" s="111">
        <f t="shared" si="410"/>
        <v>0</v>
      </c>
      <c r="BR236" s="111">
        <f t="shared" si="410"/>
        <v>0</v>
      </c>
      <c r="BS236" s="111">
        <f t="shared" si="410"/>
        <v>0</v>
      </c>
      <c r="BT236" s="111">
        <f t="shared" si="410"/>
        <v>0</v>
      </c>
      <c r="BU236" s="111"/>
      <c r="BV236" s="111">
        <f>SUMIFS(BV$5:BV$203,$D$5:$D$203,$O236,$A$5:$A$203,"Y")</f>
        <v>0</v>
      </c>
      <c r="BW236" s="111">
        <f t="shared" ref="BW236:CH236" si="411">SUMIFS(BW$5:BW$203,$D$5:$D$203,$O236,$A$5:$A$203,"Y")</f>
        <v>0</v>
      </c>
      <c r="BX236" s="111">
        <f t="shared" si="411"/>
        <v>0</v>
      </c>
      <c r="BY236" s="111">
        <f t="shared" si="411"/>
        <v>0</v>
      </c>
      <c r="BZ236" s="111">
        <f t="shared" si="411"/>
        <v>0</v>
      </c>
      <c r="CA236" s="111">
        <f t="shared" si="411"/>
        <v>0</v>
      </c>
      <c r="CB236" s="111">
        <f t="shared" si="411"/>
        <v>0</v>
      </c>
      <c r="CC236" s="111">
        <f t="shared" si="411"/>
        <v>0</v>
      </c>
      <c r="CD236" s="111">
        <f t="shared" si="411"/>
        <v>0</v>
      </c>
      <c r="CE236" s="111">
        <f t="shared" si="411"/>
        <v>0</v>
      </c>
      <c r="CF236" s="111">
        <f t="shared" si="411"/>
        <v>0</v>
      </c>
      <c r="CG236" s="111">
        <f t="shared" si="411"/>
        <v>0</v>
      </c>
      <c r="CH236" s="111">
        <f t="shared" si="411"/>
        <v>0</v>
      </c>
      <c r="CI236" s="111"/>
      <c r="CJ236" s="111">
        <f>SUMIFS(CJ$5:CJ$203,$D$5:$D$203,$O236,$A$5:$A$203,"Y")</f>
        <v>0</v>
      </c>
      <c r="CK236" s="111">
        <f t="shared" ref="CJ236:CV240" si="412">SUMIFS(CK$5:CK$203,$D$5:$D$203,$O236,$A$5:$A$203,"Y")</f>
        <v>0</v>
      </c>
      <c r="CL236" s="111">
        <f t="shared" si="412"/>
        <v>0</v>
      </c>
      <c r="CM236" s="111">
        <f t="shared" si="412"/>
        <v>0</v>
      </c>
      <c r="CN236" s="111">
        <f t="shared" si="412"/>
        <v>0</v>
      </c>
      <c r="CO236" s="111">
        <f t="shared" si="412"/>
        <v>0</v>
      </c>
      <c r="CP236" s="111">
        <f t="shared" si="412"/>
        <v>0</v>
      </c>
      <c r="CQ236" s="111">
        <f t="shared" si="412"/>
        <v>0</v>
      </c>
      <c r="CR236" s="111">
        <f t="shared" si="412"/>
        <v>0</v>
      </c>
      <c r="CS236" s="111">
        <f t="shared" si="412"/>
        <v>0</v>
      </c>
      <c r="CT236" s="111">
        <f t="shared" si="412"/>
        <v>0</v>
      </c>
      <c r="CU236" s="111">
        <f t="shared" si="412"/>
        <v>0</v>
      </c>
      <c r="CV236" s="111">
        <f t="shared" si="412"/>
        <v>0</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3195649</v>
      </c>
      <c r="S237" s="112">
        <f t="shared" si="413"/>
        <v>1058170</v>
      </c>
      <c r="T237" s="112">
        <f t="shared" si="413"/>
        <v>4741103</v>
      </c>
      <c r="U237" s="112">
        <f t="shared" si="413"/>
        <v>956121</v>
      </c>
      <c r="V237" s="112">
        <f t="shared" si="413"/>
        <v>1348456</v>
      </c>
      <c r="W237" s="112">
        <f t="shared" si="413"/>
        <v>8834353</v>
      </c>
      <c r="X237" s="112">
        <f t="shared" si="413"/>
        <v>415131</v>
      </c>
      <c r="Y237" s="112">
        <f t="shared" si="413"/>
        <v>1137494</v>
      </c>
      <c r="Z237" s="112">
        <f t="shared" si="413"/>
        <v>405128</v>
      </c>
      <c r="AA237" s="112">
        <f t="shared" si="413"/>
        <v>6231231</v>
      </c>
      <c r="AB237" s="112">
        <f t="shared" si="413"/>
        <v>373496</v>
      </c>
      <c r="AC237" s="112">
        <f t="shared" si="413"/>
        <v>15740317</v>
      </c>
      <c r="AD237" s="112">
        <f t="shared" si="413"/>
        <v>44436649</v>
      </c>
      <c r="AE237" s="112"/>
      <c r="AF237" s="112">
        <f t="shared" si="413"/>
        <v>3195649</v>
      </c>
      <c r="AG237" s="112">
        <f t="shared" si="413"/>
        <v>4253819</v>
      </c>
      <c r="AH237" s="112">
        <f t="shared" si="408"/>
        <v>8994922</v>
      </c>
      <c r="AI237" s="112">
        <f t="shared" si="408"/>
        <v>9951043</v>
      </c>
      <c r="AJ237" s="112">
        <f t="shared" si="408"/>
        <v>11299499</v>
      </c>
      <c r="AK237" s="112">
        <f t="shared" si="408"/>
        <v>20133852</v>
      </c>
      <c r="AL237" s="112">
        <f t="shared" si="408"/>
        <v>20548983</v>
      </c>
      <c r="AM237" s="112">
        <f t="shared" si="408"/>
        <v>21686477</v>
      </c>
      <c r="AN237" s="112">
        <f t="shared" si="408"/>
        <v>22091605</v>
      </c>
      <c r="AO237" s="112">
        <f t="shared" si="408"/>
        <v>28322836</v>
      </c>
      <c r="AP237" s="112">
        <f t="shared" si="408"/>
        <v>28696332</v>
      </c>
      <c r="AQ237" s="112">
        <f t="shared" si="408"/>
        <v>44436649</v>
      </c>
      <c r="AR237" s="112">
        <f t="shared" si="408"/>
        <v>16782778.458333332</v>
      </c>
      <c r="AS237" s="112"/>
      <c r="AT237" s="112">
        <f t="shared" ref="AT237:BI240" si="414">SUMIFS(AT$5:AT$203,$D$5:$D$203,$O237,$A$5:$A$203,"Y")</f>
        <v>1947409.8726279021</v>
      </c>
      <c r="AU237" s="112">
        <f t="shared" si="414"/>
        <v>509284.17697426258</v>
      </c>
      <c r="AV237" s="112">
        <f t="shared" si="414"/>
        <v>2866423.0662506521</v>
      </c>
      <c r="AW237" s="112">
        <f t="shared" si="414"/>
        <v>317405.44587246241</v>
      </c>
      <c r="AX237" s="112">
        <f t="shared" si="414"/>
        <v>657742.09363874281</v>
      </c>
      <c r="AY237" s="112">
        <f t="shared" si="414"/>
        <v>2383540.0564243668</v>
      </c>
      <c r="AZ237" s="112">
        <f t="shared" si="414"/>
        <v>118730.8010254746</v>
      </c>
      <c r="BA237" s="112">
        <f t="shared" si="414"/>
        <v>466846.19496266276</v>
      </c>
      <c r="BB237" s="112">
        <f t="shared" si="414"/>
        <v>113045.48630868839</v>
      </c>
      <c r="BC237" s="112">
        <f t="shared" si="414"/>
        <v>3896500.1595075964</v>
      </c>
      <c r="BD237" s="112">
        <f t="shared" si="414"/>
        <v>95749.205666995782</v>
      </c>
      <c r="BE237" s="112">
        <f t="shared" si="414"/>
        <v>10867350.102454785</v>
      </c>
      <c r="BF237" s="112">
        <f t="shared" si="414"/>
        <v>24240026.661714591</v>
      </c>
      <c r="BG237" s="112"/>
      <c r="BH237" s="112">
        <f t="shared" si="414"/>
        <v>1947409.8726279021</v>
      </c>
      <c r="BI237" s="112">
        <f t="shared" si="414"/>
        <v>2456694.0496021644</v>
      </c>
      <c r="BJ237" s="112">
        <f t="shared" si="410"/>
        <v>5323117.115852817</v>
      </c>
      <c r="BK237" s="112">
        <f t="shared" si="410"/>
        <v>5640522.5617252784</v>
      </c>
      <c r="BL237" s="112">
        <f t="shared" si="410"/>
        <v>6298264.6553640217</v>
      </c>
      <c r="BM237" s="112">
        <f t="shared" si="410"/>
        <v>8681804.7117883898</v>
      </c>
      <c r="BN237" s="112">
        <f t="shared" si="410"/>
        <v>8800535.5128138624</v>
      </c>
      <c r="BO237" s="112">
        <f t="shared" si="410"/>
        <v>9267381.707776526</v>
      </c>
      <c r="BP237" s="112">
        <f t="shared" si="410"/>
        <v>9380427.1940852143</v>
      </c>
      <c r="BQ237" s="112">
        <f t="shared" si="410"/>
        <v>13276927.353592813</v>
      </c>
      <c r="BR237" s="112">
        <f t="shared" si="410"/>
        <v>13372676.559259808</v>
      </c>
      <c r="BS237" s="112">
        <f t="shared" si="410"/>
        <v>24240026.661714591</v>
      </c>
      <c r="BT237" s="112">
        <f t="shared" si="410"/>
        <v>8047147.8854455082</v>
      </c>
      <c r="BU237" s="112"/>
      <c r="BV237" s="112">
        <f t="shared" ref="BV237:CK240" si="415">SUMIFS(BV$5:BV$203,$D$5:$D$203,$O237,$A$5:$A$203,"Y")</f>
        <v>132515.66989557282</v>
      </c>
      <c r="BW237" s="112">
        <f t="shared" si="415"/>
        <v>162523.37207968222</v>
      </c>
      <c r="BX237" s="112">
        <f t="shared" si="415"/>
        <v>239286.14782744399</v>
      </c>
      <c r="BY237" s="112">
        <f t="shared" si="415"/>
        <v>307164.86969389278</v>
      </c>
      <c r="BZ237" s="112">
        <f t="shared" si="415"/>
        <v>221906.86172343162</v>
      </c>
      <c r="CA237" s="112">
        <f t="shared" si="415"/>
        <v>5108362.3846293595</v>
      </c>
      <c r="CB237" s="112">
        <f t="shared" si="415"/>
        <v>154240.3926374462</v>
      </c>
      <c r="CC237" s="112">
        <f t="shared" si="415"/>
        <v>264487.67267567164</v>
      </c>
      <c r="CD237" s="112">
        <f t="shared" si="415"/>
        <v>153470.3313299148</v>
      </c>
      <c r="CE237" s="112">
        <f t="shared" si="415"/>
        <v>189156.27327341202</v>
      </c>
      <c r="CF237" s="112">
        <f t="shared" si="415"/>
        <v>150437.6384440226</v>
      </c>
      <c r="CG237" s="112">
        <f t="shared" si="415"/>
        <v>382059.04132520559</v>
      </c>
      <c r="CH237" s="112">
        <f t="shared" si="415"/>
        <v>7465610.6555350563</v>
      </c>
      <c r="CI237" s="112"/>
      <c r="CJ237" s="112">
        <f t="shared" si="415"/>
        <v>132515.66989557282</v>
      </c>
      <c r="CK237" s="112">
        <f t="shared" si="415"/>
        <v>295039.04197525507</v>
      </c>
      <c r="CL237" s="112">
        <f t="shared" si="412"/>
        <v>534325.18980269902</v>
      </c>
      <c r="CM237" s="112">
        <f t="shared" si="412"/>
        <v>841490.0594965918</v>
      </c>
      <c r="CN237" s="112">
        <f t="shared" si="412"/>
        <v>1063396.9212200234</v>
      </c>
      <c r="CO237" s="112">
        <f t="shared" si="412"/>
        <v>6171759.3058493836</v>
      </c>
      <c r="CP237" s="112">
        <f t="shared" si="412"/>
        <v>6325999.6984868292</v>
      </c>
      <c r="CQ237" s="112">
        <f t="shared" si="412"/>
        <v>6590487.3711625002</v>
      </c>
      <c r="CR237" s="112">
        <f t="shared" si="412"/>
        <v>6743957.702492415</v>
      </c>
      <c r="CS237" s="112">
        <f t="shared" si="412"/>
        <v>6933113.975765828</v>
      </c>
      <c r="CT237" s="112">
        <f t="shared" si="412"/>
        <v>7083551.6142098503</v>
      </c>
      <c r="CU237" s="112">
        <f t="shared" si="412"/>
        <v>7465610.6555350563</v>
      </c>
      <c r="CV237" s="112">
        <f t="shared" si="412"/>
        <v>3870703.4898437061</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0</v>
      </c>
      <c r="S238" s="112">
        <f t="shared" si="413"/>
        <v>0</v>
      </c>
      <c r="T238" s="112">
        <f t="shared" si="413"/>
        <v>0</v>
      </c>
      <c r="U238" s="112">
        <f t="shared" si="413"/>
        <v>0</v>
      </c>
      <c r="V238" s="112">
        <f t="shared" si="413"/>
        <v>0</v>
      </c>
      <c r="W238" s="112">
        <f t="shared" si="413"/>
        <v>0</v>
      </c>
      <c r="X238" s="112">
        <f t="shared" si="413"/>
        <v>0</v>
      </c>
      <c r="Y238" s="112">
        <f t="shared" si="413"/>
        <v>0</v>
      </c>
      <c r="Z238" s="112">
        <f t="shared" si="413"/>
        <v>0</v>
      </c>
      <c r="AA238" s="112">
        <f t="shared" si="413"/>
        <v>0</v>
      </c>
      <c r="AB238" s="112">
        <f t="shared" si="413"/>
        <v>0</v>
      </c>
      <c r="AC238" s="112">
        <f t="shared" si="413"/>
        <v>0</v>
      </c>
      <c r="AD238" s="112">
        <f t="shared" si="413"/>
        <v>0</v>
      </c>
      <c r="AE238" s="112"/>
      <c r="AF238" s="112">
        <f t="shared" si="408"/>
        <v>0</v>
      </c>
      <c r="AG238" s="112">
        <f t="shared" si="408"/>
        <v>0</v>
      </c>
      <c r="AH238" s="112">
        <f t="shared" si="408"/>
        <v>0</v>
      </c>
      <c r="AI238" s="112">
        <f t="shared" si="408"/>
        <v>0</v>
      </c>
      <c r="AJ238" s="112">
        <f t="shared" si="408"/>
        <v>0</v>
      </c>
      <c r="AK238" s="112">
        <f t="shared" si="408"/>
        <v>0</v>
      </c>
      <c r="AL238" s="112">
        <f t="shared" si="408"/>
        <v>0</v>
      </c>
      <c r="AM238" s="112">
        <f t="shared" si="408"/>
        <v>0</v>
      </c>
      <c r="AN238" s="112">
        <f t="shared" si="408"/>
        <v>0</v>
      </c>
      <c r="AO238" s="112">
        <f t="shared" si="408"/>
        <v>0</v>
      </c>
      <c r="AP238" s="112">
        <f t="shared" si="408"/>
        <v>0</v>
      </c>
      <c r="AQ238" s="112">
        <f t="shared" si="408"/>
        <v>0</v>
      </c>
      <c r="AR238" s="112">
        <f t="shared" si="408"/>
        <v>0</v>
      </c>
      <c r="AS238" s="112"/>
      <c r="AT238" s="112">
        <f t="shared" si="414"/>
        <v>0</v>
      </c>
      <c r="AU238" s="112">
        <f t="shared" si="414"/>
        <v>0</v>
      </c>
      <c r="AV238" s="112">
        <f t="shared" si="414"/>
        <v>0</v>
      </c>
      <c r="AW238" s="112">
        <f t="shared" si="414"/>
        <v>0</v>
      </c>
      <c r="AX238" s="112">
        <f t="shared" si="414"/>
        <v>0</v>
      </c>
      <c r="AY238" s="112">
        <f t="shared" si="414"/>
        <v>0</v>
      </c>
      <c r="AZ238" s="112">
        <f t="shared" si="414"/>
        <v>0</v>
      </c>
      <c r="BA238" s="112">
        <f t="shared" si="414"/>
        <v>0</v>
      </c>
      <c r="BB238" s="112">
        <f t="shared" si="414"/>
        <v>0</v>
      </c>
      <c r="BC238" s="112">
        <f t="shared" si="414"/>
        <v>0</v>
      </c>
      <c r="BD238" s="112">
        <f t="shared" si="414"/>
        <v>0</v>
      </c>
      <c r="BE238" s="112">
        <f t="shared" si="414"/>
        <v>0</v>
      </c>
      <c r="BF238" s="112">
        <f t="shared" si="414"/>
        <v>0</v>
      </c>
      <c r="BG238" s="112"/>
      <c r="BH238" s="112">
        <f t="shared" si="410"/>
        <v>0</v>
      </c>
      <c r="BI238" s="112">
        <f t="shared" si="410"/>
        <v>0</v>
      </c>
      <c r="BJ238" s="112">
        <f t="shared" si="410"/>
        <v>0</v>
      </c>
      <c r="BK238" s="112">
        <f t="shared" si="410"/>
        <v>0</v>
      </c>
      <c r="BL238" s="112">
        <f t="shared" si="410"/>
        <v>0</v>
      </c>
      <c r="BM238" s="112">
        <f t="shared" si="410"/>
        <v>0</v>
      </c>
      <c r="BN238" s="112">
        <f t="shared" si="410"/>
        <v>0</v>
      </c>
      <c r="BO238" s="112">
        <f t="shared" si="410"/>
        <v>0</v>
      </c>
      <c r="BP238" s="112">
        <f t="shared" si="410"/>
        <v>0</v>
      </c>
      <c r="BQ238" s="112">
        <f t="shared" si="410"/>
        <v>0</v>
      </c>
      <c r="BR238" s="112">
        <f t="shared" si="410"/>
        <v>0</v>
      </c>
      <c r="BS238" s="112">
        <f t="shared" si="410"/>
        <v>0</v>
      </c>
      <c r="BT238" s="112">
        <f t="shared" si="410"/>
        <v>0</v>
      </c>
      <c r="BU238" s="112"/>
      <c r="BV238" s="112">
        <f t="shared" si="415"/>
        <v>0</v>
      </c>
      <c r="BW238" s="112">
        <f t="shared" si="415"/>
        <v>0</v>
      </c>
      <c r="BX238" s="112">
        <f t="shared" si="415"/>
        <v>0</v>
      </c>
      <c r="BY238" s="112">
        <f t="shared" si="415"/>
        <v>0</v>
      </c>
      <c r="BZ238" s="112">
        <f t="shared" si="415"/>
        <v>0</v>
      </c>
      <c r="CA238" s="112">
        <f t="shared" si="415"/>
        <v>0</v>
      </c>
      <c r="CB238" s="112">
        <f t="shared" si="415"/>
        <v>0</v>
      </c>
      <c r="CC238" s="112">
        <f t="shared" si="415"/>
        <v>0</v>
      </c>
      <c r="CD238" s="112">
        <f t="shared" si="415"/>
        <v>0</v>
      </c>
      <c r="CE238" s="112">
        <f t="shared" si="415"/>
        <v>0</v>
      </c>
      <c r="CF238" s="112">
        <f t="shared" si="415"/>
        <v>0</v>
      </c>
      <c r="CG238" s="112">
        <f t="shared" si="415"/>
        <v>0</v>
      </c>
      <c r="CH238" s="112">
        <f t="shared" si="415"/>
        <v>0</v>
      </c>
      <c r="CI238" s="112"/>
      <c r="CJ238" s="112">
        <f t="shared" si="412"/>
        <v>0</v>
      </c>
      <c r="CK238" s="112">
        <f t="shared" si="412"/>
        <v>0</v>
      </c>
      <c r="CL238" s="112">
        <f t="shared" si="412"/>
        <v>0</v>
      </c>
      <c r="CM238" s="112">
        <f t="shared" si="412"/>
        <v>0</v>
      </c>
      <c r="CN238" s="112">
        <f t="shared" si="412"/>
        <v>0</v>
      </c>
      <c r="CO238" s="112">
        <f t="shared" si="412"/>
        <v>0</v>
      </c>
      <c r="CP238" s="112">
        <f t="shared" si="412"/>
        <v>0</v>
      </c>
      <c r="CQ238" s="112">
        <f t="shared" si="412"/>
        <v>0</v>
      </c>
      <c r="CR238" s="112">
        <f t="shared" si="412"/>
        <v>0</v>
      </c>
      <c r="CS238" s="112">
        <f t="shared" si="412"/>
        <v>0</v>
      </c>
      <c r="CT238" s="112">
        <f t="shared" si="412"/>
        <v>0</v>
      </c>
      <c r="CU238" s="112">
        <f t="shared" si="412"/>
        <v>0</v>
      </c>
      <c r="CV238" s="112">
        <f t="shared" si="412"/>
        <v>0</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0</v>
      </c>
      <c r="S240" s="112">
        <f t="shared" si="413"/>
        <v>0</v>
      </c>
      <c r="T240" s="112">
        <f t="shared" si="413"/>
        <v>0</v>
      </c>
      <c r="U240" s="112">
        <f t="shared" si="413"/>
        <v>0</v>
      </c>
      <c r="V240" s="112">
        <f t="shared" si="413"/>
        <v>0</v>
      </c>
      <c r="W240" s="112">
        <f t="shared" si="413"/>
        <v>0</v>
      </c>
      <c r="X240" s="112">
        <f t="shared" si="413"/>
        <v>0</v>
      </c>
      <c r="Y240" s="112">
        <f t="shared" si="413"/>
        <v>0</v>
      </c>
      <c r="Z240" s="112">
        <f t="shared" si="413"/>
        <v>0</v>
      </c>
      <c r="AA240" s="112">
        <f t="shared" si="413"/>
        <v>0</v>
      </c>
      <c r="AB240" s="112">
        <f t="shared" si="413"/>
        <v>0</v>
      </c>
      <c r="AC240" s="112">
        <f t="shared" si="413"/>
        <v>0</v>
      </c>
      <c r="AD240" s="112">
        <f t="shared" si="413"/>
        <v>0</v>
      </c>
      <c r="AE240" s="112"/>
      <c r="AF240" s="112">
        <f t="shared" si="408"/>
        <v>0</v>
      </c>
      <c r="AG240" s="112">
        <f t="shared" si="408"/>
        <v>0</v>
      </c>
      <c r="AH240" s="112">
        <f t="shared" si="408"/>
        <v>0</v>
      </c>
      <c r="AI240" s="112">
        <f t="shared" si="408"/>
        <v>0</v>
      </c>
      <c r="AJ240" s="112">
        <f t="shared" si="408"/>
        <v>0</v>
      </c>
      <c r="AK240" s="112">
        <f t="shared" si="408"/>
        <v>0</v>
      </c>
      <c r="AL240" s="112">
        <f t="shared" si="408"/>
        <v>0</v>
      </c>
      <c r="AM240" s="112">
        <f t="shared" si="408"/>
        <v>0</v>
      </c>
      <c r="AN240" s="112">
        <f t="shared" si="408"/>
        <v>0</v>
      </c>
      <c r="AO240" s="112">
        <f t="shared" si="408"/>
        <v>0</v>
      </c>
      <c r="AP240" s="112">
        <f t="shared" si="408"/>
        <v>0</v>
      </c>
      <c r="AQ240" s="112">
        <f t="shared" si="408"/>
        <v>0</v>
      </c>
      <c r="AR240" s="112">
        <f t="shared" si="408"/>
        <v>0</v>
      </c>
      <c r="AS240" s="112"/>
      <c r="AT240" s="112">
        <f t="shared" si="414"/>
        <v>0</v>
      </c>
      <c r="AU240" s="112">
        <f t="shared" si="414"/>
        <v>0</v>
      </c>
      <c r="AV240" s="112">
        <f t="shared" si="414"/>
        <v>0</v>
      </c>
      <c r="AW240" s="112">
        <f t="shared" si="414"/>
        <v>0</v>
      </c>
      <c r="AX240" s="112">
        <f t="shared" si="414"/>
        <v>0</v>
      </c>
      <c r="AY240" s="112">
        <f t="shared" si="414"/>
        <v>0</v>
      </c>
      <c r="AZ240" s="112">
        <f t="shared" si="414"/>
        <v>0</v>
      </c>
      <c r="BA240" s="112">
        <f t="shared" si="414"/>
        <v>0</v>
      </c>
      <c r="BB240" s="112">
        <f t="shared" si="414"/>
        <v>0</v>
      </c>
      <c r="BC240" s="112">
        <f t="shared" si="414"/>
        <v>0</v>
      </c>
      <c r="BD240" s="112">
        <f t="shared" si="414"/>
        <v>0</v>
      </c>
      <c r="BE240" s="112">
        <f t="shared" si="414"/>
        <v>0</v>
      </c>
      <c r="BF240" s="112">
        <f t="shared" si="414"/>
        <v>0</v>
      </c>
      <c r="BG240" s="112"/>
      <c r="BH240" s="112">
        <f t="shared" si="410"/>
        <v>0</v>
      </c>
      <c r="BI240" s="112">
        <f t="shared" si="410"/>
        <v>0</v>
      </c>
      <c r="BJ240" s="112">
        <f t="shared" si="410"/>
        <v>0</v>
      </c>
      <c r="BK240" s="112">
        <f t="shared" si="410"/>
        <v>0</v>
      </c>
      <c r="BL240" s="112">
        <f t="shared" si="410"/>
        <v>0</v>
      </c>
      <c r="BM240" s="112">
        <f t="shared" si="410"/>
        <v>0</v>
      </c>
      <c r="BN240" s="112">
        <f t="shared" si="410"/>
        <v>0</v>
      </c>
      <c r="BO240" s="112">
        <f t="shared" si="410"/>
        <v>0</v>
      </c>
      <c r="BP240" s="112">
        <f t="shared" si="410"/>
        <v>0</v>
      </c>
      <c r="BQ240" s="112">
        <f t="shared" si="410"/>
        <v>0</v>
      </c>
      <c r="BR240" s="112">
        <f t="shared" si="410"/>
        <v>0</v>
      </c>
      <c r="BS240" s="112">
        <f t="shared" si="410"/>
        <v>0</v>
      </c>
      <c r="BT240" s="112">
        <f t="shared" si="410"/>
        <v>0</v>
      </c>
      <c r="BU240" s="112"/>
      <c r="BV240" s="112">
        <f t="shared" si="415"/>
        <v>0</v>
      </c>
      <c r="BW240" s="112">
        <f t="shared" si="415"/>
        <v>0</v>
      </c>
      <c r="BX240" s="112">
        <f t="shared" si="415"/>
        <v>0</v>
      </c>
      <c r="BY240" s="112">
        <f t="shared" si="415"/>
        <v>0</v>
      </c>
      <c r="BZ240" s="112">
        <f t="shared" si="415"/>
        <v>0</v>
      </c>
      <c r="CA240" s="112">
        <f t="shared" si="415"/>
        <v>0</v>
      </c>
      <c r="CB240" s="112">
        <f t="shared" si="415"/>
        <v>0</v>
      </c>
      <c r="CC240" s="112">
        <f t="shared" si="415"/>
        <v>0</v>
      </c>
      <c r="CD240" s="112">
        <f t="shared" si="415"/>
        <v>0</v>
      </c>
      <c r="CE240" s="112">
        <f t="shared" si="415"/>
        <v>0</v>
      </c>
      <c r="CF240" s="112">
        <f t="shared" si="415"/>
        <v>0</v>
      </c>
      <c r="CG240" s="112">
        <f t="shared" si="415"/>
        <v>0</v>
      </c>
      <c r="CH240" s="112">
        <f t="shared" si="415"/>
        <v>0</v>
      </c>
      <c r="CI240" s="112"/>
      <c r="CJ240" s="112">
        <f t="shared" si="412"/>
        <v>0</v>
      </c>
      <c r="CK240" s="112">
        <f t="shared" si="412"/>
        <v>0</v>
      </c>
      <c r="CL240" s="112">
        <f t="shared" si="412"/>
        <v>0</v>
      </c>
      <c r="CM240" s="112">
        <f t="shared" si="412"/>
        <v>0</v>
      </c>
      <c r="CN240" s="112">
        <f t="shared" si="412"/>
        <v>0</v>
      </c>
      <c r="CO240" s="112">
        <f t="shared" si="412"/>
        <v>0</v>
      </c>
      <c r="CP240" s="112">
        <f t="shared" si="412"/>
        <v>0</v>
      </c>
      <c r="CQ240" s="112">
        <f t="shared" si="412"/>
        <v>0</v>
      </c>
      <c r="CR240" s="112">
        <f t="shared" si="412"/>
        <v>0</v>
      </c>
      <c r="CS240" s="112">
        <f t="shared" si="412"/>
        <v>0</v>
      </c>
      <c r="CT240" s="112">
        <f t="shared" si="412"/>
        <v>0</v>
      </c>
      <c r="CU240" s="112">
        <f t="shared" si="412"/>
        <v>0</v>
      </c>
      <c r="CV240" s="112">
        <f t="shared" si="412"/>
        <v>0</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23">
        <f>SUM(R236:R240)</f>
        <v>3195649</v>
      </c>
      <c r="S241" s="223">
        <f t="shared" ref="S241:AD241" si="416">SUM(S236:S240)</f>
        <v>1058170</v>
      </c>
      <c r="T241" s="223">
        <f t="shared" si="416"/>
        <v>4741103</v>
      </c>
      <c r="U241" s="223">
        <f t="shared" si="416"/>
        <v>956121</v>
      </c>
      <c r="V241" s="223">
        <f t="shared" si="416"/>
        <v>1348456</v>
      </c>
      <c r="W241" s="223">
        <f t="shared" si="416"/>
        <v>8834353</v>
      </c>
      <c r="X241" s="223">
        <f t="shared" si="416"/>
        <v>415131</v>
      </c>
      <c r="Y241" s="223">
        <f t="shared" si="416"/>
        <v>1137494</v>
      </c>
      <c r="Z241" s="223">
        <f t="shared" si="416"/>
        <v>405128</v>
      </c>
      <c r="AA241" s="223">
        <f t="shared" si="416"/>
        <v>6231231</v>
      </c>
      <c r="AB241" s="223">
        <f t="shared" si="416"/>
        <v>373496</v>
      </c>
      <c r="AC241" s="223">
        <f t="shared" si="416"/>
        <v>15740317</v>
      </c>
      <c r="AD241" s="223">
        <f t="shared" si="416"/>
        <v>44436649</v>
      </c>
      <c r="AE241" s="223"/>
      <c r="AF241" s="223">
        <f>SUM(AF236:AF240)</f>
        <v>3195649</v>
      </c>
      <c r="AG241" s="223">
        <f t="shared" ref="AG241" si="417">SUM(AG236:AG240)</f>
        <v>4253819</v>
      </c>
      <c r="AH241" s="223">
        <f t="shared" ref="AH241" si="418">SUM(AH236:AH240)</f>
        <v>8994922</v>
      </c>
      <c r="AI241" s="223">
        <f t="shared" ref="AI241" si="419">SUM(AI236:AI240)</f>
        <v>9951043</v>
      </c>
      <c r="AJ241" s="223">
        <f t="shared" ref="AJ241" si="420">SUM(AJ236:AJ240)</f>
        <v>11299499</v>
      </c>
      <c r="AK241" s="223">
        <f t="shared" ref="AK241" si="421">SUM(AK236:AK240)</f>
        <v>20133852</v>
      </c>
      <c r="AL241" s="223">
        <f t="shared" ref="AL241" si="422">SUM(AL236:AL240)</f>
        <v>20548983</v>
      </c>
      <c r="AM241" s="223">
        <f t="shared" ref="AM241" si="423">SUM(AM236:AM240)</f>
        <v>21686477</v>
      </c>
      <c r="AN241" s="223">
        <f t="shared" ref="AN241" si="424">SUM(AN236:AN240)</f>
        <v>22091605</v>
      </c>
      <c r="AO241" s="223">
        <f t="shared" ref="AO241" si="425">SUM(AO236:AO240)</f>
        <v>28322836</v>
      </c>
      <c r="AP241" s="223">
        <f t="shared" ref="AP241" si="426">SUM(AP236:AP240)</f>
        <v>28696332</v>
      </c>
      <c r="AQ241" s="223">
        <f t="shared" ref="AQ241" si="427">SUM(AQ236:AQ240)</f>
        <v>44436649</v>
      </c>
      <c r="AR241" s="223">
        <f t="shared" ref="AR241" si="428">SUM(AR236:AR240)</f>
        <v>16782778.458333332</v>
      </c>
      <c r="AS241" s="223"/>
      <c r="AT241" s="223">
        <f>SUM(AT236:AT240)</f>
        <v>1947409.8726279021</v>
      </c>
      <c r="AU241" s="223">
        <f t="shared" ref="AU241" si="429">SUM(AU236:AU240)</f>
        <v>509284.17697426258</v>
      </c>
      <c r="AV241" s="223">
        <f t="shared" ref="AV241" si="430">SUM(AV236:AV240)</f>
        <v>2866423.0662506521</v>
      </c>
      <c r="AW241" s="223">
        <f t="shared" ref="AW241" si="431">SUM(AW236:AW240)</f>
        <v>317405.44587246241</v>
      </c>
      <c r="AX241" s="223">
        <f t="shared" ref="AX241" si="432">SUM(AX236:AX240)</f>
        <v>657742.09363874281</v>
      </c>
      <c r="AY241" s="223">
        <f t="shared" ref="AY241" si="433">SUM(AY236:AY240)</f>
        <v>2383540.0564243668</v>
      </c>
      <c r="AZ241" s="223">
        <f t="shared" ref="AZ241" si="434">SUM(AZ236:AZ240)</f>
        <v>118730.8010254746</v>
      </c>
      <c r="BA241" s="223">
        <f t="shared" ref="BA241" si="435">SUM(BA236:BA240)</f>
        <v>466846.19496266276</v>
      </c>
      <c r="BB241" s="223">
        <f t="shared" ref="BB241" si="436">SUM(BB236:BB240)</f>
        <v>113045.48630868839</v>
      </c>
      <c r="BC241" s="223">
        <f t="shared" ref="BC241" si="437">SUM(BC236:BC240)</f>
        <v>3896500.1595075964</v>
      </c>
      <c r="BD241" s="223">
        <f t="shared" ref="BD241" si="438">SUM(BD236:BD240)</f>
        <v>95749.205666995782</v>
      </c>
      <c r="BE241" s="223">
        <f t="shared" ref="BE241" si="439">SUM(BE236:BE240)</f>
        <v>10867350.102454785</v>
      </c>
      <c r="BF241" s="223">
        <f t="shared" ref="BF241" si="440">SUM(BF236:BF240)</f>
        <v>24240026.661714591</v>
      </c>
      <c r="BG241" s="223"/>
      <c r="BH241" s="223">
        <f>SUM(BH236:BH240)</f>
        <v>1947409.8726279021</v>
      </c>
      <c r="BI241" s="223">
        <f t="shared" ref="BI241" si="441">SUM(BI236:BI240)</f>
        <v>2456694.0496021644</v>
      </c>
      <c r="BJ241" s="223">
        <f t="shared" ref="BJ241" si="442">SUM(BJ236:BJ240)</f>
        <v>5323117.115852817</v>
      </c>
      <c r="BK241" s="223">
        <f t="shared" ref="BK241" si="443">SUM(BK236:BK240)</f>
        <v>5640522.5617252784</v>
      </c>
      <c r="BL241" s="223">
        <f t="shared" ref="BL241" si="444">SUM(BL236:BL240)</f>
        <v>6298264.6553640217</v>
      </c>
      <c r="BM241" s="223">
        <f t="shared" ref="BM241" si="445">SUM(BM236:BM240)</f>
        <v>8681804.7117883898</v>
      </c>
      <c r="BN241" s="223">
        <f t="shared" ref="BN241" si="446">SUM(BN236:BN240)</f>
        <v>8800535.5128138624</v>
      </c>
      <c r="BO241" s="223">
        <f t="shared" ref="BO241" si="447">SUM(BO236:BO240)</f>
        <v>9267381.707776526</v>
      </c>
      <c r="BP241" s="223">
        <f t="shared" ref="BP241" si="448">SUM(BP236:BP240)</f>
        <v>9380427.1940852143</v>
      </c>
      <c r="BQ241" s="223">
        <f t="shared" ref="BQ241" si="449">SUM(BQ236:BQ240)</f>
        <v>13276927.353592813</v>
      </c>
      <c r="BR241" s="223">
        <f t="shared" ref="BR241" si="450">SUM(BR236:BR240)</f>
        <v>13372676.559259808</v>
      </c>
      <c r="BS241" s="223">
        <f t="shared" ref="BS241" si="451">SUM(BS236:BS240)</f>
        <v>24240026.661714591</v>
      </c>
      <c r="BT241" s="223">
        <f t="shared" ref="BT241" si="452">SUM(BT236:BT240)</f>
        <v>8047147.8854455082</v>
      </c>
      <c r="BU241" s="223"/>
      <c r="BV241" s="223">
        <f>SUM(BV236:BV240)</f>
        <v>132515.66989557282</v>
      </c>
      <c r="BW241" s="223">
        <f t="shared" ref="BW241" si="453">SUM(BW236:BW240)</f>
        <v>162523.37207968222</v>
      </c>
      <c r="BX241" s="223">
        <f t="shared" ref="BX241" si="454">SUM(BX236:BX240)</f>
        <v>239286.14782744399</v>
      </c>
      <c r="BY241" s="223">
        <f t="shared" ref="BY241" si="455">SUM(BY236:BY240)</f>
        <v>307164.86969389278</v>
      </c>
      <c r="BZ241" s="223">
        <f t="shared" ref="BZ241" si="456">SUM(BZ236:BZ240)</f>
        <v>221906.86172343162</v>
      </c>
      <c r="CA241" s="223">
        <f t="shared" ref="CA241" si="457">SUM(CA236:CA240)</f>
        <v>5108362.3846293595</v>
      </c>
      <c r="CB241" s="223">
        <f t="shared" ref="CB241" si="458">SUM(CB236:CB240)</f>
        <v>154240.3926374462</v>
      </c>
      <c r="CC241" s="223">
        <f t="shared" ref="CC241" si="459">SUM(CC236:CC240)</f>
        <v>264487.67267567164</v>
      </c>
      <c r="CD241" s="223">
        <f t="shared" ref="CD241" si="460">SUM(CD236:CD240)</f>
        <v>153470.3313299148</v>
      </c>
      <c r="CE241" s="223">
        <f t="shared" ref="CE241" si="461">SUM(CE236:CE240)</f>
        <v>189156.27327341202</v>
      </c>
      <c r="CF241" s="223">
        <f t="shared" ref="CF241" si="462">SUM(CF236:CF240)</f>
        <v>150437.6384440226</v>
      </c>
      <c r="CG241" s="223">
        <f t="shared" ref="CG241" si="463">SUM(CG236:CG240)</f>
        <v>382059.04132520559</v>
      </c>
      <c r="CH241" s="223">
        <f t="shared" ref="CH241" si="464">SUM(CH236:CH240)</f>
        <v>7465610.6555350563</v>
      </c>
      <c r="CI241" s="223"/>
      <c r="CJ241" s="223">
        <f>SUM(CJ236:CJ240)</f>
        <v>132515.66989557282</v>
      </c>
      <c r="CK241" s="223">
        <f t="shared" ref="CK241" si="465">SUM(CK236:CK240)</f>
        <v>295039.04197525507</v>
      </c>
      <c r="CL241" s="223">
        <f t="shared" ref="CL241" si="466">SUM(CL236:CL240)</f>
        <v>534325.18980269902</v>
      </c>
      <c r="CM241" s="223">
        <f t="shared" ref="CM241" si="467">SUM(CM236:CM240)</f>
        <v>841490.0594965918</v>
      </c>
      <c r="CN241" s="223">
        <f t="shared" ref="CN241" si="468">SUM(CN236:CN240)</f>
        <v>1063396.9212200234</v>
      </c>
      <c r="CO241" s="223">
        <f t="shared" ref="CO241" si="469">SUM(CO236:CO240)</f>
        <v>6171759.3058493836</v>
      </c>
      <c r="CP241" s="223">
        <f t="shared" ref="CP241" si="470">SUM(CP236:CP240)</f>
        <v>6325999.6984868292</v>
      </c>
      <c r="CQ241" s="223">
        <f t="shared" ref="CQ241" si="471">SUM(CQ236:CQ240)</f>
        <v>6590487.3711625002</v>
      </c>
      <c r="CR241" s="223">
        <f t="shared" ref="CR241" si="472">SUM(CR236:CR240)</f>
        <v>6743957.702492415</v>
      </c>
      <c r="CS241" s="223">
        <f t="shared" ref="CS241" si="473">SUM(CS236:CS240)</f>
        <v>6933113.975765828</v>
      </c>
      <c r="CT241" s="223">
        <f t="shared" ref="CT241" si="474">SUM(CT236:CT240)</f>
        <v>7083551.6142098503</v>
      </c>
      <c r="CU241" s="223">
        <f t="shared" ref="CU241" si="475">SUM(CU236:CU240)</f>
        <v>7465610.6555350563</v>
      </c>
      <c r="CV241" s="223">
        <f t="shared" ref="CV241" si="476">SUM(CV236:CV240)</f>
        <v>3870703.4898437061</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gridLines="1"/>
  <pageMargins left="0.248" right="0.7" top="0.75" bottom="0.75" header="0.3" footer="0.3"/>
  <pageSetup scale="33" fitToHeight="2" orientation="landscape" r:id="rId1"/>
  <headerFooter>
    <oddHeader>&amp;LAvista
Ms. Schultz Workpapers&amp;R&amp;F
Workpaper Ref. &amp;A</oddHeader>
    <oddFooter>&amp;R
Page &amp;P of &amp;N</oddFooter>
  </headerFooter>
  <rowBreaks count="2" manualBreakCount="2">
    <brk id="108" max="99" man="1"/>
    <brk id="203" max="9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4" width="15.44140625" style="147" bestFit="1" customWidth="1"/>
    <col min="5" max="5" width="16.6640625" style="147" bestFit="1" customWidth="1"/>
  </cols>
  <sheetData>
    <row r="1" spans="2:5">
      <c r="B1" s="224" t="s">
        <v>854</v>
      </c>
    </row>
    <row r="3" spans="2:5">
      <c r="D3" s="247" t="s">
        <v>853</v>
      </c>
      <c r="E3" s="148"/>
    </row>
    <row r="4" spans="2:5" ht="52.8">
      <c r="B4" s="146" t="s">
        <v>127</v>
      </c>
      <c r="C4" s="146" t="s">
        <v>139</v>
      </c>
      <c r="D4" s="248" t="s">
        <v>855</v>
      </c>
      <c r="E4" s="248" t="s">
        <v>856</v>
      </c>
    </row>
    <row r="5" spans="2:5">
      <c r="B5" t="s">
        <v>803</v>
      </c>
      <c r="C5" t="s">
        <v>806</v>
      </c>
      <c r="D5" s="148">
        <v>868638.01506613544</v>
      </c>
      <c r="E5" s="148">
        <v>272568.91754841321</v>
      </c>
    </row>
    <row r="6" spans="2:5">
      <c r="C6" t="s">
        <v>223</v>
      </c>
      <c r="D6" s="148">
        <v>7465488.768810113</v>
      </c>
      <c r="E6" s="148">
        <v>2342587.0816043904</v>
      </c>
    </row>
    <row r="7" spans="2:5">
      <c r="C7" t="s">
        <v>232</v>
      </c>
      <c r="D7" s="148">
        <v>2452724.3016319191</v>
      </c>
      <c r="E7" s="148">
        <v>769637.52028467192</v>
      </c>
    </row>
    <row r="8" spans="2:5">
      <c r="B8" t="s">
        <v>849</v>
      </c>
      <c r="D8" s="148">
        <v>10786851.085508168</v>
      </c>
      <c r="E8" s="148">
        <v>3384793.5194374756</v>
      </c>
    </row>
    <row r="9" spans="2:5">
      <c r="B9" t="s">
        <v>736</v>
      </c>
      <c r="C9" t="s">
        <v>299</v>
      </c>
      <c r="D9" s="148">
        <v>5321024.55</v>
      </c>
      <c r="E9" s="148">
        <v>0</v>
      </c>
    </row>
    <row r="10" spans="2:5">
      <c r="C10" t="s">
        <v>324</v>
      </c>
      <c r="D10" s="148">
        <v>2763760</v>
      </c>
      <c r="E10" s="148">
        <v>0</v>
      </c>
    </row>
    <row r="11" spans="2:5">
      <c r="C11" t="s">
        <v>423</v>
      </c>
      <c r="D11" s="148">
        <v>6862211.7095999997</v>
      </c>
      <c r="E11" s="148">
        <v>0</v>
      </c>
    </row>
    <row r="12" spans="2:5">
      <c r="C12" t="s">
        <v>452</v>
      </c>
      <c r="D12" s="148">
        <v>0</v>
      </c>
      <c r="E12" s="148">
        <v>4917961</v>
      </c>
    </row>
    <row r="13" spans="2:5">
      <c r="C13" t="s">
        <v>463</v>
      </c>
      <c r="D13" s="148">
        <v>2680290.5915999999</v>
      </c>
      <c r="E13" s="148">
        <v>0</v>
      </c>
    </row>
    <row r="14" spans="2:5">
      <c r="C14" t="s">
        <v>471</v>
      </c>
      <c r="D14" s="148">
        <v>2044032.2256</v>
      </c>
      <c r="E14" s="148">
        <v>0</v>
      </c>
    </row>
    <row r="15" spans="2:5">
      <c r="C15" t="s">
        <v>784</v>
      </c>
      <c r="D15" s="148">
        <v>918960</v>
      </c>
      <c r="E15" s="148">
        <v>0</v>
      </c>
    </row>
    <row r="16" spans="2:5">
      <c r="C16" t="s">
        <v>208</v>
      </c>
      <c r="D16" s="148">
        <v>1189543.5785821807</v>
      </c>
      <c r="E16" s="148">
        <v>373265.50296802819</v>
      </c>
    </row>
    <row r="17" spans="2:5">
      <c r="C17" t="s">
        <v>482</v>
      </c>
      <c r="D17" s="148">
        <v>1067791.4932918139</v>
      </c>
      <c r="E17" s="148">
        <v>335061.05701785802</v>
      </c>
    </row>
    <row r="18" spans="2:5">
      <c r="C18" t="s">
        <v>261</v>
      </c>
      <c r="D18" s="148">
        <v>1392412.5130405969</v>
      </c>
      <c r="E18" s="148">
        <v>436923.51114916959</v>
      </c>
    </row>
    <row r="19" spans="2:5">
      <c r="C19" t="s">
        <v>172</v>
      </c>
      <c r="D19" s="148">
        <v>0</v>
      </c>
      <c r="E19" s="148">
        <v>1402399.5843999998</v>
      </c>
    </row>
    <row r="20" spans="2:5">
      <c r="B20" t="s">
        <v>850</v>
      </c>
      <c r="D20" s="259">
        <v>24240026.661714591</v>
      </c>
      <c r="E20" s="259">
        <v>7465610.6555350563</v>
      </c>
    </row>
    <row r="21" spans="2:5">
      <c r="B21" t="s">
        <v>52</v>
      </c>
      <c r="C21" t="s">
        <v>310</v>
      </c>
      <c r="D21" s="148">
        <v>1870570.52734</v>
      </c>
      <c r="E21" s="148">
        <v>0</v>
      </c>
    </row>
    <row r="22" spans="2:5">
      <c r="C22" t="s">
        <v>346</v>
      </c>
      <c r="D22" s="148">
        <v>1982462</v>
      </c>
      <c r="E22" s="148">
        <v>0</v>
      </c>
    </row>
    <row r="23" spans="2:5">
      <c r="C23" t="s">
        <v>385</v>
      </c>
      <c r="D23" s="148">
        <v>5168181.8100000005</v>
      </c>
      <c r="E23" s="148">
        <v>0</v>
      </c>
    </row>
    <row r="24" spans="2:5">
      <c r="C24" t="s">
        <v>403</v>
      </c>
      <c r="D24" s="148">
        <v>2297403.2820000001</v>
      </c>
      <c r="E24" s="148">
        <v>0</v>
      </c>
    </row>
    <row r="25" spans="2:5">
      <c r="C25" t="s">
        <v>407</v>
      </c>
      <c r="D25" s="148">
        <v>2850275.2176000001</v>
      </c>
      <c r="E25" s="148">
        <v>0</v>
      </c>
    </row>
    <row r="26" spans="2:5">
      <c r="C26" t="s">
        <v>412</v>
      </c>
      <c r="D26" s="148">
        <v>18816579.012000002</v>
      </c>
      <c r="E26" s="148">
        <v>0</v>
      </c>
    </row>
    <row r="27" spans="2:5">
      <c r="C27" t="s">
        <v>417</v>
      </c>
      <c r="D27" s="148">
        <v>837255.26639999996</v>
      </c>
      <c r="E27" s="148">
        <v>0</v>
      </c>
    </row>
    <row r="28" spans="2:5">
      <c r="C28" t="s">
        <v>420</v>
      </c>
      <c r="D28" s="148">
        <v>988101.89399999997</v>
      </c>
      <c r="E28" s="148">
        <v>0</v>
      </c>
    </row>
    <row r="29" spans="2:5">
      <c r="C29" t="s">
        <v>157</v>
      </c>
      <c r="D29" s="148">
        <v>0</v>
      </c>
      <c r="E29" s="148">
        <v>511015.77330060798</v>
      </c>
    </row>
    <row r="30" spans="2:5">
      <c r="C30" t="s">
        <v>160</v>
      </c>
      <c r="D30" s="148">
        <v>0</v>
      </c>
      <c r="E30" s="148">
        <v>410109</v>
      </c>
    </row>
    <row r="31" spans="2:5">
      <c r="C31" t="s">
        <v>166</v>
      </c>
      <c r="D31" s="148">
        <v>0</v>
      </c>
      <c r="E31" s="148">
        <v>514324</v>
      </c>
    </row>
    <row r="32" spans="2:5">
      <c r="C32" t="s">
        <v>163</v>
      </c>
      <c r="D32" s="148">
        <v>0</v>
      </c>
      <c r="E32" s="148">
        <v>10930159.424111169</v>
      </c>
    </row>
    <row r="33" spans="2:5">
      <c r="C33" t="s">
        <v>169</v>
      </c>
      <c r="D33" s="148">
        <v>0</v>
      </c>
      <c r="E33" s="148">
        <v>1241993</v>
      </c>
    </row>
    <row r="34" spans="2:5">
      <c r="C34" t="s">
        <v>485</v>
      </c>
      <c r="D34" s="148">
        <v>1255061.0867999999</v>
      </c>
      <c r="E34" s="148">
        <v>0</v>
      </c>
    </row>
    <row r="35" spans="2:5">
      <c r="C35" t="s">
        <v>494</v>
      </c>
      <c r="D35" s="148">
        <v>783303.12479999987</v>
      </c>
      <c r="E35" s="148">
        <v>0</v>
      </c>
    </row>
    <row r="36" spans="2:5">
      <c r="B36" t="s">
        <v>258</v>
      </c>
      <c r="D36" s="148">
        <v>36849193.220940001</v>
      </c>
      <c r="E36" s="148">
        <v>13607601.197411777</v>
      </c>
    </row>
    <row r="37" spans="2:5">
      <c r="B37" t="s">
        <v>587</v>
      </c>
      <c r="C37" t="s">
        <v>296</v>
      </c>
      <c r="D37" s="148">
        <v>738227.4804</v>
      </c>
      <c r="E37" s="148">
        <v>0</v>
      </c>
    </row>
    <row r="38" spans="2:5">
      <c r="C38" t="s">
        <v>299</v>
      </c>
      <c r="D38" s="148">
        <v>665281.09200000006</v>
      </c>
      <c r="E38" s="148">
        <v>0</v>
      </c>
    </row>
    <row r="39" spans="2:5">
      <c r="C39" t="s">
        <v>303</v>
      </c>
      <c r="D39" s="148">
        <v>5757895.4951400002</v>
      </c>
      <c r="E39" s="148">
        <v>0</v>
      </c>
    </row>
    <row r="40" spans="2:5">
      <c r="C40" t="s">
        <v>320</v>
      </c>
      <c r="D40" s="148">
        <v>991279.52639999997</v>
      </c>
      <c r="E40" s="148">
        <v>0</v>
      </c>
    </row>
    <row r="41" spans="2:5">
      <c r="C41" t="s">
        <v>324</v>
      </c>
      <c r="D41" s="148">
        <v>1340074.1458999999</v>
      </c>
      <c r="E41" s="148">
        <v>0</v>
      </c>
    </row>
    <row r="42" spans="2:5">
      <c r="C42" t="s">
        <v>333</v>
      </c>
      <c r="D42" s="148">
        <v>7140380.5510599995</v>
      </c>
      <c r="E42" s="148">
        <v>0</v>
      </c>
    </row>
    <row r="43" spans="2:5">
      <c r="C43" t="s">
        <v>336</v>
      </c>
      <c r="D43" s="148">
        <v>1716542</v>
      </c>
      <c r="E43" s="148">
        <v>0</v>
      </c>
    </row>
    <row r="44" spans="2:5">
      <c r="C44" t="s">
        <v>342</v>
      </c>
      <c r="D44" s="148">
        <v>2667155</v>
      </c>
      <c r="E44" s="148">
        <v>0</v>
      </c>
    </row>
    <row r="45" spans="2:5">
      <c r="C45" t="s">
        <v>349</v>
      </c>
      <c r="D45" s="148">
        <v>7822333.9658000004</v>
      </c>
      <c r="E45" s="148">
        <v>0</v>
      </c>
    </row>
    <row r="46" spans="2:5">
      <c r="C46" t="s">
        <v>358</v>
      </c>
      <c r="D46" s="148">
        <v>1820307.4752000002</v>
      </c>
      <c r="E46" s="148">
        <v>0</v>
      </c>
    </row>
    <row r="47" spans="2:5">
      <c r="C47" t="s">
        <v>376</v>
      </c>
      <c r="D47" s="148">
        <v>7321657.5767999999</v>
      </c>
      <c r="E47" s="148">
        <v>0</v>
      </c>
    </row>
    <row r="48" spans="2:5">
      <c r="C48" t="s">
        <v>382</v>
      </c>
      <c r="D48" s="148">
        <v>1367000.9756099998</v>
      </c>
      <c r="E48" s="148">
        <v>0</v>
      </c>
    </row>
    <row r="49" spans="2:5">
      <c r="C49" t="s">
        <v>388</v>
      </c>
      <c r="D49" s="148">
        <v>3706327</v>
      </c>
      <c r="E49" s="148">
        <v>0</v>
      </c>
    </row>
    <row r="50" spans="2:5">
      <c r="C50" t="s">
        <v>393</v>
      </c>
      <c r="D50" s="148">
        <v>3353142</v>
      </c>
      <c r="E50" s="148">
        <v>0</v>
      </c>
    </row>
    <row r="51" spans="2:5">
      <c r="C51" t="s">
        <v>154</v>
      </c>
      <c r="D51" s="148">
        <v>0</v>
      </c>
      <c r="E51" s="148">
        <v>674095.81836803211</v>
      </c>
    </row>
    <row r="52" spans="2:5">
      <c r="C52" t="s">
        <v>151</v>
      </c>
      <c r="D52" s="148">
        <v>0</v>
      </c>
      <c r="E52" s="148">
        <v>318737.51769727998</v>
      </c>
    </row>
    <row r="53" spans="2:5">
      <c r="C53" t="s">
        <v>148</v>
      </c>
      <c r="D53" s="148">
        <v>0</v>
      </c>
      <c r="E53" s="148">
        <v>3085854.9635023037</v>
      </c>
    </row>
    <row r="54" spans="2:5">
      <c r="C54" t="s">
        <v>455</v>
      </c>
      <c r="D54" s="148">
        <v>1080677.9243999999</v>
      </c>
      <c r="E54" s="148">
        <v>0</v>
      </c>
    </row>
    <row r="55" spans="2:5">
      <c r="C55" t="s">
        <v>458</v>
      </c>
      <c r="D55" s="148">
        <v>1512128.3316000002</v>
      </c>
      <c r="E55" s="148">
        <v>0</v>
      </c>
    </row>
    <row r="56" spans="2:5">
      <c r="C56" t="s">
        <v>201</v>
      </c>
      <c r="D56" s="148">
        <v>3335528.9730528896</v>
      </c>
      <c r="E56" s="148">
        <v>1046651.7765368301</v>
      </c>
    </row>
    <row r="57" spans="2:5">
      <c r="C57" t="s">
        <v>203</v>
      </c>
      <c r="D57" s="148">
        <v>466047.96994497592</v>
      </c>
      <c r="E57" s="148">
        <v>146240.653172272</v>
      </c>
    </row>
    <row r="58" spans="2:5">
      <c r="C58" t="s">
        <v>205</v>
      </c>
      <c r="D58" s="148">
        <v>509161.94822438271</v>
      </c>
      <c r="E58" s="148">
        <v>159769.33852451161</v>
      </c>
    </row>
    <row r="59" spans="2:5">
      <c r="C59" t="s">
        <v>211</v>
      </c>
      <c r="D59" s="148">
        <v>491276.45399675932</v>
      </c>
      <c r="E59" s="148">
        <v>154157.06998815181</v>
      </c>
    </row>
    <row r="60" spans="2:5">
      <c r="C60" t="s">
        <v>236</v>
      </c>
      <c r="D60" s="148">
        <v>3045367.5085405111</v>
      </c>
      <c r="E60" s="148">
        <v>1430045.8093738484</v>
      </c>
    </row>
    <row r="61" spans="2:5">
      <c r="C61" t="s">
        <v>145</v>
      </c>
      <c r="D61" s="148">
        <v>1134103.5223183366</v>
      </c>
      <c r="E61" s="148">
        <v>355869.03186894965</v>
      </c>
    </row>
    <row r="62" spans="2:5">
      <c r="C62" t="s">
        <v>215</v>
      </c>
      <c r="D62" s="148">
        <v>458912.2263467742</v>
      </c>
      <c r="E62" s="148">
        <v>144001.53644616739</v>
      </c>
    </row>
    <row r="63" spans="2:5">
      <c r="B63" t="s">
        <v>851</v>
      </c>
      <c r="D63" s="148">
        <v>58440809.142734639</v>
      </c>
      <c r="E63" s="148">
        <v>7515423.5154783465</v>
      </c>
    </row>
    <row r="64" spans="2:5">
      <c r="B64" t="s">
        <v>787</v>
      </c>
      <c r="C64" t="s">
        <v>179</v>
      </c>
      <c r="D64" s="148">
        <v>2431706.4425345687</v>
      </c>
      <c r="E64" s="148">
        <v>763042.35060065356</v>
      </c>
    </row>
    <row r="65" spans="2:5">
      <c r="C65" t="s">
        <v>183</v>
      </c>
      <c r="D65" s="148">
        <v>1556777.6107914455</v>
      </c>
      <c r="E65" s="148">
        <v>488499.44496698322</v>
      </c>
    </row>
    <row r="66" spans="2:5">
      <c r="C66" t="s">
        <v>186</v>
      </c>
      <c r="D66" s="148">
        <v>828205.19425541884</v>
      </c>
      <c r="E66" s="148">
        <v>259881.54949560363</v>
      </c>
    </row>
    <row r="67" spans="2:5">
      <c r="C67" t="s">
        <v>188</v>
      </c>
      <c r="D67" s="148">
        <v>1495682.4861801269</v>
      </c>
      <c r="E67" s="148">
        <v>469328.47651526902</v>
      </c>
    </row>
    <row r="68" spans="2:5">
      <c r="C68" t="s">
        <v>191</v>
      </c>
      <c r="D68" s="148">
        <v>1078966.8474761753</v>
      </c>
      <c r="E68" s="148">
        <v>338567.75847510382</v>
      </c>
    </row>
    <row r="69" spans="2:5">
      <c r="C69" t="s">
        <v>193</v>
      </c>
      <c r="D69" s="148">
        <v>655922.71096324385</v>
      </c>
      <c r="E69" s="148">
        <v>205821.2284308786</v>
      </c>
    </row>
    <row r="70" spans="2:5">
      <c r="C70" t="s">
        <v>198</v>
      </c>
      <c r="D70" s="148">
        <v>1366751.7460800293</v>
      </c>
      <c r="E70" s="148">
        <v>419535.83219484187</v>
      </c>
    </row>
    <row r="71" spans="2:5">
      <c r="C71" t="s">
        <v>226</v>
      </c>
      <c r="D71" s="148">
        <v>693497.07974833192</v>
      </c>
      <c r="E71" s="148">
        <v>217611.64613040403</v>
      </c>
    </row>
    <row r="72" spans="2:5">
      <c r="C72" t="s">
        <v>219</v>
      </c>
      <c r="D72" s="148">
        <v>1351250.7072532577</v>
      </c>
      <c r="E72" s="148">
        <v>424007.39574413665</v>
      </c>
    </row>
    <row r="73" spans="2:5">
      <c r="C73" t="s">
        <v>177</v>
      </c>
      <c r="D73" s="148">
        <v>1016998.7766403661</v>
      </c>
      <c r="E73" s="148">
        <v>319122.86923779146</v>
      </c>
    </row>
    <row r="74" spans="2:5">
      <c r="B74" t="s">
        <v>852</v>
      </c>
      <c r="D74" s="148">
        <v>12475759.601922967</v>
      </c>
      <c r="E74" s="148">
        <v>3905418.5517916656</v>
      </c>
    </row>
    <row r="75" spans="2:5">
      <c r="B75" t="s">
        <v>244</v>
      </c>
      <c r="D75" s="148">
        <v>142792639.71282032</v>
      </c>
      <c r="E75" s="148">
        <v>35878847.43965432</v>
      </c>
    </row>
  </sheetData>
  <pageMargins left="0.7" right="0.7" top="0.75" bottom="0.75" header="0.3" footer="0.3"/>
  <pageSetup scale="60" orientation="portrait" horizontalDpi="1200" verticalDpi="1200" r:id="rId2"/>
  <headerFooter>
    <oddHeader>&amp;LAvista
Ms. Schultz Workpapers&amp;R&amp;F
Workpaper Ref. &amp;A</oddHead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sheetPr>
    <pageSetUpPr fitToPage="1"/>
  </sheetPr>
  <dimension ref="A1:AT34"/>
  <sheetViews>
    <sheetView zoomScaleNormal="100" workbookViewId="0"/>
  </sheetViews>
  <sheetFormatPr defaultColWidth="8.88671875" defaultRowHeight="14.4"/>
  <cols>
    <col min="1" max="1" width="37.6640625" style="158" bestFit="1"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0" width="8.88671875" style="158" hidden="1" customWidth="1"/>
    <col min="11" max="11" width="8" style="158" hidden="1" customWidth="1"/>
    <col min="12" max="12" width="1.44140625" style="158" customWidth="1"/>
    <col min="13" max="13" width="11" style="158" customWidth="1"/>
    <col min="14" max="14" width="11" style="158" hidden="1" customWidth="1"/>
    <col min="15" max="15" width="10" style="158" customWidth="1"/>
    <col min="16" max="16" width="10" style="158" hidden="1" customWidth="1"/>
    <col min="17" max="17" width="11" style="158" hidden="1" customWidth="1"/>
    <col min="18" max="18" width="11" style="158" bestFit="1" customWidth="1"/>
    <col min="19" max="19" width="9.109375" style="158" hidden="1" customWidth="1"/>
    <col min="20" max="20" width="9.109375" style="158"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0.44140625" style="158" bestFit="1" customWidth="1"/>
    <col min="39" max="39" width="9.5546875" style="158" bestFit="1" customWidth="1"/>
    <col min="40" max="40" width="10.6640625" style="158" customWidth="1"/>
    <col min="41" max="41" width="1.5546875" style="158" customWidth="1"/>
    <col min="42" max="42" width="9.33203125" style="158" bestFit="1" customWidth="1"/>
    <col min="43" max="44" width="8.88671875" style="158"/>
    <col min="45" max="45" width="11.109375" style="158" bestFit="1" customWidth="1"/>
    <col min="46" max="46" width="9.44140625" style="158" bestFit="1" customWidth="1"/>
    <col min="47" max="16384" width="8.88671875" style="158"/>
  </cols>
  <sheetData>
    <row r="1" spans="1:46" ht="15" thickBot="1">
      <c r="X1" s="274" t="s">
        <v>830</v>
      </c>
      <c r="Y1" s="275"/>
      <c r="Z1" s="275"/>
      <c r="AA1" s="275"/>
      <c r="AB1" s="275"/>
      <c r="AC1" s="275"/>
      <c r="AD1" s="275"/>
      <c r="AE1" s="275"/>
      <c r="AF1" s="275"/>
      <c r="AG1" s="275"/>
      <c r="AH1" s="275"/>
      <c r="AI1" s="275"/>
      <c r="AJ1" s="275"/>
      <c r="AK1" s="275"/>
      <c r="AL1" s="275"/>
      <c r="AM1" s="275"/>
      <c r="AN1" s="275"/>
      <c r="AO1" s="275"/>
      <c r="AP1" s="275"/>
      <c r="AQ1" s="275"/>
      <c r="AR1" s="275"/>
      <c r="AS1" s="275"/>
      <c r="AT1" s="276"/>
    </row>
    <row r="2" spans="1:46" s="155" customFormat="1" ht="58.2" thickBot="1">
      <c r="B2" s="156" t="s">
        <v>519</v>
      </c>
      <c r="D2" s="156" t="s">
        <v>520</v>
      </c>
      <c r="E2" s="156" t="s">
        <v>521</v>
      </c>
      <c r="G2" s="277" t="s">
        <v>265</v>
      </c>
      <c r="H2" s="278"/>
      <c r="I2" s="278"/>
      <c r="J2" s="278"/>
      <c r="K2" s="279"/>
      <c r="M2" s="277" t="s">
        <v>522</v>
      </c>
      <c r="N2" s="278"/>
      <c r="O2" s="278"/>
      <c r="P2" s="278"/>
      <c r="Q2" s="279"/>
      <c r="R2" s="280" t="s">
        <v>523</v>
      </c>
      <c r="S2" s="281"/>
      <c r="T2" s="281"/>
      <c r="U2" s="281"/>
      <c r="V2" s="282"/>
      <c r="X2" s="222" t="s">
        <v>803</v>
      </c>
      <c r="Y2" s="222" t="s">
        <v>736</v>
      </c>
      <c r="Z2" s="222" t="s">
        <v>52</v>
      </c>
      <c r="AA2" s="222" t="s">
        <v>587</v>
      </c>
      <c r="AB2" s="222" t="s">
        <v>787</v>
      </c>
      <c r="AD2" s="222" t="s">
        <v>803</v>
      </c>
      <c r="AE2" s="222" t="s">
        <v>736</v>
      </c>
      <c r="AF2" s="222" t="s">
        <v>52</v>
      </c>
      <c r="AG2" s="222" t="s">
        <v>587</v>
      </c>
      <c r="AH2" s="222" t="s">
        <v>787</v>
      </c>
      <c r="AJ2" s="222" t="s">
        <v>803</v>
      </c>
      <c r="AK2" s="222" t="s">
        <v>736</v>
      </c>
      <c r="AL2" s="222" t="s">
        <v>52</v>
      </c>
      <c r="AM2" s="222" t="s">
        <v>587</v>
      </c>
      <c r="AN2" s="222" t="s">
        <v>787</v>
      </c>
      <c r="AP2" s="222" t="s">
        <v>803</v>
      </c>
      <c r="AQ2" s="222" t="s">
        <v>736</v>
      </c>
      <c r="AR2" s="222" t="s">
        <v>52</v>
      </c>
      <c r="AS2" s="222" t="s">
        <v>587</v>
      </c>
      <c r="AT2" s="22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73" t="s">
        <v>831</v>
      </c>
      <c r="Y3" s="273"/>
      <c r="Z3" s="273"/>
      <c r="AA3" s="273"/>
      <c r="AB3" s="273"/>
      <c r="AD3" s="273" t="s">
        <v>832</v>
      </c>
      <c r="AE3" s="273"/>
      <c r="AF3" s="273"/>
      <c r="AG3" s="273"/>
      <c r="AH3" s="273"/>
      <c r="AJ3" s="273" t="s">
        <v>833</v>
      </c>
      <c r="AK3" s="273"/>
      <c r="AL3" s="273"/>
      <c r="AM3" s="273"/>
      <c r="AN3" s="273"/>
      <c r="AP3" s="273" t="s">
        <v>834</v>
      </c>
      <c r="AQ3" s="273"/>
      <c r="AR3" s="273"/>
      <c r="AS3" s="273"/>
      <c r="AT3" s="273"/>
    </row>
    <row r="4" spans="1:46">
      <c r="A4" s="20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19">
        <v>0</v>
      </c>
      <c r="Y4" s="220">
        <f>M4</f>
        <v>2083441.3605547769</v>
      </c>
      <c r="Z4" s="219">
        <v>0</v>
      </c>
      <c r="AA4" s="219">
        <v>0</v>
      </c>
      <c r="AB4" s="219">
        <v>0</v>
      </c>
      <c r="AD4" s="218">
        <v>0</v>
      </c>
      <c r="AE4" s="218">
        <v>0</v>
      </c>
      <c r="AF4" s="218">
        <v>0</v>
      </c>
      <c r="AG4" s="218">
        <v>0</v>
      </c>
      <c r="AH4" s="218">
        <v>0</v>
      </c>
      <c r="AJ4" s="218">
        <v>0</v>
      </c>
      <c r="AK4" s="219">
        <f>R4</f>
        <v>-54574.519303555287</v>
      </c>
      <c r="AL4" s="218">
        <v>0</v>
      </c>
      <c r="AM4" s="218">
        <v>0</v>
      </c>
      <c r="AN4" s="218">
        <v>0</v>
      </c>
      <c r="AP4" s="218">
        <v>0</v>
      </c>
      <c r="AQ4" s="218">
        <v>0</v>
      </c>
      <c r="AR4" s="218">
        <v>0</v>
      </c>
      <c r="AS4" s="218">
        <v>0</v>
      </c>
      <c r="AT4" s="21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19">
        <f>$M5*'CAP 20.5 - Ret Allocation'!C13</f>
        <v>0</v>
      </c>
      <c r="Y5" s="219">
        <f>$M5*'CAP 20.5 - Ret Allocation'!D13</f>
        <v>622847.17600605206</v>
      </c>
      <c r="Z5" s="219">
        <f>$M5*'CAP 20.5 - Ret Allocation'!E13</f>
        <v>352737.14918040286</v>
      </c>
      <c r="AA5" s="219">
        <f>$M5*'CAP 20.5 - Ret Allocation'!F13</f>
        <v>187010.37236904507</v>
      </c>
      <c r="AB5" s="219">
        <f>$M5*'CAP 20.5 - Ret Allocation'!G13</f>
        <v>0</v>
      </c>
      <c r="AD5" s="218">
        <v>0</v>
      </c>
      <c r="AE5" s="218">
        <v>0</v>
      </c>
      <c r="AF5" s="218">
        <v>0</v>
      </c>
      <c r="AG5" s="218">
        <v>0</v>
      </c>
      <c r="AH5" s="218">
        <v>0</v>
      </c>
      <c r="AJ5" s="219">
        <f>$R5*'CAP 20.5 - Ret Allocation'!C13</f>
        <v>0</v>
      </c>
      <c r="AK5" s="219">
        <f>$R5*'CAP 20.5 - Ret Allocation'!D13</f>
        <v>-13353.68855233248</v>
      </c>
      <c r="AL5" s="219">
        <f>$R5*'CAP 20.5 - Ret Allocation'!E13</f>
        <v>-7562.5967531832739</v>
      </c>
      <c r="AM5" s="219">
        <f>$R5*'CAP 20.5 - Ret Allocation'!F13</f>
        <v>-4009.4558743695516</v>
      </c>
      <c r="AN5" s="219">
        <f>$R5*'CAP 20.5 - Ret Allocation'!G13</f>
        <v>0</v>
      </c>
      <c r="AP5" s="218">
        <v>0</v>
      </c>
      <c r="AQ5" s="218">
        <v>0</v>
      </c>
      <c r="AR5" s="218">
        <v>0</v>
      </c>
      <c r="AS5" s="218">
        <v>0</v>
      </c>
      <c r="AT5" s="21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19">
        <f>$M6*'CAP 20.5 - Ret Allocation'!C14</f>
        <v>0</v>
      </c>
      <c r="Y6" s="219">
        <f>$M6*'CAP 20.5 - Ret Allocation'!D14</f>
        <v>0</v>
      </c>
      <c r="Z6" s="219">
        <f>$M6*'CAP 20.5 - Ret Allocation'!E14</f>
        <v>0</v>
      </c>
      <c r="AA6" s="219">
        <f>$M6*'CAP 20.5 - Ret Allocation'!F14</f>
        <v>254533.46047885212</v>
      </c>
      <c r="AB6" s="219">
        <f>$M6*'CAP 20.5 - Ret Allocation'!G14</f>
        <v>0</v>
      </c>
      <c r="AD6" s="218">
        <v>0</v>
      </c>
      <c r="AE6" s="218">
        <v>0</v>
      </c>
      <c r="AF6" s="218">
        <v>0</v>
      </c>
      <c r="AG6" s="218">
        <v>0</v>
      </c>
      <c r="AH6" s="218">
        <v>0</v>
      </c>
      <c r="AJ6" s="219">
        <f>$R6*'CAP 20.5 - Ret Allocation'!C14</f>
        <v>0</v>
      </c>
      <c r="AK6" s="219">
        <f>$R6*'CAP 20.5 - Ret Allocation'!D14</f>
        <v>0</v>
      </c>
      <c r="AL6" s="219">
        <f>$R6*'CAP 20.5 - Ret Allocation'!E14</f>
        <v>0</v>
      </c>
      <c r="AM6" s="219">
        <f>$R6*'CAP 20.5 - Ret Allocation'!F14</f>
        <v>-9060.1492836800589</v>
      </c>
      <c r="AN6" s="219">
        <f>$R6*'CAP 20.5 - Ret Allocation'!G14</f>
        <v>0</v>
      </c>
      <c r="AP6" s="218">
        <v>0</v>
      </c>
      <c r="AQ6" s="218">
        <v>0</v>
      </c>
      <c r="AR6" s="218">
        <v>0</v>
      </c>
      <c r="AS6" s="218">
        <v>0</v>
      </c>
      <c r="AT6" s="21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19">
        <f>$M8*'CAP 20.5 - Ret Allocation'!C8</f>
        <v>0</v>
      </c>
      <c r="Y8" s="219">
        <f>$M8*'CAP 20.5 - Ret Allocation'!D8</f>
        <v>1020881.5642641232</v>
      </c>
      <c r="Z8" s="219">
        <f>$M8*'CAP 20.5 - Ret Allocation'!E8</f>
        <v>2221385.2034627046</v>
      </c>
      <c r="AA8" s="219">
        <f>$M8*'CAP 20.5 - Ret Allocation'!F8</f>
        <v>827822.89624811208</v>
      </c>
      <c r="AB8" s="219">
        <f>$M8*'CAP 20.5 - Ret Allocation'!G8</f>
        <v>0</v>
      </c>
      <c r="AD8" s="218">
        <v>0</v>
      </c>
      <c r="AE8" s="218">
        <v>0</v>
      </c>
      <c r="AF8" s="218">
        <v>0</v>
      </c>
      <c r="AG8" s="218">
        <v>0</v>
      </c>
      <c r="AH8" s="218">
        <v>0</v>
      </c>
      <c r="AJ8" s="219">
        <f>$R8*'CAP 20.5 - Ret Allocation'!C8</f>
        <v>0</v>
      </c>
      <c r="AK8" s="219">
        <f>$R8*'CAP 20.5 - Ret Allocation'!D8</f>
        <v>-21279.711869911156</v>
      </c>
      <c r="AL8" s="219">
        <f>$R8*'CAP 20.5 - Ret Allocation'!E8</f>
        <v>-46303.546597830893</v>
      </c>
      <c r="AM8" s="219">
        <f>$R8*'CAP 20.5 - Ret Allocation'!F8</f>
        <v>-17255.510656785256</v>
      </c>
      <c r="AN8" s="219">
        <f>$R8*'CAP 20.5 - Ret Allocation'!G8</f>
        <v>0</v>
      </c>
      <c r="AP8" s="218">
        <v>0</v>
      </c>
      <c r="AQ8" s="218">
        <v>0</v>
      </c>
      <c r="AR8" s="218">
        <v>0</v>
      </c>
      <c r="AS8" s="218">
        <v>0</v>
      </c>
      <c r="AT8" s="218">
        <v>0</v>
      </c>
    </row>
    <row r="9" spans="1:46" s="233" customFormat="1">
      <c r="A9" s="232" t="s">
        <v>875</v>
      </c>
      <c r="B9" s="237">
        <v>2660512.2749999999</v>
      </c>
      <c r="D9" s="234">
        <f>D8</f>
        <v>2.0844447206028349E-2</v>
      </c>
      <c r="E9" s="237">
        <f>-B9*D9</f>
        <v>-55456.907657227872</v>
      </c>
      <c r="G9" s="233">
        <v>0.65639999999999998</v>
      </c>
      <c r="H9" s="233">
        <v>0.34360000000000002</v>
      </c>
      <c r="I9" s="233">
        <v>0</v>
      </c>
      <c r="J9" s="233">
        <v>0</v>
      </c>
      <c r="K9" s="233">
        <v>0</v>
      </c>
      <c r="M9" s="167">
        <f>B9*G9</f>
        <v>1746360.2573099998</v>
      </c>
      <c r="N9" s="167"/>
      <c r="O9" s="167">
        <f>B9*I9</f>
        <v>0</v>
      </c>
      <c r="P9" s="167"/>
      <c r="Q9" s="167"/>
      <c r="R9" s="167">
        <f>E9*G9</f>
        <v>-36401.914186204376</v>
      </c>
      <c r="S9" s="167"/>
      <c r="T9" s="167">
        <f>E9*I9</f>
        <v>0</v>
      </c>
      <c r="U9" s="167"/>
      <c r="V9" s="167"/>
      <c r="X9" s="220">
        <v>0</v>
      </c>
      <c r="Y9" s="220">
        <f>M9</f>
        <v>1746360.2573099998</v>
      </c>
      <c r="Z9" s="220">
        <v>0</v>
      </c>
      <c r="AA9" s="220">
        <v>0</v>
      </c>
      <c r="AB9" s="220">
        <v>0</v>
      </c>
      <c r="AD9" s="236">
        <v>0</v>
      </c>
      <c r="AE9" s="236">
        <v>0</v>
      </c>
      <c r="AF9" s="236">
        <v>0</v>
      </c>
      <c r="AG9" s="236">
        <v>0</v>
      </c>
      <c r="AH9" s="236">
        <v>0</v>
      </c>
      <c r="AJ9" s="220">
        <v>0</v>
      </c>
      <c r="AK9" s="220">
        <f>E9</f>
        <v>-55456.907657227872</v>
      </c>
      <c r="AL9" s="220">
        <v>0</v>
      </c>
      <c r="AM9" s="220">
        <v>0</v>
      </c>
      <c r="AN9" s="220">
        <v>0</v>
      </c>
      <c r="AP9" s="236">
        <v>0</v>
      </c>
      <c r="AQ9" s="236">
        <v>0</v>
      </c>
      <c r="AR9" s="236">
        <v>0</v>
      </c>
      <c r="AS9" s="236">
        <v>0</v>
      </c>
      <c r="AT9" s="236">
        <v>0</v>
      </c>
    </row>
    <row r="10" spans="1:46">
      <c r="A10" s="230" t="s">
        <v>872</v>
      </c>
      <c r="B10" s="161">
        <f>SUM(B8:B9)</f>
        <v>8861136.3822134975</v>
      </c>
      <c r="D10" s="162"/>
      <c r="E10" s="161">
        <f>SUM(E8:E9)</f>
        <v>-184705.4895044663</v>
      </c>
      <c r="M10" s="238">
        <f>SUM(M8:M9)</f>
        <v>5816449.9212849401</v>
      </c>
      <c r="N10" s="161"/>
      <c r="O10" s="238">
        <f>SUM(O8:O9)</f>
        <v>0</v>
      </c>
      <c r="P10" s="161"/>
      <c r="Q10" s="161"/>
      <c r="R10" s="238">
        <f>SUM(R8:R9)</f>
        <v>-121240.68331073168</v>
      </c>
      <c r="S10" s="161"/>
      <c r="T10" s="238">
        <f>SUM(T8:T9)</f>
        <v>0</v>
      </c>
      <c r="U10" s="161"/>
      <c r="V10" s="161"/>
      <c r="X10" s="238">
        <f>SUM(X8:X9)</f>
        <v>0</v>
      </c>
      <c r="Y10" s="238">
        <f>SUM(Y8:Y9)</f>
        <v>2767241.8215741231</v>
      </c>
      <c r="Z10" s="238">
        <f>SUM(Z8:Z9)</f>
        <v>2221385.2034627046</v>
      </c>
      <c r="AA10" s="238">
        <f>SUM(AA8:AA9)</f>
        <v>827822.89624811208</v>
      </c>
      <c r="AB10" s="238">
        <f>SUM(AB8:AB9)</f>
        <v>0</v>
      </c>
      <c r="AD10" s="238">
        <f>SUM(AD8:AD9)</f>
        <v>0</v>
      </c>
      <c r="AE10" s="238">
        <f t="shared" ref="AE10" si="0">SUM(AE8:AE9)</f>
        <v>0</v>
      </c>
      <c r="AF10" s="238">
        <f t="shared" ref="AF10" si="1">SUM(AF8:AF9)</f>
        <v>0</v>
      </c>
      <c r="AG10" s="238">
        <f t="shared" ref="AG10" si="2">SUM(AG8:AG9)</f>
        <v>0</v>
      </c>
      <c r="AH10" s="238">
        <f t="shared" ref="AH10" si="3">SUM(AH8:AH9)</f>
        <v>0</v>
      </c>
      <c r="AJ10" s="238">
        <f>SUM(AJ8:AJ9)</f>
        <v>0</v>
      </c>
      <c r="AK10" s="238">
        <f t="shared" ref="AK10" si="4">SUM(AK8:AK9)</f>
        <v>-76736.619527139032</v>
      </c>
      <c r="AL10" s="238">
        <f t="shared" ref="AL10" si="5">SUM(AL8:AL9)</f>
        <v>-46303.546597830893</v>
      </c>
      <c r="AM10" s="238">
        <f t="shared" ref="AM10" si="6">SUM(AM8:AM9)</f>
        <v>-17255.510656785256</v>
      </c>
      <c r="AN10" s="238">
        <f t="shared" ref="AN10" si="7">SUM(AN8:AN9)</f>
        <v>0</v>
      </c>
      <c r="AP10" s="238">
        <f>SUM(AP8:AP9)</f>
        <v>0</v>
      </c>
      <c r="AQ10" s="238">
        <f t="shared" ref="AQ10" si="8">SUM(AQ8:AQ9)</f>
        <v>0</v>
      </c>
      <c r="AR10" s="238">
        <f t="shared" ref="AR10" si="9">SUM(AR8:AR9)</f>
        <v>0</v>
      </c>
      <c r="AS10" s="238">
        <f t="shared" ref="AS10" si="10">SUM(AS8:AS9)</f>
        <v>0</v>
      </c>
      <c r="AT10" s="238">
        <f t="shared" ref="AT10" si="11">SUM(AT8:AT9)</f>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19">
        <f>$M12*'CAP 20.5 - Ret Allocation'!C7</f>
        <v>0</v>
      </c>
      <c r="Y12" s="219">
        <f>$M12*'CAP 20.5 - Ret Allocation'!D7</f>
        <v>386258.82463073527</v>
      </c>
      <c r="Z12" s="219">
        <f>$M12*'CAP 20.5 - Ret Allocation'!E7</f>
        <v>538493.8689590774</v>
      </c>
      <c r="AA12" s="219">
        <f>$M12*'CAP 20.5 - Ret Allocation'!F7</f>
        <v>4682446.2987360442</v>
      </c>
      <c r="AB12" s="219">
        <f>$M12*'CAP 20.5 - Ret Allocation'!G7</f>
        <v>0</v>
      </c>
      <c r="AD12" s="218">
        <v>0</v>
      </c>
      <c r="AE12" s="218">
        <v>0</v>
      </c>
      <c r="AF12" s="218">
        <v>0</v>
      </c>
      <c r="AG12" s="218">
        <v>0</v>
      </c>
      <c r="AH12" s="218">
        <v>0</v>
      </c>
      <c r="AJ12" s="219">
        <f>$R12*'CAP 20.5 - Ret Allocation'!C7</f>
        <v>0</v>
      </c>
      <c r="AK12" s="219">
        <f>$R12*'CAP 20.5 - Ret Allocation'!D7</f>
        <v>-9661.4957523324319</v>
      </c>
      <c r="AL12" s="219">
        <f>$R12*'CAP 20.5 - Ret Allocation'!E7</f>
        <v>-13469.352402702878</v>
      </c>
      <c r="AM12" s="219">
        <f>$R12*'CAP 20.5 - Ret Allocation'!F7</f>
        <v>-117122.07499469316</v>
      </c>
      <c r="AN12" s="219">
        <f>$R12*'CAP 20.5 - Ret Allocation'!G7</f>
        <v>0</v>
      </c>
      <c r="AP12" s="218">
        <v>0</v>
      </c>
      <c r="AQ12" s="218">
        <v>0</v>
      </c>
      <c r="AR12" s="218">
        <v>0</v>
      </c>
      <c r="AS12" s="218">
        <v>0</v>
      </c>
      <c r="AT12" s="218">
        <v>0</v>
      </c>
    </row>
    <row r="13" spans="1:46">
      <c r="A13" s="232" t="s">
        <v>876</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19">
        <v>0</v>
      </c>
      <c r="Y13" s="219">
        <f>M13</f>
        <v>982713.08338122186</v>
      </c>
      <c r="Z13" s="219">
        <v>0</v>
      </c>
      <c r="AA13" s="219">
        <v>0</v>
      </c>
      <c r="AB13" s="219">
        <v>0</v>
      </c>
      <c r="AD13" s="218">
        <v>0</v>
      </c>
      <c r="AE13" s="218">
        <v>0</v>
      </c>
      <c r="AF13" s="218">
        <v>0</v>
      </c>
      <c r="AG13" s="218">
        <v>0</v>
      </c>
      <c r="AH13" s="218">
        <v>0</v>
      </c>
      <c r="AJ13" s="219">
        <v>0</v>
      </c>
      <c r="AK13" s="219">
        <f>R13</f>
        <v>-24580.611950874998</v>
      </c>
      <c r="AL13" s="219">
        <v>0</v>
      </c>
      <c r="AM13" s="219">
        <v>0</v>
      </c>
      <c r="AN13" s="219">
        <v>0</v>
      </c>
      <c r="AP13" s="218">
        <v>0</v>
      </c>
      <c r="AQ13" s="218">
        <v>0</v>
      </c>
      <c r="AR13" s="218">
        <v>0</v>
      </c>
      <c r="AS13" s="218">
        <v>0</v>
      </c>
      <c r="AT13" s="218">
        <v>0</v>
      </c>
    </row>
    <row r="14" spans="1:46" s="233" customFormat="1">
      <c r="A14" s="230" t="s">
        <v>873</v>
      </c>
      <c r="B14" s="167">
        <f>SUM(B12:B13)</f>
        <v>9266659.6722671762</v>
      </c>
      <c r="D14" s="234"/>
      <c r="E14" s="167">
        <f>SUM(E12:E13)</f>
        <v>-231787.04887198459</v>
      </c>
      <c r="G14" s="235"/>
      <c r="H14" s="235"/>
      <c r="M14" s="238">
        <f>SUM(M12:M13)</f>
        <v>6589912.0757070789</v>
      </c>
      <c r="N14" s="167"/>
      <c r="O14" s="238">
        <f>SUM(O12:O13)</f>
        <v>0</v>
      </c>
      <c r="P14" s="167"/>
      <c r="Q14" s="167"/>
      <c r="R14" s="238">
        <f>SUM(R12:R13)</f>
        <v>-164833.53510060348</v>
      </c>
      <c r="S14" s="167"/>
      <c r="T14" s="238">
        <f>SUM(T12:T13)</f>
        <v>0</v>
      </c>
      <c r="U14" s="167"/>
      <c r="V14" s="167"/>
      <c r="X14" s="238">
        <f>SUM(X12:X13)</f>
        <v>0</v>
      </c>
      <c r="Y14" s="238">
        <f t="shared" ref="Y14:AB14" si="12">SUM(Y12:Y13)</f>
        <v>1368971.9080119571</v>
      </c>
      <c r="Z14" s="238">
        <f t="shared" si="12"/>
        <v>538493.8689590774</v>
      </c>
      <c r="AA14" s="238">
        <f t="shared" si="12"/>
        <v>4682446.2987360442</v>
      </c>
      <c r="AB14" s="238">
        <f t="shared" si="12"/>
        <v>0</v>
      </c>
      <c r="AD14" s="238">
        <f>SUM(AD12:AD13)</f>
        <v>0</v>
      </c>
      <c r="AE14" s="238">
        <f t="shared" ref="AE14" si="13">SUM(AE12:AE13)</f>
        <v>0</v>
      </c>
      <c r="AF14" s="238">
        <f t="shared" ref="AF14" si="14">SUM(AF12:AF13)</f>
        <v>0</v>
      </c>
      <c r="AG14" s="238">
        <f t="shared" ref="AG14" si="15">SUM(AG12:AG13)</f>
        <v>0</v>
      </c>
      <c r="AH14" s="238">
        <f t="shared" ref="AH14" si="16">SUM(AH12:AH13)</f>
        <v>0</v>
      </c>
      <c r="AJ14" s="238">
        <f>SUM(AJ12:AJ13)</f>
        <v>0</v>
      </c>
      <c r="AK14" s="238">
        <f t="shared" ref="AK14" si="17">SUM(AK12:AK13)</f>
        <v>-34242.107703207432</v>
      </c>
      <c r="AL14" s="238">
        <f t="shared" ref="AL14" si="18">SUM(AL12:AL13)</f>
        <v>-13469.352402702878</v>
      </c>
      <c r="AM14" s="238">
        <f t="shared" ref="AM14" si="19">SUM(AM12:AM13)</f>
        <v>-117122.07499469316</v>
      </c>
      <c r="AN14" s="238">
        <f t="shared" ref="AN14" si="20">SUM(AN12:AN13)</f>
        <v>0</v>
      </c>
      <c r="AP14" s="238">
        <f>SUM(AP12:AP13)</f>
        <v>0</v>
      </c>
      <c r="AQ14" s="238">
        <f t="shared" ref="AQ14" si="21">SUM(AQ12:AQ13)</f>
        <v>0</v>
      </c>
      <c r="AR14" s="238">
        <f t="shared" ref="AR14" si="22">SUM(AR12:AR13)</f>
        <v>0</v>
      </c>
      <c r="AS14" s="238">
        <f t="shared" ref="AS14" si="23">SUM(AS12:AS13)</f>
        <v>0</v>
      </c>
      <c r="AT14" s="238">
        <f t="shared" ref="AT14" si="24">SUM(AT12:AT13)</f>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18">
        <v>0</v>
      </c>
      <c r="Y16" s="218">
        <v>0</v>
      </c>
      <c r="Z16" s="218">
        <v>0</v>
      </c>
      <c r="AA16" s="218">
        <v>0</v>
      </c>
      <c r="AB16" s="218">
        <v>0</v>
      </c>
      <c r="AD16" s="219">
        <f>$O16*'CAP 20.5 - Ret Allocation'!H10</f>
        <v>0</v>
      </c>
      <c r="AE16" s="219">
        <f>$O16*'CAP 20.5 - Ret Allocation'!I10</f>
        <v>676866.12026098545</v>
      </c>
      <c r="AF16" s="219">
        <f>$O16*'CAP 20.5 - Ret Allocation'!J10</f>
        <v>1872833.9302712746</v>
      </c>
      <c r="AG16" s="219">
        <f>$O16*'CAP 20.5 - Ret Allocation'!K10</f>
        <v>561355.79869019066</v>
      </c>
      <c r="AH16" s="219">
        <f>$O16*'CAP 20.5 - Ret Allocation'!L10</f>
        <v>0</v>
      </c>
      <c r="AJ16" s="218">
        <v>0</v>
      </c>
      <c r="AK16" s="218">
        <v>0</v>
      </c>
      <c r="AL16" s="218">
        <v>0</v>
      </c>
      <c r="AM16" s="218">
        <v>0</v>
      </c>
      <c r="AN16" s="218">
        <v>0</v>
      </c>
      <c r="AP16" s="219">
        <f>$T16*'CAP 20.5 - Ret Allocation'!H10</f>
        <v>0</v>
      </c>
      <c r="AQ16" s="219">
        <f>$T16*'CAP 20.5 - Ret Allocation'!I10</f>
        <v>-16930.458875732005</v>
      </c>
      <c r="AR16" s="219">
        <f>$T16*'CAP 20.5 - Ret Allocation'!J10</f>
        <v>-46845.213386226867</v>
      </c>
      <c r="AS16" s="219">
        <f>$T16*'CAP 20.5 - Ret Allocation'!K10</f>
        <v>-14041.19807431552</v>
      </c>
      <c r="AT16" s="21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18">
        <v>0</v>
      </c>
      <c r="Y18" s="218">
        <v>0</v>
      </c>
      <c r="Z18" s="218">
        <v>0</v>
      </c>
      <c r="AA18" s="218">
        <v>0</v>
      </c>
      <c r="AB18" s="218">
        <v>0</v>
      </c>
      <c r="AD18" s="219">
        <f>$O18*'CAP 20.5 - Ret Allocation'!H11</f>
        <v>0</v>
      </c>
      <c r="AE18" s="219">
        <f>$O18*'CAP 20.5 - Ret Allocation'!I11</f>
        <v>60096.201434366507</v>
      </c>
      <c r="AF18" s="219">
        <f>$O18*'CAP 20.5 - Ret Allocation'!J11</f>
        <v>0</v>
      </c>
      <c r="AG18" s="219">
        <f>$O18*'CAP 20.5 - Ret Allocation'!K11</f>
        <v>0</v>
      </c>
      <c r="AH18" s="219">
        <f>$O18*'CAP 20.5 - Ret Allocation'!L11</f>
        <v>0</v>
      </c>
      <c r="AJ18" s="218">
        <v>0</v>
      </c>
      <c r="AK18" s="218">
        <v>0</v>
      </c>
      <c r="AL18" s="218">
        <v>0</v>
      </c>
      <c r="AM18" s="218">
        <v>0</v>
      </c>
      <c r="AN18" s="218">
        <v>0</v>
      </c>
      <c r="AP18" s="219">
        <f>$T18*'CAP 20.5 - Ret Allocation'!H11</f>
        <v>0</v>
      </c>
      <c r="AQ18" s="219">
        <f>$T18*'CAP 20.5 - Ret Allocation'!I11</f>
        <v>-621.78428448638726</v>
      </c>
      <c r="AR18" s="219">
        <f>$T18*'CAP 20.5 - Ret Allocation'!J11</f>
        <v>0</v>
      </c>
      <c r="AS18" s="219">
        <f>$T18*'CAP 20.5 - Ret Allocation'!K11</f>
        <v>0</v>
      </c>
      <c r="AT18" s="21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72" t="s">
        <v>532</v>
      </c>
      <c r="H20" s="272"/>
      <c r="I20" s="272"/>
      <c r="J20" s="272"/>
      <c r="K20" s="272"/>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19">
        <f>$M20*'CAP 20.5 - Ret Allocation'!C15</f>
        <v>7060386.6540053971</v>
      </c>
      <c r="Y20" s="219">
        <f>$M20*'CAP 20.5 - Ret Allocation'!D15</f>
        <v>0</v>
      </c>
      <c r="Z20" s="219">
        <f>$M20*'CAP 20.5 - Ret Allocation'!E15</f>
        <v>0</v>
      </c>
      <c r="AA20" s="219">
        <f>$M20*'CAP 20.5 - Ret Allocation'!F15</f>
        <v>0</v>
      </c>
      <c r="AB20" s="219">
        <f>$M20*'CAP 20.5 - Ret Allocation'!G15</f>
        <v>1338361.8510826027</v>
      </c>
      <c r="AD20" s="219">
        <f>$O20*'CAP 20.5 - Ret Allocation'!H15</f>
        <v>1992156.9057801994</v>
      </c>
      <c r="AE20" s="219">
        <f>$O20*'CAP 20.5 - Ret Allocation'!I15</f>
        <v>0</v>
      </c>
      <c r="AF20" s="219">
        <f>$O20*'CAP 20.5 - Ret Allocation'!J15</f>
        <v>0</v>
      </c>
      <c r="AG20" s="219">
        <f>$O20*'CAP 20.5 - Ret Allocation'!K15</f>
        <v>0</v>
      </c>
      <c r="AH20" s="219">
        <f>$O20*'CAP 20.5 - Ret Allocation'!L15</f>
        <v>377631.8401138006</v>
      </c>
      <c r="AJ20" s="219">
        <f>$R20*'CAP 20.5 - Ret Allocation'!C15</f>
        <v>-319236.70891392528</v>
      </c>
      <c r="AK20" s="219">
        <f>$R20*'CAP 20.5 - Ret Allocation'!D15</f>
        <v>0</v>
      </c>
      <c r="AL20" s="219">
        <f>$R20*'CAP 20.5 - Ret Allocation'!E15</f>
        <v>0</v>
      </c>
      <c r="AM20" s="219">
        <f>$R20*'CAP 20.5 - Ret Allocation'!F15</f>
        <v>0</v>
      </c>
      <c r="AN20" s="219">
        <f>$R20*'CAP 20.5 - Ret Allocation'!G15</f>
        <v>-60514.282519240689</v>
      </c>
      <c r="AP20" s="219">
        <f>$T20*'CAP 20.5 - Ret Allocation'!H15</f>
        <v>-100098.33660984701</v>
      </c>
      <c r="AQ20" s="219">
        <f>$T20*'CAP 20.5 - Ret Allocation'!I15</f>
        <v>0</v>
      </c>
      <c r="AR20" s="219">
        <f>$T20*'CAP 20.5 - Ret Allocation'!J15</f>
        <v>0</v>
      </c>
      <c r="AS20" s="219">
        <f>$T20*'CAP 20.5 - Ret Allocation'!K15</f>
        <v>0</v>
      </c>
      <c r="AT20" s="21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72" t="s">
        <v>532</v>
      </c>
      <c r="H22" s="272"/>
      <c r="I22" s="272"/>
      <c r="J22" s="272"/>
      <c r="K22" s="272"/>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19">
        <f>$M22*'CAP 20.5 - Ret Allocation'!C12</f>
        <v>0</v>
      </c>
      <c r="Y22" s="219">
        <f>$M22*'CAP 20.5 - Ret Allocation'!D12</f>
        <v>1607935.436960388</v>
      </c>
      <c r="Z22" s="219">
        <f>$M22*'CAP 20.5 - Ret Allocation'!E12</f>
        <v>0</v>
      </c>
      <c r="AA22" s="219">
        <f>$M22*'CAP 20.5 - Ret Allocation'!F12</f>
        <v>4721178.2235757569</v>
      </c>
      <c r="AB22" s="219">
        <f>$M22*'CAP 20.5 - Ret Allocation'!G12</f>
        <v>7430174.522845855</v>
      </c>
      <c r="AD22" s="219">
        <f>$O22*'CAP 20.5 - Ret Allocation'!H12</f>
        <v>0</v>
      </c>
      <c r="AE22" s="219">
        <f>$O22*'CAP 20.5 - Ret Allocation'!I12</f>
        <v>363646.60499921668</v>
      </c>
      <c r="AF22" s="219">
        <f>$O22*'CAP 20.5 - Ret Allocation'!J12</f>
        <v>0</v>
      </c>
      <c r="AG22" s="219">
        <f>$O22*'CAP 20.5 - Ret Allocation'!K12</f>
        <v>847511.95087685308</v>
      </c>
      <c r="AH22" s="219">
        <f>$O22*'CAP 20.5 - Ret Allocation'!L12</f>
        <v>1675596.6502274303</v>
      </c>
      <c r="AJ22" s="219">
        <f>$R22*'CAP 20.5 - Ret Allocation'!C12</f>
        <v>0</v>
      </c>
      <c r="AK22" s="219">
        <f>$R22*'CAP 20.5 - Ret Allocation'!D12</f>
        <v>-86093.929318406183</v>
      </c>
      <c r="AL22" s="219">
        <f>$R22*'CAP 20.5 - Ret Allocation'!E12</f>
        <v>0</v>
      </c>
      <c r="AM22" s="219">
        <f>$R22*'CAP 20.5 - Ret Allocation'!F12</f>
        <v>-252786.75681686783</v>
      </c>
      <c r="AN22" s="219">
        <f>$R22*'CAP 20.5 - Ret Allocation'!G12</f>
        <v>-397834.95374825335</v>
      </c>
      <c r="AP22" s="219">
        <f>$T22*'CAP 20.5 - Ret Allocation'!H12</f>
        <v>0</v>
      </c>
      <c r="AQ22" s="219">
        <f>$T22*'CAP 20.5 - Ret Allocation'!I12</f>
        <v>-21129.217702594357</v>
      </c>
      <c r="AR22" s="219">
        <f>$T22*'CAP 20.5 - Ret Allocation'!J12</f>
        <v>0</v>
      </c>
      <c r="AS22" s="219">
        <f>$T22*'CAP 20.5 - Ret Allocation'!K12</f>
        <v>-49243.590533908755</v>
      </c>
      <c r="AT22" s="21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19">
        <f>$M23*'CAP 20.5 - Ret Allocation'!C9</f>
        <v>0</v>
      </c>
      <c r="Y23" s="219">
        <f>$M23*'CAP 20.5 - Ret Allocation'!D9</f>
        <v>156596.56529348018</v>
      </c>
      <c r="Z23" s="219">
        <f>$M23*'CAP 20.5 - Ret Allocation'!E9</f>
        <v>0</v>
      </c>
      <c r="AA23" s="219">
        <f>$M23*'CAP 20.5 - Ret Allocation'!F9</f>
        <v>127546.05019634098</v>
      </c>
      <c r="AB23" s="219">
        <f>$M23*'CAP 20.5 - Ret Allocation'!G9</f>
        <v>0</v>
      </c>
      <c r="AD23" s="219">
        <f>$O23*'CAP 20.5 - Ret Allocation'!H9</f>
        <v>0</v>
      </c>
      <c r="AE23" s="219">
        <f>$O23*'CAP 20.5 - Ret Allocation'!I9</f>
        <v>47753.101527383951</v>
      </c>
      <c r="AF23" s="219">
        <f>$O23*'CAP 20.5 - Ret Allocation'!J9</f>
        <v>0</v>
      </c>
      <c r="AG23" s="219">
        <f>$O23*'CAP 20.5 - Ret Allocation'!K9</f>
        <v>38894.336367007578</v>
      </c>
      <c r="AH23" s="219">
        <f>$O23*'CAP 20.5 - Ret Allocation'!L9</f>
        <v>0</v>
      </c>
      <c r="AJ23" s="219">
        <f>$R23*'CAP 20.5 - Ret Allocation'!C9</f>
        <v>0</v>
      </c>
      <c r="AK23" s="219">
        <f>$R23*'CAP 20.5 - Ret Allocation'!D9</f>
        <v>-3131.931305869603</v>
      </c>
      <c r="AL23" s="219">
        <f>$R23*'CAP 20.5 - Ret Allocation'!E9</f>
        <v>0</v>
      </c>
      <c r="AM23" s="219">
        <f>$R23*'CAP 20.5 - Ret Allocation'!F9</f>
        <v>-2550.9210039268191</v>
      </c>
      <c r="AN23" s="219">
        <f>$R23*'CAP 20.5 - Ret Allocation'!G9</f>
        <v>0</v>
      </c>
      <c r="AP23" s="219">
        <f>$T23*'CAP 20.5 - Ret Allocation'!H9</f>
        <v>0</v>
      </c>
      <c r="AQ23" s="219">
        <f>$T23*'CAP 20.5 - Ret Allocation'!I9</f>
        <v>-955.062030547679</v>
      </c>
      <c r="AR23" s="219">
        <f>$T23*'CAP 20.5 - Ret Allocation'!J9</f>
        <v>0</v>
      </c>
      <c r="AS23" s="219">
        <f>$T23*'CAP 20.5 - Ret Allocation'!K9</f>
        <v>-777.88672734015154</v>
      </c>
      <c r="AT23" s="21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21">
        <f>$M24*'CAP 20.5 - Ret Allocation'!C16</f>
        <v>0</v>
      </c>
      <c r="Y24" s="221">
        <f>$M24*'CAP 20.5 - Ret Allocation'!D16</f>
        <v>0</v>
      </c>
      <c r="Z24" s="221">
        <f>$M24*'CAP 20.5 - Ret Allocation'!E16</f>
        <v>0</v>
      </c>
      <c r="AA24" s="221">
        <f>$M24*'CAP 20.5 - Ret Allocation'!F16</f>
        <v>371000.34280545008</v>
      </c>
      <c r="AB24" s="221">
        <f>$M24*'CAP 20.5 - Ret Allocation'!G16</f>
        <v>0</v>
      </c>
      <c r="AD24" s="221">
        <f>$O24*'CAP 20.5 - Ret Allocation'!H16</f>
        <v>0</v>
      </c>
      <c r="AE24" s="221">
        <f>$O24*'CAP 20.5 - Ret Allocation'!I16</f>
        <v>0</v>
      </c>
      <c r="AF24" s="221">
        <f>$O24*'CAP 20.5 - Ret Allocation'!J16</f>
        <v>0</v>
      </c>
      <c r="AG24" s="221">
        <f>$O24*'CAP 20.5 - Ret Allocation'!K16</f>
        <v>113134.13549958955</v>
      </c>
      <c r="AH24" s="221">
        <f>$O24*'CAP 20.5 - Ret Allocation'!L16</f>
        <v>0</v>
      </c>
      <c r="AJ24" s="221">
        <f>$R24*'CAP 20.5 - Ret Allocation'!C16</f>
        <v>0</v>
      </c>
      <c r="AK24" s="221">
        <f>$R24*'CAP 20.5 - Ret Allocation'!D16</f>
        <v>0</v>
      </c>
      <c r="AL24" s="221">
        <f>$R24*'CAP 20.5 - Ret Allocation'!E16</f>
        <v>0</v>
      </c>
      <c r="AM24" s="221">
        <f>$R24*'CAP 20.5 - Ret Allocation'!F16</f>
        <v>-7420.006856109002</v>
      </c>
      <c r="AN24" s="221">
        <f>$R24*'CAP 20.5 - Ret Allocation'!G16</f>
        <v>0</v>
      </c>
      <c r="AP24" s="221">
        <f>$T24*'CAP 20.5 - Ret Allocation'!H16</f>
        <v>0</v>
      </c>
      <c r="AQ24" s="221">
        <f>$T24*'CAP 20.5 - Ret Allocation'!I16</f>
        <v>0</v>
      </c>
      <c r="AR24" s="221">
        <f>$T24*'CAP 20.5 - Ret Allocation'!J16</f>
        <v>0</v>
      </c>
      <c r="AS24" s="221">
        <f>$T24*'CAP 20.5 - Ret Allocation'!K16</f>
        <v>-2262.6827099917909</v>
      </c>
      <c r="AT24" s="221">
        <f>$T24*'CAP 20.5 - Ret Allocation'!L16</f>
        <v>0</v>
      </c>
    </row>
    <row r="25" spans="1:46">
      <c r="A25" s="160"/>
      <c r="B25" s="161"/>
      <c r="M25" s="161"/>
      <c r="N25" s="161"/>
      <c r="O25" s="161"/>
      <c r="P25" s="161"/>
      <c r="Q25" s="161"/>
      <c r="R25" s="161"/>
      <c r="S25" s="161"/>
      <c r="T25" s="161"/>
      <c r="U25" s="161"/>
      <c r="V25" s="161"/>
    </row>
    <row r="26" spans="1:46">
      <c r="A26" s="158" t="s">
        <v>533</v>
      </c>
      <c r="B26" s="239">
        <f>SUM(B4:B6,B8:B9,B12:B13,B16,B18,B20,B22:B24)</f>
        <v>73116198.899524555</v>
      </c>
      <c r="C26" s="240"/>
      <c r="D26" s="240"/>
      <c r="E26" s="239">
        <f>SUM(E4:E6,E8:E9,E12:E13,E16,E18,E20,E22:E24)</f>
        <v>-2913198.5264732772</v>
      </c>
      <c r="M26" s="168">
        <f>SUM(M4:M6,M8:M9,M12:M13,M16,M18,M20,M22:M24)</f>
        <v>38720111.162346423</v>
      </c>
      <c r="N26" s="168">
        <f t="shared" ref="N26:T26" si="25">SUM(N4:N6,N8:N9,N12:N13,N16,N18,N20,N22:N24)</f>
        <v>17019006.134471085</v>
      </c>
      <c r="O26" s="168">
        <f t="shared" si="25"/>
        <v>8627477.5760482978</v>
      </c>
      <c r="P26" s="168">
        <f t="shared" si="25"/>
        <v>2375755.4138481058</v>
      </c>
      <c r="Q26" s="168">
        <f t="shared" si="25"/>
        <v>5254226.305120646</v>
      </c>
      <c r="R26" s="168">
        <f t="shared" si="25"/>
        <v>-1504204.1186610549</v>
      </c>
      <c r="S26" s="168">
        <f t="shared" si="25"/>
        <v>-677039.66964639479</v>
      </c>
      <c r="T26" s="168">
        <f t="shared" si="25"/>
        <v>-369238.38576017087</v>
      </c>
      <c r="U26" s="161">
        <f t="shared" ref="U26:V26" si="26">SUM(U4:U24)</f>
        <v>-118994.99514183744</v>
      </c>
      <c r="V26" s="161">
        <f t="shared" si="26"/>
        <v>-224666.15610754574</v>
      </c>
      <c r="X26" s="168">
        <f>SUM(X4:X6,X8:X9,X12:X13,X16,X18,X20,X22:X24)</f>
        <v>7060386.6540053971</v>
      </c>
      <c r="Y26" s="168">
        <f>SUM(Y4:Y6,Y8:Y9,Y12:Y13,Y16,Y18,Y20,Y22:Y24)</f>
        <v>8607034.2684007771</v>
      </c>
      <c r="Z26" s="168">
        <f>SUM(Z4:Z6,Z8:Z9,Z12:Z13,Z16,Z18,Z20,Z22:Z24)</f>
        <v>3112616.2216021847</v>
      </c>
      <c r="AA26" s="168">
        <f>SUM(AA4:AA6,AA8:AA9,AA12:AA13,AA16,AA18,AA20,AA22:AA24)</f>
        <v>11171537.644409601</v>
      </c>
      <c r="AB26" s="168">
        <f>SUM(AB4:AB6,AB8:AB9,AB12:AB13,AB16,AB18,AB20,AB22:AB24)</f>
        <v>8768536.3739284575</v>
      </c>
      <c r="AD26" s="168">
        <f>SUM(AD4:AD6,AD8:AD9,AD12:AD13,AD16,AD18,AD20,AD22:AD24)</f>
        <v>1992156.9057801994</v>
      </c>
      <c r="AE26" s="168">
        <f t="shared" ref="AE26:AT26" si="27">SUM(AE4:AE6,AE8:AE9,AE12:AE13,AE16,AE18,AE20,AE22:AE24)</f>
        <v>1148362.0282219527</v>
      </c>
      <c r="AF26" s="168">
        <f t="shared" si="27"/>
        <v>1872833.9302712746</v>
      </c>
      <c r="AG26" s="168">
        <f t="shared" si="27"/>
        <v>1560896.2214336409</v>
      </c>
      <c r="AH26" s="168">
        <f t="shared" si="27"/>
        <v>2053228.4903412308</v>
      </c>
      <c r="AJ26" s="168">
        <f t="shared" si="27"/>
        <v>-319236.70891392528</v>
      </c>
      <c r="AK26" s="168">
        <f t="shared" si="27"/>
        <v>-268132.79571050999</v>
      </c>
      <c r="AL26" s="168">
        <f t="shared" si="27"/>
        <v>-67335.495753717041</v>
      </c>
      <c r="AM26" s="168">
        <f t="shared" si="27"/>
        <v>-410204.8754864317</v>
      </c>
      <c r="AN26" s="168">
        <f t="shared" si="27"/>
        <v>-458349.23626749404</v>
      </c>
      <c r="AP26" s="168">
        <f t="shared" si="27"/>
        <v>-100098.33660984701</v>
      </c>
      <c r="AQ26" s="168">
        <f t="shared" si="27"/>
        <v>-39636.522893360423</v>
      </c>
      <c r="AR26" s="168">
        <f t="shared" si="27"/>
        <v>-46845.213386226867</v>
      </c>
      <c r="AS26" s="168">
        <f t="shared" si="27"/>
        <v>-66325.358045556219</v>
      </c>
      <c r="AT26" s="168">
        <f t="shared" si="27"/>
        <v>-116332.95482518036</v>
      </c>
    </row>
    <row r="27" spans="1:46">
      <c r="M27" s="152"/>
      <c r="O27" s="152"/>
      <c r="R27" s="152"/>
      <c r="T27" s="152"/>
      <c r="Y27" s="152" t="s">
        <v>129</v>
      </c>
      <c r="AE27" s="152" t="s">
        <v>129</v>
      </c>
      <c r="AK27" s="152" t="s">
        <v>129</v>
      </c>
      <c r="AQ27" s="152"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28">C26-C28</f>
        <v>0</v>
      </c>
      <c r="D30" s="166"/>
      <c r="E30" s="166">
        <f t="shared" si="28"/>
        <v>-19055.201156273484</v>
      </c>
      <c r="F30" s="166">
        <f t="shared" si="28"/>
        <v>0</v>
      </c>
    </row>
    <row r="32" spans="1:46">
      <c r="B32" s="166"/>
      <c r="M32" s="166"/>
    </row>
    <row r="33" spans="1:20">
      <c r="A33" s="217" t="s">
        <v>845</v>
      </c>
      <c r="T33" s="207"/>
    </row>
    <row r="34" spans="1:20">
      <c r="A34" s="231" t="s">
        <v>874</v>
      </c>
    </row>
  </sheetData>
  <mergeCells count="10">
    <mergeCell ref="AP3:AT3"/>
    <mergeCell ref="X1:AT1"/>
    <mergeCell ref="G2:K2"/>
    <mergeCell ref="M2:Q2"/>
    <mergeCell ref="R2:V2"/>
    <mergeCell ref="G20:K20"/>
    <mergeCell ref="G22:K22"/>
    <mergeCell ref="X3:AB3"/>
    <mergeCell ref="AD3:AH3"/>
    <mergeCell ref="AJ3:AN3"/>
  </mergeCells>
  <pageMargins left="0.7" right="0.7" top="0.75" bottom="0.75" header="0.3" footer="0.3"/>
  <pageSetup scale="59" fitToWidth="2" orientation="landscape" r:id="rId1"/>
  <headerFooter>
    <oddHeader>&amp;LAvista
Ms. Schultz Workpapers&amp;R&amp;F
Workpaper Ref. &amp;A</oddHead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dimension ref="B4:N31"/>
  <sheetViews>
    <sheetView zoomScaleNormal="100" workbookViewId="0"/>
  </sheetViews>
  <sheetFormatPr defaultRowHeight="13.2"/>
  <cols>
    <col min="2" max="2" width="39.6640625" bestFit="1" customWidth="1"/>
    <col min="3" max="3" width="21.6640625" style="213" bestFit="1" customWidth="1"/>
    <col min="4" max="4" width="21.33203125" style="213" bestFit="1" customWidth="1"/>
    <col min="5" max="5" width="23.5546875" style="213" bestFit="1" customWidth="1"/>
    <col min="6" max="6" width="9.5546875" style="213" bestFit="1" customWidth="1"/>
    <col min="7" max="7" width="17.33203125" style="213" bestFit="1" customWidth="1"/>
    <col min="8" max="8" width="21.6640625" style="213" bestFit="1" customWidth="1"/>
    <col min="9" max="9" width="21.33203125" style="213" bestFit="1" customWidth="1"/>
    <col min="10" max="10" width="23.5546875" style="213" bestFit="1" customWidth="1"/>
    <col min="11" max="11" width="9.5546875" style="213" bestFit="1" customWidth="1"/>
    <col min="12" max="12" width="17.33203125" style="213" bestFit="1" customWidth="1"/>
    <col min="13" max="14" width="15.33203125" style="213" customWidth="1"/>
  </cols>
  <sheetData>
    <row r="4" spans="2:14">
      <c r="C4" s="212" t="s">
        <v>839</v>
      </c>
    </row>
    <row r="5" spans="2:14" ht="66">
      <c r="C5" s="213" t="s">
        <v>841</v>
      </c>
      <c r="H5" s="213" t="s">
        <v>844</v>
      </c>
      <c r="M5" s="215" t="s">
        <v>842</v>
      </c>
      <c r="N5" s="215" t="s">
        <v>843</v>
      </c>
    </row>
    <row r="6" spans="2:14">
      <c r="B6" s="146" t="s">
        <v>840</v>
      </c>
      <c r="C6" s="215" t="s">
        <v>803</v>
      </c>
      <c r="D6" s="215" t="s">
        <v>736</v>
      </c>
      <c r="E6" s="215" t="s">
        <v>52</v>
      </c>
      <c r="F6" s="215" t="s">
        <v>587</v>
      </c>
      <c r="G6" s="215" t="s">
        <v>787</v>
      </c>
      <c r="H6" s="215" t="s">
        <v>803</v>
      </c>
      <c r="I6" s="215" t="s">
        <v>736</v>
      </c>
      <c r="J6" s="215" t="s">
        <v>52</v>
      </c>
      <c r="K6" s="215" t="s">
        <v>587</v>
      </c>
      <c r="L6" s="215" t="s">
        <v>787</v>
      </c>
      <c r="M6" s="215"/>
      <c r="N6" s="215"/>
    </row>
    <row r="7" spans="2:14">
      <c r="B7" s="211" t="s">
        <v>505</v>
      </c>
      <c r="C7" s="216">
        <v>0</v>
      </c>
      <c r="D7" s="216">
        <v>6.8886234492369192E-2</v>
      </c>
      <c r="E7" s="216">
        <v>9.6036161672890974E-2</v>
      </c>
      <c r="F7" s="216">
        <v>0.83507760383473972</v>
      </c>
      <c r="G7" s="216">
        <v>0</v>
      </c>
      <c r="H7" s="216" t="e">
        <v>#DIV/0!</v>
      </c>
      <c r="I7" s="216" t="e">
        <v>#DIV/0!</v>
      </c>
      <c r="J7" s="216" t="e">
        <v>#DIV/0!</v>
      </c>
      <c r="K7" s="216" t="e">
        <v>#DIV/0!</v>
      </c>
      <c r="L7" s="216" t="e">
        <v>#DIV/0!</v>
      </c>
      <c r="M7" s="216">
        <v>1</v>
      </c>
      <c r="N7" s="216" t="e">
        <v>#DIV/0!</v>
      </c>
    </row>
    <row r="8" spans="2:14">
      <c r="B8" s="211" t="s">
        <v>506</v>
      </c>
      <c r="C8" s="216">
        <v>0</v>
      </c>
      <c r="D8" s="216">
        <v>0.25082532537307978</v>
      </c>
      <c r="E8" s="216">
        <v>0.54578286643770169</v>
      </c>
      <c r="F8" s="216">
        <v>0.20339180818921859</v>
      </c>
      <c r="G8" s="216">
        <v>0</v>
      </c>
      <c r="H8" s="216" t="e">
        <v>#DIV/0!</v>
      </c>
      <c r="I8" s="216" t="e">
        <v>#DIV/0!</v>
      </c>
      <c r="J8" s="216" t="e">
        <v>#DIV/0!</v>
      </c>
      <c r="K8" s="216" t="e">
        <v>#DIV/0!</v>
      </c>
      <c r="L8" s="216" t="e">
        <v>#DIV/0!</v>
      </c>
      <c r="M8" s="216">
        <v>1</v>
      </c>
      <c r="N8" s="216" t="e">
        <v>#DIV/0!</v>
      </c>
    </row>
    <row r="9" spans="2:14">
      <c r="B9" s="211" t="s">
        <v>44</v>
      </c>
      <c r="C9" s="216">
        <v>0</v>
      </c>
      <c r="D9" s="216">
        <v>0.55111960246980241</v>
      </c>
      <c r="E9" s="216">
        <v>0</v>
      </c>
      <c r="F9" s="216">
        <v>0.44888039753019748</v>
      </c>
      <c r="G9" s="216">
        <v>0</v>
      </c>
      <c r="H9" s="216">
        <v>0</v>
      </c>
      <c r="I9" s="216">
        <v>0.55111960246980241</v>
      </c>
      <c r="J9" s="216">
        <v>0</v>
      </c>
      <c r="K9" s="216">
        <v>0.44888039753019765</v>
      </c>
      <c r="L9" s="216">
        <v>0</v>
      </c>
      <c r="M9" s="216">
        <v>1</v>
      </c>
      <c r="N9" s="216">
        <v>1</v>
      </c>
    </row>
    <row r="10" spans="2:14">
      <c r="B10" s="211" t="s">
        <v>46</v>
      </c>
      <c r="C10" s="216" t="e">
        <v>#DIV/0!</v>
      </c>
      <c r="D10" s="216" t="e">
        <v>#DIV/0!</v>
      </c>
      <c r="E10" s="216" t="e">
        <v>#DIV/0!</v>
      </c>
      <c r="F10" s="216" t="e">
        <v>#DIV/0!</v>
      </c>
      <c r="G10" s="216" t="e">
        <v>#DIV/0!</v>
      </c>
      <c r="H10" s="216">
        <v>0</v>
      </c>
      <c r="I10" s="216">
        <v>0.21756797468941461</v>
      </c>
      <c r="J10" s="216">
        <v>0.60199302778166253</v>
      </c>
      <c r="K10" s="216">
        <v>0.18043899752892278</v>
      </c>
      <c r="L10" s="216">
        <v>0</v>
      </c>
      <c r="M10" s="216" t="e">
        <v>#DIV/0!</v>
      </c>
      <c r="N10" s="216">
        <v>1</v>
      </c>
    </row>
    <row r="11" spans="2:14">
      <c r="B11" s="211" t="s">
        <v>47</v>
      </c>
      <c r="C11" s="216" t="e">
        <v>#DIV/0!</v>
      </c>
      <c r="D11" s="216" t="e">
        <v>#DIV/0!</v>
      </c>
      <c r="E11" s="216" t="e">
        <v>#DIV/0!</v>
      </c>
      <c r="F11" s="216" t="e">
        <v>#DIV/0!</v>
      </c>
      <c r="G11" s="216" t="e">
        <v>#DIV/0!</v>
      </c>
      <c r="H11" s="216">
        <v>0</v>
      </c>
      <c r="I11" s="216">
        <v>1</v>
      </c>
      <c r="J11" s="216">
        <v>0</v>
      </c>
      <c r="K11" s="216">
        <v>0</v>
      </c>
      <c r="L11" s="216">
        <v>0</v>
      </c>
      <c r="M11" s="216" t="e">
        <v>#DIV/0!</v>
      </c>
      <c r="N11" s="216">
        <v>1</v>
      </c>
    </row>
    <row r="12" spans="2:14">
      <c r="B12" s="211" t="s">
        <v>12</v>
      </c>
      <c r="C12" s="216">
        <v>0</v>
      </c>
      <c r="D12" s="216">
        <v>0.11686181839714627</v>
      </c>
      <c r="E12" s="216">
        <v>0</v>
      </c>
      <c r="F12" s="216">
        <v>0.3431266327627206</v>
      </c>
      <c r="G12" s="216">
        <v>0.54001154884013303</v>
      </c>
      <c r="H12" s="216">
        <v>0</v>
      </c>
      <c r="I12" s="216">
        <v>0.12597071072405255</v>
      </c>
      <c r="J12" s="216">
        <v>0</v>
      </c>
      <c r="K12" s="216">
        <v>0.29358635920529347</v>
      </c>
      <c r="L12" s="216">
        <v>0.58044293007065406</v>
      </c>
      <c r="M12" s="216">
        <v>1</v>
      </c>
      <c r="N12" s="216">
        <v>1</v>
      </c>
    </row>
    <row r="13" spans="2:14">
      <c r="B13" s="211" t="s">
        <v>507</v>
      </c>
      <c r="C13" s="216">
        <v>0</v>
      </c>
      <c r="D13" s="216">
        <v>0.53573887556486</v>
      </c>
      <c r="E13" s="216">
        <v>0.30340509028819468</v>
      </c>
      <c r="F13" s="216">
        <v>0.1608560341469453</v>
      </c>
      <c r="G13" s="216">
        <v>0</v>
      </c>
      <c r="H13" s="216" t="e">
        <v>#DIV/0!</v>
      </c>
      <c r="I13" s="216" t="e">
        <v>#DIV/0!</v>
      </c>
      <c r="J13" s="216" t="e">
        <v>#DIV/0!</v>
      </c>
      <c r="K13" s="216" t="e">
        <v>#DIV/0!</v>
      </c>
      <c r="L13" s="216" t="e">
        <v>#DIV/0!</v>
      </c>
      <c r="M13" s="216">
        <v>1</v>
      </c>
      <c r="N13" s="216" t="e">
        <v>#DIV/0!</v>
      </c>
    </row>
    <row r="14" spans="2:14">
      <c r="B14" s="211" t="s">
        <v>508</v>
      </c>
      <c r="C14" s="216">
        <v>0</v>
      </c>
      <c r="D14" s="216">
        <v>0</v>
      </c>
      <c r="E14" s="216">
        <v>0</v>
      </c>
      <c r="F14" s="216">
        <v>1</v>
      </c>
      <c r="G14" s="216">
        <v>0</v>
      </c>
      <c r="H14" s="216" t="e">
        <v>#DIV/0!</v>
      </c>
      <c r="I14" s="216" t="e">
        <v>#DIV/0!</v>
      </c>
      <c r="J14" s="216" t="e">
        <v>#DIV/0!</v>
      </c>
      <c r="K14" s="216" t="e">
        <v>#DIV/0!</v>
      </c>
      <c r="L14" s="216" t="e">
        <v>#DIV/0!</v>
      </c>
      <c r="M14" s="216">
        <v>1</v>
      </c>
      <c r="N14" s="216" t="e">
        <v>#DIV/0!</v>
      </c>
    </row>
    <row r="15" spans="2:14">
      <c r="B15" s="211" t="s">
        <v>41</v>
      </c>
      <c r="C15" s="216">
        <v>0.84064746667056212</v>
      </c>
      <c r="D15" s="216">
        <v>0</v>
      </c>
      <c r="E15" s="216">
        <v>0</v>
      </c>
      <c r="F15" s="216">
        <v>0</v>
      </c>
      <c r="G15" s="216">
        <v>0.15935253332943797</v>
      </c>
      <c r="H15" s="216">
        <v>0.84064746667056212</v>
      </c>
      <c r="I15" s="216">
        <v>0</v>
      </c>
      <c r="J15" s="216">
        <v>0</v>
      </c>
      <c r="K15" s="216">
        <v>0</v>
      </c>
      <c r="L15" s="216">
        <v>0.15935253332943797</v>
      </c>
      <c r="M15" s="216">
        <v>1</v>
      </c>
      <c r="N15" s="216">
        <v>1</v>
      </c>
    </row>
    <row r="16" spans="2:14">
      <c r="B16" s="211" t="s">
        <v>43</v>
      </c>
      <c r="C16" s="216">
        <v>0</v>
      </c>
      <c r="D16" s="216">
        <v>0</v>
      </c>
      <c r="E16" s="216">
        <v>0</v>
      </c>
      <c r="F16" s="216">
        <v>1</v>
      </c>
      <c r="G16" s="216">
        <v>0</v>
      </c>
      <c r="H16" s="216">
        <v>0</v>
      </c>
      <c r="I16" s="216">
        <v>0</v>
      </c>
      <c r="J16" s="216">
        <v>0</v>
      </c>
      <c r="K16" s="216">
        <v>1</v>
      </c>
      <c r="L16" s="216">
        <v>0</v>
      </c>
      <c r="M16" s="216">
        <v>1</v>
      </c>
      <c r="N16" s="216">
        <v>1</v>
      </c>
    </row>
    <row r="17" spans="2:14">
      <c r="B17" s="211" t="s">
        <v>244</v>
      </c>
      <c r="C17" s="216">
        <v>7.5542066504284203E-2</v>
      </c>
      <c r="D17" s="216">
        <v>0.16975683557965801</v>
      </c>
      <c r="E17" s="216">
        <v>0.25806087271059508</v>
      </c>
      <c r="F17" s="216">
        <v>0.40927045861935724</v>
      </c>
      <c r="G17" s="216">
        <v>8.7369766586105443E-2</v>
      </c>
      <c r="H17" s="216">
        <v>9.4339527631997072E-2</v>
      </c>
      <c r="I17" s="216">
        <v>0.20807832994333739</v>
      </c>
      <c r="J17" s="216">
        <v>0.37926528214984606</v>
      </c>
      <c r="K17" s="216">
        <v>0.20946669282280481</v>
      </c>
      <c r="L17" s="216">
        <v>0.10885016745201484</v>
      </c>
      <c r="M17" s="216">
        <v>1</v>
      </c>
      <c r="N17" s="21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14"/>
      <c r="D29" s="214"/>
      <c r="E29" s="214"/>
      <c r="F29" s="214"/>
      <c r="G29" s="214"/>
    </row>
    <row r="30" spans="2:14">
      <c r="C30" s="214"/>
      <c r="D30" s="214"/>
      <c r="E30" s="214"/>
      <c r="F30" s="214"/>
      <c r="G30" s="214"/>
    </row>
    <row r="31" spans="2:14">
      <c r="C31" s="214"/>
      <c r="D31" s="214"/>
      <c r="E31" s="214"/>
      <c r="F31" s="214"/>
      <c r="G31" s="214"/>
    </row>
  </sheetData>
  <pageMargins left="0.7" right="0.7" top="0.75" bottom="0.75" header="0.3" footer="0.3"/>
  <pageSetup scale="48" orientation="landscape" horizontalDpi="1200" verticalDpi="1200" r:id="rId2"/>
  <headerFooter>
    <oddHeader>&amp;LAvista
Ms. Schultz Workpapers&amp;R&amp;F
Workpaper Ref. &amp;A</oddHead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ABE4DA7F-96CA-4958-B2EE-CFC847C3B59D}"/>
</file>

<file path=customXml/itemProps2.xml><?xml version="1.0" encoding="utf-8"?>
<ds:datastoreItem xmlns:ds="http://schemas.openxmlformats.org/officeDocument/2006/customXml" ds:itemID="{BE01ADF9-6C20-4F83-BDF1-7FE22C6D8A4A}"/>
</file>

<file path=customXml/itemProps3.xml><?xml version="1.0" encoding="utf-8"?>
<ds:datastoreItem xmlns:ds="http://schemas.openxmlformats.org/officeDocument/2006/customXml" ds:itemID="{CC674BDC-9118-4A5A-87A6-14656BF490B9}"/>
</file>

<file path=customXml/itemProps4.xml><?xml version="1.0" encoding="utf-8"?>
<ds:datastoreItem xmlns:ds="http://schemas.openxmlformats.org/officeDocument/2006/customXml" ds:itemID="{8AE72B63-1BFB-4E03-B957-7118AA46C3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2020-10-25T17:44:38Z</cp:lastPrinted>
  <dcterms:created xsi:type="dcterms:W3CDTF">2009-02-25T21:21:21Z</dcterms:created>
  <dcterms:modified xsi:type="dcterms:W3CDTF">2020-10-25T18:09:28Z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