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snyder\Documents\Bench_Requests_10-12\"/>
    </mc:Choice>
  </mc:AlternateContent>
  <bookViews>
    <workbookView xWindow="348" yWindow="1980" windowWidth="19416" windowHeight="11016" tabRatio="803"/>
  </bookViews>
  <sheets>
    <sheet name="Elec-Dec14" sheetId="1" r:id="rId1"/>
    <sheet name="Gas North-Dec14" sheetId="2" r:id="rId2"/>
    <sheet name="SYS-Dec14" sheetId="6" r:id="rId3"/>
    <sheet name="EOPbalances" sheetId="5" r:id="rId4"/>
    <sheet name="CDA DFIT" sheetId="7" r:id="rId5"/>
    <sheet name="Other DFIT_AMA" sheetId="8" r:id="rId6"/>
    <sheet name="283324 ED AN" sheetId="9" state="hidden" r:id="rId7"/>
    <sheet name="283325. ED AN " sheetId="10" state="hidden" r:id="rId8"/>
    <sheet name="283382 ED AN" sheetId="11" r:id="rId9"/>
    <sheet name="283333 ED AN" sheetId="19" r:id="rId10"/>
    <sheet name="283200 ED AN" sheetId="12" r:id="rId11"/>
    <sheet name="283850 CD AA" sheetId="13" r:id="rId12"/>
    <sheet name="283750 CD AA" sheetId="18" r:id="rId13"/>
    <sheet name="Elec AMA-Functional" sheetId="14" r:id="rId14"/>
    <sheet name="Gas AMA-Functional" sheetId="15" r:id="rId15"/>
    <sheet name="E-PLT" sheetId="21" r:id="rId16"/>
    <sheet name="G-PLT" sheetId="22" r:id="rId17"/>
  </sheets>
  <definedNames>
    <definedName name="_xlnm.Print_Area" localSheetId="9">'283333 ED AN'!$A$1:$H$25</definedName>
    <definedName name="_xlnm.Print_Area" localSheetId="8">'283382 ED AN'!$A$1:$F$25</definedName>
    <definedName name="_xlnm.Print_Area" localSheetId="4">'CDA DFIT'!$B$1:$F$34</definedName>
    <definedName name="_xlnm.Print_Area" localSheetId="13">'Elec AMA-Functional'!$A$1:$I$26</definedName>
    <definedName name="_xlnm.Print_Area" localSheetId="0">'Elec-Dec14'!$A$1:$F$49</definedName>
    <definedName name="_xlnm.Print_Area" localSheetId="14">'Gas AMA-Functional'!$A$1:$H$20</definedName>
    <definedName name="_xlnm.Print_Area" localSheetId="1">'Gas North-Dec14'!$A$1:$F$45</definedName>
    <definedName name="_xlnm.Print_Area" localSheetId="5">'Other DFIT_AMA'!$A$1:$E$27</definedName>
    <definedName name="_xlnm.Print_Area" localSheetId="2">'SYS-Dec14'!$A$1:$G$34</definedName>
  </definedNames>
  <calcPr calcId="152511"/>
</workbook>
</file>

<file path=xl/calcChain.xml><?xml version="1.0" encoding="utf-8"?>
<calcChain xmlns="http://schemas.openxmlformats.org/spreadsheetml/2006/main">
  <c r="I24" i="5" l="1"/>
  <c r="I26" i="5" s="1"/>
  <c r="H24" i="5"/>
  <c r="H26" i="5" s="1"/>
  <c r="G24" i="5"/>
  <c r="G26" i="5" s="1"/>
  <c r="B24" i="5"/>
  <c r="F26" i="5"/>
  <c r="C26" i="5"/>
  <c r="B26" i="5"/>
  <c r="D24" i="5"/>
  <c r="K24" i="5" l="1"/>
  <c r="D16" i="6"/>
  <c r="D8" i="6"/>
  <c r="D12" i="6"/>
  <c r="D10" i="6"/>
  <c r="L23" i="5"/>
  <c r="D23" i="5"/>
  <c r="K23" i="5" s="1"/>
  <c r="D20" i="5"/>
  <c r="D19" i="5"/>
  <c r="K19" i="5" s="1"/>
  <c r="K18" i="5"/>
  <c r="D18" i="5"/>
  <c r="D17" i="5"/>
  <c r="K17" i="5" s="1"/>
  <c r="C10" i="5"/>
  <c r="D10" i="5" s="1"/>
  <c r="K10" i="5" s="1"/>
  <c r="K9" i="5"/>
  <c r="D9" i="5"/>
  <c r="D8" i="5"/>
  <c r="K8" i="5" s="1"/>
  <c r="D26" i="5" l="1"/>
  <c r="K20" i="5"/>
  <c r="K26" i="5"/>
  <c r="D14" i="6"/>
  <c r="C11" i="5"/>
  <c r="C12" i="5" l="1"/>
  <c r="D11" i="5"/>
  <c r="F6" i="19"/>
  <c r="D10" i="7" s="1"/>
  <c r="I7" i="19"/>
  <c r="I8" i="19" s="1"/>
  <c r="I9" i="19" s="1"/>
  <c r="I10" i="19" s="1"/>
  <c r="I11" i="19" s="1"/>
  <c r="I12" i="19" s="1"/>
  <c r="I13" i="19" s="1"/>
  <c r="I14" i="19" s="1"/>
  <c r="I15" i="19" s="1"/>
  <c r="I16" i="19" s="1"/>
  <c r="I17" i="19" s="1"/>
  <c r="I18" i="19" s="1"/>
  <c r="D12" i="5" l="1"/>
  <c r="K12" i="5" s="1"/>
  <c r="C13" i="5"/>
  <c r="K11" i="5"/>
  <c r="I17" i="21"/>
  <c r="I16" i="21"/>
  <c r="I15" i="21"/>
  <c r="I14" i="21"/>
  <c r="L12" i="21"/>
  <c r="K12" i="21"/>
  <c r="H12" i="21"/>
  <c r="G12" i="21"/>
  <c r="I11" i="21"/>
  <c r="I10" i="21"/>
  <c r="I9" i="21"/>
  <c r="I8" i="21"/>
  <c r="I7" i="21"/>
  <c r="I6" i="21"/>
  <c r="I5" i="21"/>
  <c r="I4" i="21"/>
  <c r="D13" i="5" l="1"/>
  <c r="C14" i="5"/>
  <c r="I12" i="21"/>
  <c r="H27" i="21"/>
  <c r="K13" i="5" l="1"/>
  <c r="C15" i="5"/>
  <c r="D14" i="5"/>
  <c r="K14" i="5" s="1"/>
  <c r="F41" i="1"/>
  <c r="F42" i="1"/>
  <c r="F43" i="1"/>
  <c r="C16" i="5" l="1"/>
  <c r="D16" i="5" s="1"/>
  <c r="K16" i="5" s="1"/>
  <c r="D15" i="5"/>
  <c r="K15" i="5" s="1"/>
  <c r="F6" i="13"/>
  <c r="A6" i="9"/>
  <c r="A7" i="9"/>
  <c r="A8" i="9"/>
  <c r="A9" i="9"/>
  <c r="A10" i="9"/>
  <c r="A11" i="9"/>
  <c r="A12" i="9"/>
  <c r="A13" i="9"/>
  <c r="A14" i="9"/>
  <c r="A15" i="9"/>
  <c r="A16" i="9"/>
  <c r="A17" i="9"/>
  <c r="A18" i="9"/>
  <c r="D6" i="9"/>
  <c r="L31" i="22" l="1"/>
  <c r="L30" i="22"/>
  <c r="L29" i="22"/>
  <c r="K25" i="22"/>
  <c r="G25" i="22"/>
  <c r="D25" i="22"/>
  <c r="L24" i="22"/>
  <c r="M24" i="22" s="1"/>
  <c r="I24" i="22"/>
  <c r="C24" i="22"/>
  <c r="E24" i="22" s="1"/>
  <c r="H23" i="22"/>
  <c r="L23" i="22" s="1"/>
  <c r="M23" i="22" s="1"/>
  <c r="E23" i="22"/>
  <c r="C23" i="22"/>
  <c r="L22" i="22"/>
  <c r="M22" i="22" s="1"/>
  <c r="I22" i="22"/>
  <c r="E22" i="22"/>
  <c r="C22" i="22"/>
  <c r="H21" i="22"/>
  <c r="I21" i="22" s="1"/>
  <c r="C21" i="22"/>
  <c r="E21" i="22" s="1"/>
  <c r="H20" i="22"/>
  <c r="L20" i="22" s="1"/>
  <c r="M20" i="22" s="1"/>
  <c r="C20" i="22"/>
  <c r="E20" i="22" s="1"/>
  <c r="H19" i="22"/>
  <c r="I19" i="22" s="1"/>
  <c r="C19" i="22"/>
  <c r="C25" i="22" s="1"/>
  <c r="F14" i="22"/>
  <c r="M13" i="22"/>
  <c r="M12" i="22"/>
  <c r="L49" i="15" s="1"/>
  <c r="I12" i="22"/>
  <c r="L22" i="15" s="1"/>
  <c r="D12" i="22"/>
  <c r="I15" i="2" s="1"/>
  <c r="C12" i="22"/>
  <c r="I13" i="2" s="1"/>
  <c r="M11" i="22"/>
  <c r="L46" i="15" s="1"/>
  <c r="I11" i="22"/>
  <c r="L19" i="15" s="1"/>
  <c r="D11" i="22"/>
  <c r="C11" i="22"/>
  <c r="M10" i="22"/>
  <c r="L37" i="15" s="1"/>
  <c r="L40" i="15" s="1"/>
  <c r="I10" i="22"/>
  <c r="L10" i="15" s="1"/>
  <c r="L13" i="15" s="1"/>
  <c r="D10" i="22"/>
  <c r="C10" i="22"/>
  <c r="L8" i="22"/>
  <c r="L14" i="22" s="1"/>
  <c r="K8" i="22"/>
  <c r="K14" i="22" s="1"/>
  <c r="H8" i="22"/>
  <c r="H14" i="22" s="1"/>
  <c r="G8" i="22"/>
  <c r="G14" i="22" s="1"/>
  <c r="M7" i="22"/>
  <c r="I7" i="22"/>
  <c r="D7" i="22"/>
  <c r="C7" i="22"/>
  <c r="E7" i="22" s="1"/>
  <c r="M6" i="22"/>
  <c r="I6" i="22"/>
  <c r="D6" i="22"/>
  <c r="C6" i="22"/>
  <c r="M5" i="22"/>
  <c r="I5" i="22"/>
  <c r="D5" i="22"/>
  <c r="C5" i="22"/>
  <c r="M4" i="22"/>
  <c r="I4" i="22"/>
  <c r="D4" i="22"/>
  <c r="C4" i="22"/>
  <c r="E4" i="22" s="1"/>
  <c r="L36" i="21"/>
  <c r="L35" i="21"/>
  <c r="L34" i="21"/>
  <c r="K30" i="21"/>
  <c r="G30" i="21"/>
  <c r="D30" i="21"/>
  <c r="L29" i="21"/>
  <c r="M29" i="21" s="1"/>
  <c r="I29" i="21"/>
  <c r="E29" i="21"/>
  <c r="C29" i="21"/>
  <c r="H28" i="21"/>
  <c r="I28" i="21" s="1"/>
  <c r="C28" i="21"/>
  <c r="E28" i="21" s="1"/>
  <c r="L27" i="21"/>
  <c r="M27" i="21" s="1"/>
  <c r="I27" i="21"/>
  <c r="C27" i="21"/>
  <c r="E27" i="21" s="1"/>
  <c r="H26" i="21"/>
  <c r="L26" i="21" s="1"/>
  <c r="M26" i="21" s="1"/>
  <c r="C26" i="21"/>
  <c r="E26" i="21" s="1"/>
  <c r="H25" i="21"/>
  <c r="L25" i="21" s="1"/>
  <c r="M25" i="21" s="1"/>
  <c r="E25" i="21"/>
  <c r="C25" i="21"/>
  <c r="H24" i="21"/>
  <c r="C24" i="21"/>
  <c r="F19" i="21"/>
  <c r="M18" i="21"/>
  <c r="M17" i="21"/>
  <c r="M72" i="14" s="1"/>
  <c r="M25" i="14"/>
  <c r="D17" i="21"/>
  <c r="I16" i="1" s="1"/>
  <c r="C17" i="21"/>
  <c r="M16" i="21"/>
  <c r="M69" i="14" s="1"/>
  <c r="M22" i="14"/>
  <c r="D16" i="21"/>
  <c r="C16" i="21"/>
  <c r="M15" i="21"/>
  <c r="M64" i="14" s="1"/>
  <c r="M17" i="14"/>
  <c r="D15" i="21"/>
  <c r="E15" i="21" s="1"/>
  <c r="I12" i="1" s="1"/>
  <c r="C15" i="21"/>
  <c r="M14" i="21"/>
  <c r="M57" i="14" s="1"/>
  <c r="M10" i="14"/>
  <c r="D14" i="21"/>
  <c r="E14" i="21" s="1"/>
  <c r="I11" i="1" s="1"/>
  <c r="C14" i="21"/>
  <c r="L19" i="21"/>
  <c r="K19" i="21"/>
  <c r="H19" i="21"/>
  <c r="G19" i="21"/>
  <c r="M11" i="21"/>
  <c r="D11" i="21"/>
  <c r="C11" i="21"/>
  <c r="M10" i="21"/>
  <c r="D10" i="21"/>
  <c r="C10" i="21"/>
  <c r="M9" i="21"/>
  <c r="D9" i="21"/>
  <c r="C9" i="21"/>
  <c r="M8" i="21"/>
  <c r="D8" i="21"/>
  <c r="C8" i="21"/>
  <c r="M7" i="21"/>
  <c r="D7" i="21"/>
  <c r="C7" i="21"/>
  <c r="M6" i="21"/>
  <c r="D6" i="21"/>
  <c r="E6" i="21" s="1"/>
  <c r="C6" i="21"/>
  <c r="M5" i="21"/>
  <c r="D5" i="21"/>
  <c r="C5" i="21"/>
  <c r="M4" i="21"/>
  <c r="M11" i="14"/>
  <c r="D4" i="21"/>
  <c r="C4" i="21"/>
  <c r="C30" i="21" l="1"/>
  <c r="M58" i="14"/>
  <c r="E10" i="22"/>
  <c r="I11" i="2" s="1"/>
  <c r="I26" i="21"/>
  <c r="L19" i="22"/>
  <c r="M51" i="14"/>
  <c r="E5" i="21"/>
  <c r="E9" i="21"/>
  <c r="E16" i="21"/>
  <c r="I13" i="1" s="1"/>
  <c r="E17" i="21"/>
  <c r="C8" i="22"/>
  <c r="C14" i="22" s="1"/>
  <c r="E6" i="22"/>
  <c r="D8" i="22"/>
  <c r="D14" i="22" s="1"/>
  <c r="I23" i="22"/>
  <c r="L21" i="22"/>
  <c r="M21" i="22" s="1"/>
  <c r="L28" i="21"/>
  <c r="M28" i="21" s="1"/>
  <c r="I14" i="1"/>
  <c r="E10" i="21"/>
  <c r="M4" i="14"/>
  <c r="E7" i="21"/>
  <c r="M13" i="14"/>
  <c r="M60" i="14"/>
  <c r="H25" i="22"/>
  <c r="M8" i="22"/>
  <c r="E5" i="22"/>
  <c r="E12" i="22"/>
  <c r="E11" i="22"/>
  <c r="I12" i="2" s="1"/>
  <c r="I8" i="22"/>
  <c r="H30" i="21"/>
  <c r="M5" i="14" s="1"/>
  <c r="M26" i="14" s="1"/>
  <c r="M27" i="14" s="1"/>
  <c r="L24" i="21"/>
  <c r="I24" i="21"/>
  <c r="M12" i="21"/>
  <c r="M19" i="21" s="1"/>
  <c r="E11" i="21"/>
  <c r="E8" i="21"/>
  <c r="I19" i="21"/>
  <c r="D12" i="21"/>
  <c r="D19" i="21" s="1"/>
  <c r="E4" i="21"/>
  <c r="E19" i="22"/>
  <c r="E25" i="22" s="1"/>
  <c r="I16" i="2" s="1"/>
  <c r="M19" i="22"/>
  <c r="M25" i="22" s="1"/>
  <c r="I20" i="22"/>
  <c r="C12" i="21"/>
  <c r="C19" i="21" s="1"/>
  <c r="E24" i="21"/>
  <c r="E30" i="21" s="1"/>
  <c r="I17" i="1" s="1"/>
  <c r="I25" i="21"/>
  <c r="I30" i="21" l="1"/>
  <c r="L25" i="22"/>
  <c r="L31" i="15" s="1"/>
  <c r="L50" i="15" s="1"/>
  <c r="L51" i="15" s="1"/>
  <c r="L30" i="21"/>
  <c r="E8" i="22"/>
  <c r="I10" i="2" s="1"/>
  <c r="I14" i="2" s="1"/>
  <c r="M14" i="22"/>
  <c r="L30" i="15"/>
  <c r="I14" i="22"/>
  <c r="L4" i="15"/>
  <c r="I25" i="22"/>
  <c r="M52" i="14"/>
  <c r="L5" i="15"/>
  <c r="M7" i="14"/>
  <c r="I10" i="1"/>
  <c r="I15" i="1" s="1"/>
  <c r="I20" i="1"/>
  <c r="M24" i="21"/>
  <c r="M30" i="21" s="1"/>
  <c r="E12" i="21"/>
  <c r="E19" i="21" s="1"/>
  <c r="E14" i="22" l="1"/>
  <c r="L33" i="15"/>
  <c r="I26" i="1"/>
  <c r="L23" i="15"/>
  <c r="L24" i="15" s="1"/>
  <c r="L7" i="15"/>
  <c r="M54" i="14"/>
  <c r="M73" i="14"/>
  <c r="M74" i="14" s="1"/>
  <c r="I7" i="11" l="1"/>
  <c r="I8" i="11" s="1"/>
  <c r="I9" i="11" s="1"/>
  <c r="I10" i="11" s="1"/>
  <c r="I11" i="11" s="1"/>
  <c r="I12" i="11" s="1"/>
  <c r="I13" i="11" s="1"/>
  <c r="I14" i="11" s="1"/>
  <c r="I15" i="11" s="1"/>
  <c r="I16" i="11" s="1"/>
  <c r="I17" i="11" s="1"/>
  <c r="I18" i="11" s="1"/>
  <c r="A3" i="15" l="1"/>
  <c r="A32" i="15" s="1"/>
  <c r="E22" i="15"/>
  <c r="G9" i="15"/>
  <c r="H9" i="15"/>
  <c r="E10" i="15"/>
  <c r="F10" i="15"/>
  <c r="H10" i="15"/>
  <c r="E11" i="15"/>
  <c r="F11" i="15"/>
  <c r="G11" i="15"/>
  <c r="F12" i="15"/>
  <c r="G12" i="15"/>
  <c r="F13" i="15"/>
  <c r="G13" i="15"/>
  <c r="F22" i="15"/>
  <c r="G22" i="15"/>
  <c r="E52" i="15"/>
  <c r="G38" i="15"/>
  <c r="H38" i="15"/>
  <c r="E39" i="15"/>
  <c r="F39" i="15"/>
  <c r="H39" i="15"/>
  <c r="E40" i="15"/>
  <c r="F40" i="15"/>
  <c r="G40" i="15"/>
  <c r="F41" i="15"/>
  <c r="G41" i="15"/>
  <c r="F42" i="15"/>
  <c r="G42" i="15"/>
  <c r="H52" i="15"/>
  <c r="F52" i="15"/>
  <c r="G52" i="15"/>
  <c r="A3" i="14"/>
  <c r="A49" i="14" s="1"/>
  <c r="G9" i="14"/>
  <c r="H9" i="14"/>
  <c r="I9" i="14"/>
  <c r="E10" i="14"/>
  <c r="F10" i="14"/>
  <c r="H10" i="14"/>
  <c r="I10" i="14"/>
  <c r="E11" i="14"/>
  <c r="F11" i="14"/>
  <c r="G11" i="14"/>
  <c r="I11" i="14"/>
  <c r="E12" i="14"/>
  <c r="F12" i="14"/>
  <c r="G12" i="14"/>
  <c r="H12" i="14"/>
  <c r="F13" i="14"/>
  <c r="G13" i="14"/>
  <c r="H13" i="14"/>
  <c r="F28" i="14"/>
  <c r="F14" i="14"/>
  <c r="G14" i="14"/>
  <c r="H14" i="14"/>
  <c r="G20" i="14"/>
  <c r="H20" i="14"/>
  <c r="I20" i="14"/>
  <c r="E28" i="14"/>
  <c r="G28" i="14"/>
  <c r="H28" i="14"/>
  <c r="F31" i="14"/>
  <c r="G31" i="14"/>
  <c r="H31" i="14"/>
  <c r="I31" i="14"/>
  <c r="F32" i="14"/>
  <c r="G32" i="14"/>
  <c r="H32" i="14"/>
  <c r="I32" i="14"/>
  <c r="F33" i="14"/>
  <c r="G33" i="14"/>
  <c r="H33" i="14"/>
  <c r="I33" i="14"/>
  <c r="F34" i="14"/>
  <c r="D34" i="14" s="1"/>
  <c r="D35" i="14"/>
  <c r="D36" i="14"/>
  <c r="F37" i="14"/>
  <c r="G37" i="14"/>
  <c r="H37" i="14"/>
  <c r="I37" i="14"/>
  <c r="F38" i="14"/>
  <c r="G38" i="14"/>
  <c r="H38" i="14"/>
  <c r="I38" i="14"/>
  <c r="F39" i="14"/>
  <c r="G39" i="14"/>
  <c r="H39" i="14"/>
  <c r="I39" i="14"/>
  <c r="F40" i="14"/>
  <c r="G40" i="14"/>
  <c r="H40" i="14"/>
  <c r="I40" i="14"/>
  <c r="E73" i="14"/>
  <c r="G55" i="14"/>
  <c r="H55" i="14"/>
  <c r="I55" i="14"/>
  <c r="E56" i="14"/>
  <c r="F56" i="14"/>
  <c r="H56" i="14"/>
  <c r="I56" i="14"/>
  <c r="E57" i="14"/>
  <c r="F57" i="14"/>
  <c r="G57" i="14"/>
  <c r="I57" i="14"/>
  <c r="E58" i="14"/>
  <c r="F58" i="14"/>
  <c r="G58" i="14"/>
  <c r="H58" i="14"/>
  <c r="F59" i="14"/>
  <c r="G59" i="14"/>
  <c r="H59" i="14"/>
  <c r="F60" i="14"/>
  <c r="G60" i="14"/>
  <c r="H60" i="14"/>
  <c r="F73" i="14"/>
  <c r="G66" i="14"/>
  <c r="H66" i="14"/>
  <c r="I66" i="14"/>
  <c r="G73" i="14"/>
  <c r="H73" i="14"/>
  <c r="O72" i="14"/>
  <c r="O73" i="14" l="1"/>
  <c r="O74" i="14" s="1"/>
  <c r="H22" i="15"/>
  <c r="D22" i="15" s="1"/>
  <c r="G23" i="15" s="1"/>
  <c r="N22" i="15"/>
  <c r="D52" i="15"/>
  <c r="G53" i="15" s="1"/>
  <c r="N49" i="15"/>
  <c r="N50" i="15"/>
  <c r="N23" i="15"/>
  <c r="I28" i="14"/>
  <c r="O25" i="14"/>
  <c r="I73" i="14"/>
  <c r="O26" i="14"/>
  <c r="F33" i="2"/>
  <c r="F34" i="2"/>
  <c r="F35" i="2"/>
  <c r="F32" i="2"/>
  <c r="H53" i="15" l="1"/>
  <c r="E53" i="15"/>
  <c r="F53" i="15"/>
  <c r="N51" i="15"/>
  <c r="H23" i="15"/>
  <c r="N24" i="15"/>
  <c r="F23" i="15"/>
  <c r="E23" i="15"/>
  <c r="O27" i="14"/>
  <c r="D73" i="14"/>
  <c r="D28" i="14"/>
  <c r="I29" i="14" s="1"/>
  <c r="F40" i="1"/>
  <c r="F39" i="1"/>
  <c r="G74" i="14" l="1"/>
  <c r="F74" i="14"/>
  <c r="E74" i="14"/>
  <c r="H74" i="14"/>
  <c r="I74" i="14"/>
  <c r="E29" i="14"/>
  <c r="F29" i="14"/>
  <c r="H29" i="14"/>
  <c r="G29" i="14"/>
  <c r="G18" i="11" l="1"/>
  <c r="G17" i="11"/>
  <c r="B7" i="18"/>
  <c r="D7" i="18" s="1"/>
  <c r="D6" i="10"/>
  <c r="F6" i="10" s="1"/>
  <c r="B7" i="11"/>
  <c r="D7" i="11" s="1"/>
  <c r="C19" i="19"/>
  <c r="A18" i="19"/>
  <c r="A17" i="19"/>
  <c r="A16" i="19"/>
  <c r="A15" i="19"/>
  <c r="A14" i="19"/>
  <c r="A13" i="19"/>
  <c r="A12" i="19"/>
  <c r="A11" i="19"/>
  <c r="A10" i="19"/>
  <c r="A9" i="19"/>
  <c r="A8" i="19"/>
  <c r="A7" i="19"/>
  <c r="A6" i="19"/>
  <c r="C19" i="11"/>
  <c r="C19" i="9"/>
  <c r="A18" i="18"/>
  <c r="A17" i="18"/>
  <c r="A16" i="18"/>
  <c r="C19" i="18"/>
  <c r="A15" i="18"/>
  <c r="A14" i="18"/>
  <c r="A13" i="18"/>
  <c r="A12" i="18"/>
  <c r="A11" i="18"/>
  <c r="A10" i="18"/>
  <c r="A9" i="18"/>
  <c r="A8" i="18"/>
  <c r="A7" i="18"/>
  <c r="A6" i="18"/>
  <c r="A7" i="10"/>
  <c r="A8" i="10"/>
  <c r="A9" i="10"/>
  <c r="A10" i="10"/>
  <c r="A11" i="10"/>
  <c r="A12" i="10"/>
  <c r="A13" i="10"/>
  <c r="A14" i="10"/>
  <c r="A15" i="10"/>
  <c r="A16" i="10"/>
  <c r="A17" i="10"/>
  <c r="A18" i="10"/>
  <c r="A6" i="10"/>
  <c r="A7" i="11"/>
  <c r="A8" i="11"/>
  <c r="A9" i="11"/>
  <c r="A10" i="11"/>
  <c r="A11" i="11"/>
  <c r="A12" i="11"/>
  <c r="A13" i="11"/>
  <c r="A14" i="11"/>
  <c r="A15" i="11"/>
  <c r="A16" i="11"/>
  <c r="A17" i="11"/>
  <c r="A18" i="11"/>
  <c r="A6" i="11"/>
  <c r="A7" i="13"/>
  <c r="A8" i="13"/>
  <c r="A9" i="13"/>
  <c r="A10" i="13"/>
  <c r="A11" i="13"/>
  <c r="A12" i="13"/>
  <c r="A13" i="13"/>
  <c r="A14" i="13"/>
  <c r="A15" i="13"/>
  <c r="A16" i="13"/>
  <c r="A17" i="13"/>
  <c r="A18" i="13"/>
  <c r="A6" i="13"/>
  <c r="A15" i="8"/>
  <c r="A16" i="8"/>
  <c r="A17" i="8"/>
  <c r="A18" i="8"/>
  <c r="A19" i="8"/>
  <c r="A20" i="8"/>
  <c r="A21" i="8"/>
  <c r="A22" i="8"/>
  <c r="A23" i="8"/>
  <c r="A24" i="8"/>
  <c r="A14" i="8"/>
  <c r="A10" i="8"/>
  <c r="A9" i="8"/>
  <c r="C19" i="13"/>
  <c r="C19" i="12"/>
  <c r="C19" i="10"/>
  <c r="A1" i="8"/>
  <c r="B1" i="7"/>
  <c r="D32" i="6"/>
  <c r="D31" i="6"/>
  <c r="D1" i="6"/>
  <c r="F39" i="2"/>
  <c r="E39" i="2"/>
  <c r="D38" i="2"/>
  <c r="D37" i="2"/>
  <c r="D35" i="2"/>
  <c r="D34" i="2"/>
  <c r="D33" i="2"/>
  <c r="D32" i="2"/>
  <c r="A23" i="2"/>
  <c r="A21" i="2"/>
  <c r="A20" i="2"/>
  <c r="C3" i="2"/>
  <c r="C1" i="2"/>
  <c r="D43" i="1"/>
  <c r="D42" i="1"/>
  <c r="D41" i="1"/>
  <c r="D40" i="1"/>
  <c r="D39" i="1"/>
  <c r="A29" i="1"/>
  <c r="C3" i="1"/>
  <c r="C1" i="1"/>
  <c r="B7" i="19" l="1"/>
  <c r="D7" i="19" s="1"/>
  <c r="D39" i="2"/>
  <c r="F40" i="2" s="1"/>
  <c r="B8" i="11"/>
  <c r="D8" i="11" s="1"/>
  <c r="B8" i="18"/>
  <c r="F7" i="18"/>
  <c r="H7" i="18" s="1"/>
  <c r="E14" i="8" s="1"/>
  <c r="J10" i="2"/>
  <c r="B7" i="13"/>
  <c r="D7" i="13" s="1"/>
  <c r="B7" i="10"/>
  <c r="D7" i="10" s="1"/>
  <c r="F6" i="18"/>
  <c r="H6" i="18" s="1"/>
  <c r="E9" i="8" s="1"/>
  <c r="D9" i="8"/>
  <c r="J14" i="1"/>
  <c r="J13" i="1"/>
  <c r="J12" i="1"/>
  <c r="J11" i="1"/>
  <c r="J10" i="1"/>
  <c r="E40" i="2"/>
  <c r="F7" i="19" l="1"/>
  <c r="D15" i="7" s="1"/>
  <c r="B8" i="19"/>
  <c r="D8" i="19" s="1"/>
  <c r="I23" i="2"/>
  <c r="J13" i="2"/>
  <c r="D40" i="2"/>
  <c r="G16" i="11"/>
  <c r="B9" i="11"/>
  <c r="D9" i="11" s="1"/>
  <c r="F7" i="10"/>
  <c r="B8" i="10"/>
  <c r="D8" i="10" s="1"/>
  <c r="B8" i="13"/>
  <c r="D8" i="13" s="1"/>
  <c r="F7" i="13"/>
  <c r="D14" i="8" s="1"/>
  <c r="J11" i="2"/>
  <c r="J12" i="2"/>
  <c r="J15" i="1"/>
  <c r="F8" i="19" l="1"/>
  <c r="D16" i="7" s="1"/>
  <c r="B9" i="19"/>
  <c r="D9" i="19" s="1"/>
  <c r="B10" i="19" s="1"/>
  <c r="D10" i="19" s="1"/>
  <c r="J14" i="2"/>
  <c r="B9" i="10"/>
  <c r="D9" i="10" s="1"/>
  <c r="F8" i="10"/>
  <c r="B9" i="13"/>
  <c r="D9" i="13" s="1"/>
  <c r="F8" i="13"/>
  <c r="D15" i="8" s="1"/>
  <c r="G15" i="11"/>
  <c r="D8" i="18"/>
  <c r="F8" i="18" s="1"/>
  <c r="H8" i="18" s="1"/>
  <c r="E15" i="8" s="1"/>
  <c r="B10" i="11"/>
  <c r="D10" i="11" s="1"/>
  <c r="F10" i="19" l="1"/>
  <c r="D18" i="7" s="1"/>
  <c r="F9" i="19"/>
  <c r="D17" i="7" s="1"/>
  <c r="B10" i="10"/>
  <c r="D10" i="10" s="1"/>
  <c r="F9" i="10"/>
  <c r="G14" i="11"/>
  <c r="B10" i="13"/>
  <c r="D10" i="13" s="1"/>
  <c r="F9" i="13"/>
  <c r="D16" i="8" s="1"/>
  <c r="B9" i="18"/>
  <c r="B11" i="19"/>
  <c r="D11" i="19" s="1"/>
  <c r="B11" i="11"/>
  <c r="D11" i="11" s="1"/>
  <c r="F11" i="19" l="1"/>
  <c r="D19" i="7" s="1"/>
  <c r="B11" i="13"/>
  <c r="D11" i="13" s="1"/>
  <c r="F10" i="13"/>
  <c r="D17" i="8" s="1"/>
  <c r="B11" i="10"/>
  <c r="D11" i="10" s="1"/>
  <c r="F10" i="10"/>
  <c r="G13" i="11"/>
  <c r="D9" i="18"/>
  <c r="F9" i="18" s="1"/>
  <c r="H9" i="18" s="1"/>
  <c r="E16" i="8" s="1"/>
  <c r="B12" i="19"/>
  <c r="D12" i="19" s="1"/>
  <c r="B12" i="11"/>
  <c r="D12" i="11" s="1"/>
  <c r="F12" i="19" l="1"/>
  <c r="D20" i="7" s="1"/>
  <c r="B12" i="13"/>
  <c r="D12" i="13" s="1"/>
  <c r="F11" i="13"/>
  <c r="D18" i="8" s="1"/>
  <c r="G12" i="11"/>
  <c r="F12" i="11" s="1"/>
  <c r="C20" i="7" s="1"/>
  <c r="B12" i="10"/>
  <c r="D12" i="10" s="1"/>
  <c r="F11" i="10"/>
  <c r="B10" i="18"/>
  <c r="B13" i="19"/>
  <c r="D13" i="19" s="1"/>
  <c r="B13" i="11"/>
  <c r="D13" i="11" s="1"/>
  <c r="F13" i="19" l="1"/>
  <c r="D21" i="7" s="1"/>
  <c r="B13" i="10"/>
  <c r="D13" i="10" s="1"/>
  <c r="F12" i="10"/>
  <c r="B13" i="13"/>
  <c r="D13" i="13" s="1"/>
  <c r="F12" i="13"/>
  <c r="D19" i="8" s="1"/>
  <c r="G11" i="11"/>
  <c r="F11" i="11" s="1"/>
  <c r="C19" i="7" s="1"/>
  <c r="F13" i="11"/>
  <c r="C21" i="7" s="1"/>
  <c r="D10" i="18"/>
  <c r="F10" i="18" s="1"/>
  <c r="H10" i="18" s="1"/>
  <c r="E17" i="8" s="1"/>
  <c r="B14" i="19"/>
  <c r="D14" i="19" s="1"/>
  <c r="B14" i="11"/>
  <c r="D14" i="11" s="1"/>
  <c r="F14" i="19" l="1"/>
  <c r="D22" i="7" s="1"/>
  <c r="F14" i="11"/>
  <c r="C22" i="7" s="1"/>
  <c r="B14" i="10"/>
  <c r="D14" i="10" s="1"/>
  <c r="F13" i="10"/>
  <c r="G10" i="11"/>
  <c r="B14" i="13"/>
  <c r="D14" i="13" s="1"/>
  <c r="F13" i="13"/>
  <c r="D20" i="8" s="1"/>
  <c r="B11" i="18"/>
  <c r="B15" i="19"/>
  <c r="D15" i="19" s="1"/>
  <c r="B15" i="11"/>
  <c r="D15" i="11" s="1"/>
  <c r="F10" i="11" l="1"/>
  <c r="C18" i="7" s="1"/>
  <c r="G9" i="11"/>
  <c r="F9" i="11" s="1"/>
  <c r="C17" i="7" s="1"/>
  <c r="B16" i="11"/>
  <c r="D16" i="11" s="1"/>
  <c r="F15" i="11"/>
  <c r="C23" i="7" s="1"/>
  <c r="B15" i="13"/>
  <c r="D15" i="13" s="1"/>
  <c r="F14" i="13"/>
  <c r="D21" i="8" s="1"/>
  <c r="B15" i="10"/>
  <c r="D15" i="10" s="1"/>
  <c r="F14" i="10"/>
  <c r="D11" i="18"/>
  <c r="F11" i="18" s="1"/>
  <c r="H11" i="18" s="1"/>
  <c r="E18" i="8" s="1"/>
  <c r="B16" i="19"/>
  <c r="D16" i="19" s="1"/>
  <c r="F15" i="19"/>
  <c r="D23" i="7" s="1"/>
  <c r="B17" i="11" l="1"/>
  <c r="D17" i="11" s="1"/>
  <c r="F16" i="11"/>
  <c r="C24" i="7" s="1"/>
  <c r="B16" i="13"/>
  <c r="D16" i="13" s="1"/>
  <c r="F15" i="13"/>
  <c r="D22" i="8" s="1"/>
  <c r="B16" i="10"/>
  <c r="D16" i="10" s="1"/>
  <c r="F15" i="10"/>
  <c r="G8" i="11"/>
  <c r="F8" i="11" s="1"/>
  <c r="C16" i="7" s="1"/>
  <c r="B12" i="18"/>
  <c r="B17" i="19"/>
  <c r="D17" i="19" s="1"/>
  <c r="F16" i="19"/>
  <c r="D24" i="7" s="1"/>
  <c r="G6" i="11" l="1"/>
  <c r="F6" i="11" s="1"/>
  <c r="C10" i="7" s="1"/>
  <c r="G7" i="11"/>
  <c r="B18" i="11"/>
  <c r="D18" i="11" s="1"/>
  <c r="F17" i="11"/>
  <c r="C25" i="7" s="1"/>
  <c r="B17" i="10"/>
  <c r="D17" i="10" s="1"/>
  <c r="F16" i="10"/>
  <c r="B17" i="13"/>
  <c r="D17" i="13" s="1"/>
  <c r="F16" i="13"/>
  <c r="D23" i="8" s="1"/>
  <c r="D12" i="18"/>
  <c r="B18" i="19"/>
  <c r="D18" i="19" s="1"/>
  <c r="F17" i="19"/>
  <c r="D25" i="7" s="1"/>
  <c r="F18" i="19" l="1"/>
  <c r="D11" i="7" s="1"/>
  <c r="F7" i="11"/>
  <c r="C15" i="7" s="1"/>
  <c r="F18" i="11"/>
  <c r="C11" i="7" s="1"/>
  <c r="B18" i="13"/>
  <c r="D18" i="13" s="1"/>
  <c r="F18" i="13" s="1"/>
  <c r="D10" i="8" s="1"/>
  <c r="F17" i="13"/>
  <c r="D24" i="8" s="1"/>
  <c r="B13" i="18"/>
  <c r="F12" i="18"/>
  <c r="H12" i="18" s="1"/>
  <c r="E19" i="8" s="1"/>
  <c r="B18" i="10"/>
  <c r="D18" i="10" s="1"/>
  <c r="F18" i="10" s="1"/>
  <c r="F17" i="10"/>
  <c r="D11" i="8" l="1"/>
  <c r="D13" i="8" s="1"/>
  <c r="D25" i="8" s="1"/>
  <c r="D26" i="8"/>
  <c r="D12" i="7"/>
  <c r="D14" i="7" s="1"/>
  <c r="D26" i="7" s="1"/>
  <c r="D27" i="7"/>
  <c r="C12" i="7"/>
  <c r="C14" i="7" s="1"/>
  <c r="C26" i="7" s="1"/>
  <c r="D20" i="6" s="1"/>
  <c r="E20" i="6" s="1"/>
  <c r="D20" i="1" s="1"/>
  <c r="C27" i="7"/>
  <c r="D13" i="18"/>
  <c r="F13" i="18" s="1"/>
  <c r="H13" i="18" s="1"/>
  <c r="E20" i="8" s="1"/>
  <c r="D24" i="6" l="1"/>
  <c r="G24" i="6" s="1"/>
  <c r="D21" i="6"/>
  <c r="B14" i="18"/>
  <c r="E20" i="1"/>
  <c r="D16" i="14" s="1"/>
  <c r="F20" i="1"/>
  <c r="E24" i="6" l="1"/>
  <c r="D29" i="1" s="1"/>
  <c r="E29" i="1" s="1"/>
  <c r="D22" i="14" s="1"/>
  <c r="H22" i="14" s="1"/>
  <c r="H24" i="14" s="1"/>
  <c r="D21" i="1"/>
  <c r="E21" i="6"/>
  <c r="F24" i="6"/>
  <c r="D20" i="2" s="1"/>
  <c r="F20" i="2" s="1"/>
  <c r="D46" i="15" s="1"/>
  <c r="F46" i="15" s="1"/>
  <c r="D62" i="14"/>
  <c r="F62" i="14" s="1"/>
  <c r="F16" i="14"/>
  <c r="E20" i="2"/>
  <c r="D16" i="15" s="1"/>
  <c r="F29" i="1"/>
  <c r="D68" i="14" s="1"/>
  <c r="D14" i="18"/>
  <c r="E22" i="14" l="1"/>
  <c r="G22" i="14"/>
  <c r="G24" i="14" s="1"/>
  <c r="F22" i="14"/>
  <c r="I22" i="14"/>
  <c r="I24" i="14" s="1"/>
  <c r="H46" i="15"/>
  <c r="G46" i="15"/>
  <c r="G48" i="15" s="1"/>
  <c r="E46" i="15"/>
  <c r="F21" i="1"/>
  <c r="E21" i="1"/>
  <c r="D22" i="1"/>
  <c r="F48" i="15"/>
  <c r="H48" i="15"/>
  <c r="G68" i="14"/>
  <c r="G69" i="14" s="1"/>
  <c r="I68" i="14"/>
  <c r="I69" i="14" s="1"/>
  <c r="E68" i="14"/>
  <c r="F68" i="14"/>
  <c r="H68" i="14"/>
  <c r="H69" i="14" s="1"/>
  <c r="G16" i="15"/>
  <c r="G18" i="15" s="1"/>
  <c r="F16" i="15"/>
  <c r="F18" i="15" s="1"/>
  <c r="H16" i="15"/>
  <c r="H18" i="15" s="1"/>
  <c r="E16" i="15"/>
  <c r="B15" i="18"/>
  <c r="F14" i="18"/>
  <c r="H14" i="18" s="1"/>
  <c r="E21" i="8" s="1"/>
  <c r="J22" i="14" l="1"/>
  <c r="I46" i="15"/>
  <c r="D17" i="14"/>
  <c r="F17" i="14" s="1"/>
  <c r="E22" i="1"/>
  <c r="D63" i="14"/>
  <c r="F63" i="14" s="1"/>
  <c r="F22" i="1"/>
  <c r="I16" i="15"/>
  <c r="J68" i="14"/>
  <c r="D15" i="18"/>
  <c r="B16" i="18" l="1"/>
  <c r="F15" i="18"/>
  <c r="H15" i="18" s="1"/>
  <c r="E22" i="8" s="1"/>
  <c r="D16" i="18" l="1"/>
  <c r="B17" i="18" l="1"/>
  <c r="F16" i="18"/>
  <c r="H16" i="18" s="1"/>
  <c r="E23" i="8" s="1"/>
  <c r="D17" i="18" l="1"/>
  <c r="B18" i="18" l="1"/>
  <c r="F17" i="18"/>
  <c r="H17" i="18" s="1"/>
  <c r="E24" i="8" s="1"/>
  <c r="D18" i="18" l="1"/>
  <c r="F18" i="18" l="1"/>
  <c r="H18" i="18" l="1"/>
  <c r="E10" i="8" s="1"/>
  <c r="E11" i="8" l="1"/>
  <c r="E13" i="8" s="1"/>
  <c r="E25" i="8" s="1"/>
  <c r="D23" i="6" s="1"/>
  <c r="G23" i="6" s="1"/>
  <c r="G25" i="6" s="1"/>
  <c r="E26" i="8"/>
  <c r="E23" i="6" l="1"/>
  <c r="D28" i="1" s="1"/>
  <c r="F23" i="6"/>
  <c r="F25" i="6" s="1"/>
  <c r="D19" i="2" l="1"/>
  <c r="F19" i="2" s="1"/>
  <c r="D47" i="15" s="1"/>
  <c r="F28" i="1"/>
  <c r="D67" i="14" s="1"/>
  <c r="E28" i="1"/>
  <c r="D21" i="14" s="1"/>
  <c r="E19" i="2"/>
  <c r="D17" i="15" s="1"/>
  <c r="F21" i="2" l="1"/>
  <c r="D21" i="2"/>
  <c r="E21" i="2"/>
  <c r="D48" i="15"/>
  <c r="E47" i="15"/>
  <c r="E48" i="15" s="1"/>
  <c r="E67" i="14"/>
  <c r="E69" i="14" s="1"/>
  <c r="E21" i="14"/>
  <c r="E24" i="14" s="1"/>
  <c r="E17" i="15"/>
  <c r="E18" i="15" s="1"/>
  <c r="D18" i="15"/>
  <c r="G12" i="6" l="1"/>
  <c r="F10" i="6"/>
  <c r="D11" i="2" l="1"/>
  <c r="D13" i="2"/>
  <c r="D12" i="2"/>
  <c r="D10" i="2"/>
  <c r="E16" i="6"/>
  <c r="D17" i="1" s="1"/>
  <c r="F16" i="6"/>
  <c r="D16" i="2" s="1"/>
  <c r="E16" i="2" l="1"/>
  <c r="D13" i="15" s="1"/>
  <c r="F16" i="2"/>
  <c r="D42" i="15" s="1"/>
  <c r="F17" i="1"/>
  <c r="D60" i="14" s="1"/>
  <c r="E17" i="1"/>
  <c r="D14" i="14" s="1"/>
  <c r="F13" i="2"/>
  <c r="D40" i="15" s="1"/>
  <c r="H40" i="15" s="1"/>
  <c r="E13" i="2"/>
  <c r="D11" i="15" s="1"/>
  <c r="H11" i="15" s="1"/>
  <c r="E12" i="2"/>
  <c r="D10" i="15" s="1"/>
  <c r="G10" i="15" s="1"/>
  <c r="G14" i="15" s="1"/>
  <c r="G20" i="15" s="1"/>
  <c r="F12" i="2"/>
  <c r="D39" i="15" s="1"/>
  <c r="G39" i="15" s="1"/>
  <c r="G43" i="15" s="1"/>
  <c r="G50" i="15" s="1"/>
  <c r="E10" i="2"/>
  <c r="F10" i="2"/>
  <c r="E11" i="2"/>
  <c r="D9" i="15" s="1"/>
  <c r="F9" i="15" s="1"/>
  <c r="F14" i="15" s="1"/>
  <c r="F20" i="15" s="1"/>
  <c r="F11" i="2"/>
  <c r="D38" i="15" s="1"/>
  <c r="F38" i="15" s="1"/>
  <c r="F43" i="15" s="1"/>
  <c r="F50" i="15" s="1"/>
  <c r="I60" i="14" l="1"/>
  <c r="E60" i="14"/>
  <c r="E8" i="6"/>
  <c r="E14" i="14"/>
  <c r="I14" i="14"/>
  <c r="D8" i="15"/>
  <c r="H42" i="15"/>
  <c r="E42" i="15"/>
  <c r="D37" i="15"/>
  <c r="E13" i="15"/>
  <c r="H13" i="15"/>
  <c r="I13" i="15" l="1"/>
  <c r="I42" i="15"/>
  <c r="J60" i="14"/>
  <c r="J14" i="14"/>
  <c r="D12" i="1"/>
  <c r="D10" i="1"/>
  <c r="D14" i="1"/>
  <c r="D13" i="1"/>
  <c r="D11" i="1"/>
  <c r="E37" i="15"/>
  <c r="E8" i="15"/>
  <c r="E12" i="1" l="1"/>
  <c r="D10" i="14" s="1"/>
  <c r="G10" i="14" s="1"/>
  <c r="G15" i="14" s="1"/>
  <c r="G18" i="14" s="1"/>
  <c r="G26" i="14" s="1"/>
  <c r="F12" i="1"/>
  <c r="D56" i="14" s="1"/>
  <c r="G56" i="14" s="1"/>
  <c r="G61" i="14" s="1"/>
  <c r="G64" i="14" s="1"/>
  <c r="G71" i="14" s="1"/>
  <c r="F11" i="1"/>
  <c r="D55" i="14" s="1"/>
  <c r="F55" i="14" s="1"/>
  <c r="E11" i="1"/>
  <c r="D9" i="14" s="1"/>
  <c r="F9" i="14" s="1"/>
  <c r="F10" i="1"/>
  <c r="E10" i="1"/>
  <c r="F14" i="1"/>
  <c r="D58" i="14" s="1"/>
  <c r="I58" i="14" s="1"/>
  <c r="E14" i="1"/>
  <c r="D12" i="14" s="1"/>
  <c r="I12" i="14" s="1"/>
  <c r="E13" i="1"/>
  <c r="D11" i="14" s="1"/>
  <c r="H11" i="14" s="1"/>
  <c r="H15" i="14" s="1"/>
  <c r="H18" i="14" s="1"/>
  <c r="H26" i="14" s="1"/>
  <c r="F13" i="1"/>
  <c r="D57" i="14" s="1"/>
  <c r="H57" i="14" s="1"/>
  <c r="H61" i="14" s="1"/>
  <c r="H64" i="14" s="1"/>
  <c r="H71" i="14" s="1"/>
  <c r="D54" i="14" l="1"/>
  <c r="G30" i="14"/>
  <c r="G42" i="14"/>
  <c r="D8" i="14"/>
  <c r="H30" i="14"/>
  <c r="H42" i="14"/>
  <c r="F54" i="14" l="1"/>
  <c r="F61" i="14" s="1"/>
  <c r="F64" i="14" s="1"/>
  <c r="F8" i="14"/>
  <c r="F15" i="14" s="1"/>
  <c r="F18" i="14" s="1"/>
  <c r="G14" i="6" l="1"/>
  <c r="G17" i="6" s="1"/>
  <c r="G27" i="6" s="1"/>
  <c r="D17" i="6"/>
  <c r="F14" i="6"/>
  <c r="E14" i="6"/>
  <c r="D16" i="1" l="1"/>
  <c r="E17" i="6"/>
  <c r="D15" i="2"/>
  <c r="F17" i="6"/>
  <c r="F27" i="6" s="1"/>
  <c r="D18" i="1" l="1"/>
  <c r="D24" i="1" s="1"/>
  <c r="F16" i="1"/>
  <c r="E16" i="1"/>
  <c r="D17" i="2"/>
  <c r="D23" i="2" s="1"/>
  <c r="F15" i="2"/>
  <c r="E15" i="2"/>
  <c r="F17" i="2" l="1"/>
  <c r="F23" i="2" s="1"/>
  <c r="D41" i="15"/>
  <c r="D12" i="15"/>
  <c r="E17" i="2"/>
  <c r="E23" i="2" s="1"/>
  <c r="F18" i="1"/>
  <c r="F24" i="1" s="1"/>
  <c r="D59" i="14"/>
  <c r="E18" i="1"/>
  <c r="E24" i="1" s="1"/>
  <c r="D13" i="14"/>
  <c r="E13" i="14" l="1"/>
  <c r="E15" i="14" s="1"/>
  <c r="E18" i="14" s="1"/>
  <c r="E26" i="14" s="1"/>
  <c r="E42" i="14" s="1"/>
  <c r="D15" i="14"/>
  <c r="D18" i="14" s="1"/>
  <c r="I13" i="14"/>
  <c r="I15" i="14" s="1"/>
  <c r="I18" i="14" s="1"/>
  <c r="I26" i="14" s="1"/>
  <c r="E59" i="14"/>
  <c r="E61" i="14" s="1"/>
  <c r="E64" i="14" s="1"/>
  <c r="E71" i="14" s="1"/>
  <c r="D61" i="14"/>
  <c r="D64" i="14" s="1"/>
  <c r="I59" i="14"/>
  <c r="I61" i="14" s="1"/>
  <c r="I64" i="14" s="1"/>
  <c r="I71" i="14" s="1"/>
  <c r="H41" i="15"/>
  <c r="H43" i="15" s="1"/>
  <c r="H50" i="15" s="1"/>
  <c r="E41" i="15"/>
  <c r="E43" i="15" s="1"/>
  <c r="E50" i="15" s="1"/>
  <c r="D43" i="15"/>
  <c r="D50" i="15" s="1"/>
  <c r="E12" i="15"/>
  <c r="E14" i="15" s="1"/>
  <c r="E20" i="15" s="1"/>
  <c r="H12" i="15"/>
  <c r="H14" i="15" s="1"/>
  <c r="H20" i="15" s="1"/>
  <c r="D14" i="15"/>
  <c r="D20" i="15" s="1"/>
  <c r="J59" i="14" l="1"/>
  <c r="J13" i="14"/>
  <c r="I42" i="14"/>
  <c r="I30" i="14"/>
  <c r="I41" i="15"/>
  <c r="I20" i="15"/>
  <c r="I12" i="15"/>
  <c r="I49" i="15"/>
  <c r="E6" i="9"/>
  <c r="F6" i="9" s="1"/>
  <c r="B7" i="9"/>
  <c r="D7" i="9" s="1"/>
  <c r="E7" i="9" l="1"/>
  <c r="F7" i="9" s="1"/>
  <c r="B8" i="9"/>
  <c r="D8" i="9" s="1"/>
  <c r="E8" i="9" l="1"/>
  <c r="F8" i="9" s="1"/>
  <c r="B9" i="9"/>
  <c r="D9" i="9" s="1"/>
  <c r="E9" i="9" l="1"/>
  <c r="F9" i="9" s="1"/>
  <c r="B10" i="9"/>
  <c r="D10" i="9" s="1"/>
  <c r="E10" i="9" l="1"/>
  <c r="F10" i="9" s="1"/>
  <c r="B11" i="9"/>
  <c r="D11" i="9" s="1"/>
  <c r="E11" i="9" l="1"/>
  <c r="F11" i="9" s="1"/>
  <c r="B12" i="9"/>
  <c r="D12" i="9" s="1"/>
  <c r="E12" i="9" l="1"/>
  <c r="F12" i="9" s="1"/>
  <c r="B13" i="9"/>
  <c r="D13" i="9" s="1"/>
  <c r="E13" i="9" l="1"/>
  <c r="F13" i="9" s="1"/>
  <c r="B14" i="9"/>
  <c r="D14" i="9" s="1"/>
  <c r="E14" i="9" l="1"/>
  <c r="F14" i="9" s="1"/>
  <c r="B15" i="9"/>
  <c r="D15" i="9" s="1"/>
  <c r="E15" i="9" l="1"/>
  <c r="F15" i="9" s="1"/>
  <c r="B16" i="9"/>
  <c r="D16" i="9" s="1"/>
  <c r="E16" i="9" l="1"/>
  <c r="F16" i="9" s="1"/>
  <c r="B17" i="9"/>
  <c r="D17" i="9" s="1"/>
  <c r="E17" i="9" l="1"/>
  <c r="F17" i="9" s="1"/>
  <c r="B18" i="9"/>
  <c r="D18" i="9" s="1"/>
  <c r="E18" i="9" l="1"/>
  <c r="F18" i="9" s="1"/>
  <c r="B7" i="12"/>
  <c r="E7" i="12" s="1"/>
  <c r="B8" i="12" s="1"/>
  <c r="E8" i="12" s="1"/>
  <c r="B9" i="8"/>
  <c r="B9" i="12" l="1"/>
  <c r="E9" i="12" s="1"/>
  <c r="B15" i="8"/>
  <c r="B14" i="8"/>
  <c r="B10" i="12" l="1"/>
  <c r="E10" i="12" s="1"/>
  <c r="B16" i="8"/>
  <c r="B11" i="12" l="1"/>
  <c r="E11" i="12" s="1"/>
  <c r="B17" i="8"/>
  <c r="B18" i="8" l="1"/>
  <c r="B12" i="12"/>
  <c r="E12" i="12" s="1"/>
  <c r="B19" i="8" l="1"/>
  <c r="B13" i="12"/>
  <c r="E13" i="12" s="1"/>
  <c r="B20" i="8" l="1"/>
  <c r="B14" i="12"/>
  <c r="E14" i="12" s="1"/>
  <c r="B21" i="8" l="1"/>
  <c r="B15" i="12"/>
  <c r="E15" i="12" s="1"/>
  <c r="B22" i="8" l="1"/>
  <c r="B16" i="12"/>
  <c r="E16" i="12" s="1"/>
  <c r="B17" i="12" l="1"/>
  <c r="E17" i="12" s="1"/>
  <c r="B23" i="8"/>
  <c r="B18" i="12" l="1"/>
  <c r="E18" i="12" s="1"/>
  <c r="B10" i="8" s="1"/>
  <c r="B24" i="8"/>
  <c r="B11" i="8" l="1"/>
  <c r="B13" i="8" s="1"/>
  <c r="B25" i="8" s="1"/>
  <c r="D22" i="6" s="1"/>
  <c r="E22" i="6" s="1"/>
  <c r="B26" i="8"/>
  <c r="D25" i="6" l="1"/>
  <c r="D27" i="6" s="1"/>
  <c r="E25" i="6"/>
  <c r="E27" i="6" s="1"/>
  <c r="D27" i="1"/>
  <c r="D30" i="1" l="1"/>
  <c r="D32" i="1" s="1"/>
  <c r="F27" i="1"/>
  <c r="E27" i="1"/>
  <c r="F30" i="1" l="1"/>
  <c r="F32" i="1" s="1"/>
  <c r="D66" i="14"/>
  <c r="E30" i="1"/>
  <c r="E32" i="1" s="1"/>
  <c r="D20" i="14"/>
  <c r="F66" i="14" l="1"/>
  <c r="F69" i="14" s="1"/>
  <c r="F71" i="14" s="1"/>
  <c r="D69" i="14"/>
  <c r="D71" i="14" s="1"/>
  <c r="F20" i="14"/>
  <c r="F24" i="14" s="1"/>
  <c r="F26" i="14" s="1"/>
  <c r="D24" i="14"/>
  <c r="D26" i="14" s="1"/>
  <c r="F30" i="14" l="1"/>
  <c r="D30" i="14" s="1"/>
  <c r="F42" i="14"/>
  <c r="J71" i="14"/>
  <c r="D42" i="14"/>
  <c r="J26" i="14"/>
</calcChain>
</file>

<file path=xl/sharedStrings.xml><?xml version="1.0" encoding="utf-8"?>
<sst xmlns="http://schemas.openxmlformats.org/spreadsheetml/2006/main" count="657" uniqueCount="252">
  <si>
    <t>Electric Accumulated Deferred Taxes</t>
  </si>
  <si>
    <t>Alloc</t>
  </si>
  <si>
    <t>Electric</t>
  </si>
  <si>
    <t>Basis</t>
  </si>
  <si>
    <t>System</t>
  </si>
  <si>
    <t>Washington</t>
  </si>
  <si>
    <t>Idaho</t>
  </si>
  <si>
    <t>ACCELERATED TAX DEPRECIATION</t>
  </si>
  <si>
    <t>SYSTEM</t>
  </si>
  <si>
    <t>Results - AMA Plant</t>
  </si>
  <si>
    <t>Intangible</t>
  </si>
  <si>
    <t>Production</t>
  </si>
  <si>
    <t>Transmission</t>
  </si>
  <si>
    <t>Distribution</t>
  </si>
  <si>
    <t>General Utility (Direct)</t>
  </si>
  <si>
    <t>General-Direct</t>
  </si>
  <si>
    <t xml:space="preserve">General/Intangible </t>
  </si>
  <si>
    <t>CD AA</t>
  </si>
  <si>
    <t>General-Allocated (CDAA,CDAN)</t>
  </si>
  <si>
    <t>CD AN</t>
  </si>
  <si>
    <t>Intangible-Allocated (CDAA,CDAN)</t>
  </si>
  <si>
    <t xml:space="preserve">   Subtotal</t>
  </si>
  <si>
    <t>CDA Lake IPA Fund</t>
  </si>
  <si>
    <t>CDA Lake Settlement</t>
  </si>
  <si>
    <t xml:space="preserve">  Subtotal</t>
  </si>
  <si>
    <t xml:space="preserve">      Total Plant DFIT</t>
  </si>
  <si>
    <t>Total Plant</t>
  </si>
  <si>
    <t>Colstrip PCB - Elec</t>
  </si>
  <si>
    <t xml:space="preserve">   Total Other Deferred FIT</t>
  </si>
  <si>
    <t xml:space="preserve">      Total Deferred FIT</t>
  </si>
  <si>
    <t>Allocation Notes:</t>
  </si>
  <si>
    <t>Production/Transmission</t>
  </si>
  <si>
    <t>Jurisdictional four-factor</t>
  </si>
  <si>
    <t>Only changes once, every December 31</t>
  </si>
  <si>
    <t>Net electric distribution plant - AMA</t>
  </si>
  <si>
    <t>Net electric plant - AMA</t>
  </si>
  <si>
    <t>Changes each month</t>
  </si>
  <si>
    <t>Net electric general plant - AMA</t>
  </si>
  <si>
    <t>Direct</t>
  </si>
  <si>
    <t>D</t>
  </si>
  <si>
    <t>Source of Allocation Factors: Results of Operations Report E-ALL-12A</t>
  </si>
  <si>
    <t>Source of Allocation Factors: Results of Operations Report E-PLT-12A</t>
  </si>
  <si>
    <t>Gas Accumulated Deferred Taxes</t>
  </si>
  <si>
    <t>Gas</t>
  </si>
  <si>
    <t>Gas North</t>
  </si>
  <si>
    <t>UG Storage</t>
  </si>
  <si>
    <t>General (Direct)</t>
  </si>
  <si>
    <t>General/Intangible</t>
  </si>
  <si>
    <t xml:space="preserve">       Total Plant DFIT</t>
  </si>
  <si>
    <t>System Contract Demand</t>
  </si>
  <si>
    <t>Net gas plant - AMA</t>
  </si>
  <si>
    <t>Net gas general plant - AMA</t>
  </si>
  <si>
    <t>Net distribution plant - AMA</t>
  </si>
  <si>
    <t>Gross (1)</t>
  </si>
  <si>
    <t>A/D (1)</t>
  </si>
  <si>
    <t>Net Distribution Plant</t>
  </si>
  <si>
    <t>Percent</t>
  </si>
  <si>
    <t>NDP</t>
  </si>
  <si>
    <t>Source of Allocation Factors: Results of Operations Report G-PLT-12A</t>
  </si>
  <si>
    <t xml:space="preserve">(1) Source: Results of Operations (G-PLT-12A) </t>
  </si>
  <si>
    <t>CD</t>
  </si>
  <si>
    <t>AA</t>
  </si>
  <si>
    <t>AN</t>
  </si>
  <si>
    <t>ED</t>
  </si>
  <si>
    <t>GD</t>
  </si>
  <si>
    <t>OR</t>
  </si>
  <si>
    <t>AVISTA UTILITIES</t>
  </si>
  <si>
    <t>Accumulated Deferred Taxes</t>
  </si>
  <si>
    <t>Associated with Accelerated Tax Depreciation</t>
  </si>
  <si>
    <t xml:space="preserve">   Total Accelerated Tax Depr</t>
  </si>
  <si>
    <t>Total</t>
  </si>
  <si>
    <t>Gas - North</t>
  </si>
  <si>
    <t>Gas - South</t>
  </si>
  <si>
    <t>GAS North</t>
  </si>
  <si>
    <t>GAS Oregon</t>
  </si>
  <si>
    <t xml:space="preserve">General Utility </t>
  </si>
  <si>
    <t>General Utility</t>
  </si>
  <si>
    <t>Average of Monthly Averages</t>
  </si>
  <si>
    <t>283382 ED AN</t>
  </si>
  <si>
    <t>Colstrip PCB</t>
  </si>
  <si>
    <t>283200 ED AN</t>
  </si>
  <si>
    <t>FMB &amp; MTN Redeemed</t>
  </si>
  <si>
    <t>283850 CD AA</t>
  </si>
  <si>
    <t>CD AA - 7</t>
  </si>
  <si>
    <t>Changes once a year on January 1</t>
  </si>
  <si>
    <t>CD AN - 9</t>
  </si>
  <si>
    <t xml:space="preserve"> Accumulated Deferred Taxes</t>
  </si>
  <si>
    <t>CDA Settlement</t>
  </si>
  <si>
    <t xml:space="preserve"> Elec</t>
  </si>
  <si>
    <t>Elec</t>
  </si>
  <si>
    <t xml:space="preserve">ED AN  </t>
  </si>
  <si>
    <t xml:space="preserve">   Total</t>
  </si>
  <si>
    <t>Average</t>
  </si>
  <si>
    <t>Bond Redemption</t>
  </si>
  <si>
    <t>FERC Account Number</t>
  </si>
  <si>
    <t>Description</t>
  </si>
  <si>
    <t>YTD</t>
  </si>
  <si>
    <t>PTD</t>
  </si>
  <si>
    <t>Accounting Period</t>
  </si>
  <si>
    <t>Beginning Balance</t>
  </si>
  <si>
    <t>Monthly Activity</t>
  </si>
  <si>
    <t>Adjustment in Results of Operations  (1)</t>
  </si>
  <si>
    <t>Ending Balance</t>
  </si>
  <si>
    <t>YTD Check</t>
  </si>
  <si>
    <t>(1) Prior Period Adjustment</t>
  </si>
  <si>
    <t>WA</t>
  </si>
  <si>
    <t>Washington Electric Cost Study</t>
  </si>
  <si>
    <t>Total Plant in Service</t>
  </si>
  <si>
    <t>Intangible (less hydro)</t>
  </si>
  <si>
    <t>Accumulated Deferred FIT Assignment to functions</t>
  </si>
  <si>
    <t>Intangible - common</t>
  </si>
  <si>
    <t>General</t>
  </si>
  <si>
    <t>Check</t>
  </si>
  <si>
    <t>I</t>
  </si>
  <si>
    <t>P</t>
  </si>
  <si>
    <t>T</t>
  </si>
  <si>
    <t>TOTAL PRODUCTION PLANT</t>
  </si>
  <si>
    <t>CDA LAKE (182381)</t>
  </si>
  <si>
    <t>O</t>
  </si>
  <si>
    <t>CDA SETTLEMENT</t>
  </si>
  <si>
    <t>ADFIT-COMMON ALL</t>
  </si>
  <si>
    <t>ADFIT-COMMON ALL WWP</t>
  </si>
  <si>
    <t>TOTAL TRANSMISSION PLAN</t>
  </si>
  <si>
    <t>Total Plant DFIT</t>
  </si>
  <si>
    <t>FMB/MTN Elec</t>
  </si>
  <si>
    <t>Allocate by Plant</t>
  </si>
  <si>
    <t>TOTAL DISTRIBUTION</t>
  </si>
  <si>
    <t>TOTAL GENERAL PLANT</t>
  </si>
  <si>
    <t>Intangible-Common</t>
  </si>
  <si>
    <t>Plant</t>
  </si>
  <si>
    <t>Deferred FIT</t>
  </si>
  <si>
    <t>Deferred Gain on Office Building</t>
  </si>
  <si>
    <t>Adj D</t>
  </si>
  <si>
    <t>Kettle Falls Disallowance</t>
  </si>
  <si>
    <t>Adj G</t>
  </si>
  <si>
    <t>Settlement Exchange Power</t>
  </si>
  <si>
    <t>Adj J</t>
  </si>
  <si>
    <t>Production Factor Adj</t>
  </si>
  <si>
    <t>PF2</t>
  </si>
  <si>
    <t>Capital Additions 2008</t>
  </si>
  <si>
    <t>PF 6</t>
  </si>
  <si>
    <t>Capital Additions 2009</t>
  </si>
  <si>
    <t>PF 7</t>
  </si>
  <si>
    <t>Noxon Gen</t>
  </si>
  <si>
    <t>PF 8</t>
  </si>
  <si>
    <t>Spokane River Relicensing</t>
  </si>
  <si>
    <t>PF11</t>
  </si>
  <si>
    <t>PF12</t>
  </si>
  <si>
    <t>Montana Lease</t>
  </si>
  <si>
    <t>PF13</t>
  </si>
  <si>
    <t>Total Pro Forma Deferred FIT</t>
  </si>
  <si>
    <t>Idaho Electric Cost Study</t>
  </si>
  <si>
    <t>ID</t>
  </si>
  <si>
    <t>Other</t>
  </si>
  <si>
    <t>Intangib;e</t>
  </si>
  <si>
    <t>Washington Gas Cost Study</t>
  </si>
  <si>
    <t>U</t>
  </si>
  <si>
    <t>Idaho Gas Cost Study</t>
  </si>
  <si>
    <t>ADFIT LAKE CDA CDR/IPA FUNDS</t>
  </si>
  <si>
    <t>ADFIT CdA IPA FUND DEPOSIT</t>
  </si>
  <si>
    <t>ADFIT LAKE CDA STORAGE SETTLEMENT</t>
  </si>
  <si>
    <t>ADFIT COLSTRIP PCB</t>
  </si>
  <si>
    <t>ADFIT FMB &amp; MTN REDEEMED</t>
  </si>
  <si>
    <t xml:space="preserve">Adjustment in Results of Operations </t>
  </si>
  <si>
    <t>AFUDC - CWIP  Intangibles</t>
  </si>
  <si>
    <t>CD.AA</t>
  </si>
  <si>
    <t xml:space="preserve">ED.AN </t>
  </si>
  <si>
    <t>DFIT-AFUDC CWIP Intangibles</t>
  </si>
  <si>
    <t>283750 CD AA</t>
  </si>
  <si>
    <t>(1) NSJ004 201212 - IRS Audit disallowed deduction, and had Company</t>
  </si>
  <si>
    <t>amortize CDA settlement for tax the same as for book/regulatory,</t>
  </si>
  <si>
    <t>ADFIT LAKE CDA STORAGE SETTLEMENT - Deferred Costs</t>
  </si>
  <si>
    <t>IRS Audit shortened amortization to 15 years (rather then 46 years for book)</t>
  </si>
  <si>
    <t>for the capitalized deferred legal fees.  Due to this, the company</t>
  </si>
  <si>
    <t>moved these costs from 182381 to 182333, and the associated ADFIT</t>
  </si>
  <si>
    <t>End Balance Per GL</t>
  </si>
  <si>
    <t>Ending Balance Per GL</t>
  </si>
  <si>
    <t>Balance Per GL</t>
  </si>
  <si>
    <t>CDA SETTLEMENT - Deferred Costs</t>
  </si>
  <si>
    <t>CDA Lake Settlement - Costs</t>
  </si>
  <si>
    <t>283333 ED AN</t>
  </si>
  <si>
    <t>CDA Lake Settlement-Costs</t>
  </si>
  <si>
    <t>Intangible (CDA Settlement)</t>
  </si>
  <si>
    <t>Adjustment in Results of Operations  (1) (2) (3)</t>
  </si>
  <si>
    <t>from 283382 to 283333 in Jan 2013 with NSJ 009 201301.</t>
  </si>
  <si>
    <t>Deferral</t>
  </si>
  <si>
    <t>Amort</t>
  </si>
  <si>
    <t>Calculated ADFIT</t>
  </si>
  <si>
    <t>Ending Balance Per Results of Ops</t>
  </si>
  <si>
    <t>The tax portion of the expense has been included in Power Tax and ADFIT(FERC 282900) since the legal fees were paid.</t>
  </si>
  <si>
    <t>(3) When finalizing the 2012 tax return in Sept 2013, it was determined that ADFIT in FERC account 283333 was misstated.</t>
  </si>
  <si>
    <t>Therefore, the book expense is recorded in FERC 283333.</t>
  </si>
  <si>
    <t>Ending Balance Per ROO</t>
  </si>
  <si>
    <t>Adjustment for Finalizing Tax Return (2)</t>
  </si>
  <si>
    <t>(From PLT)</t>
  </si>
  <si>
    <t>Allocated</t>
  </si>
  <si>
    <t>CDA Lake CDR Fund - Allocated</t>
  </si>
  <si>
    <t>CDA Settlement Costs</t>
  </si>
  <si>
    <t>CDA Settlement Past Storage</t>
  </si>
  <si>
    <t>Franchises &amp; Consents</t>
  </si>
  <si>
    <t>Misc Intangible Plant- (C-IPL)</t>
  </si>
  <si>
    <t>Misc Intangible Plant-Mainframe Software (C-IPL)</t>
  </si>
  <si>
    <t>Misc Intangible Plant-PC Software (C-IPL)</t>
  </si>
  <si>
    <t xml:space="preserve">  TOTAL INTANGIBLE PLANT</t>
  </si>
  <si>
    <t>General Plant</t>
  </si>
  <si>
    <t>TOTAL Plant</t>
  </si>
  <si>
    <t>(From IPL - Electric Data)</t>
  </si>
  <si>
    <t>Allocation Factors</t>
  </si>
  <si>
    <t>3031XX</t>
  </si>
  <si>
    <t>(From IPL - Gas North Data)</t>
  </si>
  <si>
    <t>Intangible (excluding CDA)</t>
  </si>
  <si>
    <t>CDA LAKE SETTLEMENT</t>
  </si>
  <si>
    <t>AFUDC CWIP Intangibles</t>
  </si>
  <si>
    <t>Intangible (Less CDA Settlement)</t>
  </si>
  <si>
    <t>therefore, ADFIT is zeroed out.</t>
  </si>
  <si>
    <t>Monthly Activity (1)</t>
  </si>
  <si>
    <t xml:space="preserve">therefore, ADFIT is zeroed out.  </t>
  </si>
  <si>
    <t>FERC 182382</t>
  </si>
  <si>
    <t>FERC 182333</t>
  </si>
  <si>
    <t>Need to see amortization schedule for this deferral</t>
  </si>
  <si>
    <t>A</t>
  </si>
  <si>
    <t>B</t>
  </si>
  <si>
    <t>C</t>
  </si>
  <si>
    <t>E</t>
  </si>
  <si>
    <t>F</t>
  </si>
  <si>
    <t>G</t>
  </si>
  <si>
    <t>H</t>
  </si>
  <si>
    <t>J</t>
  </si>
  <si>
    <t>TOTAL</t>
  </si>
  <si>
    <t>201312</t>
  </si>
  <si>
    <t>201401</t>
  </si>
  <si>
    <t>201402</t>
  </si>
  <si>
    <t>201403</t>
  </si>
  <si>
    <t>201404</t>
  </si>
  <si>
    <t>201405</t>
  </si>
  <si>
    <t>201406</t>
  </si>
  <si>
    <t>201407</t>
  </si>
  <si>
    <t>201408</t>
  </si>
  <si>
    <t>201409</t>
  </si>
  <si>
    <t>201410</t>
  </si>
  <si>
    <t>201411</t>
  </si>
  <si>
    <t>201412</t>
  </si>
  <si>
    <t>AMA Twelve Months Ended December 31, 2014</t>
  </si>
  <si>
    <t>ZZ</t>
  </si>
  <si>
    <t>Adjusted EOP</t>
  </si>
  <si>
    <t>EOP - Twelve Months Ended December 31, 2014</t>
  </si>
  <si>
    <t>EOP at 12/31/2014</t>
  </si>
  <si>
    <t>G/L True-up (Recorded 2/2015)</t>
  </si>
  <si>
    <t>Tax Return True-up (Recorded 9/2015)</t>
  </si>
  <si>
    <t>(*)</t>
  </si>
  <si>
    <t xml:space="preserve">(*) Varies slightly from Bench_DR_12-Attachment A because DFIT on test period growth capital excluded in Cross Check. </t>
  </si>
  <si>
    <t>$50 million was recorded in FERC 283000 in September 2014 to estimate Repairs Adjustment impact to ADFIT.  Since the Company had stopped making quartery federal tax deposits at the first of the year, for Results of Operations, FERC 283 and FERC 236 was adjusted reflect the proportional share per month to better reflect the AMA of those accounts.  The Repairs Adjustment was recorded in December 2014, therefore, the estimate of $50 million recorded in CD AA was reversed.  In February 2015 on DJ140, the Company trued-up its power tax and GL balances.  A final adjustment was made to 12/31/2014 balances to reflect adjustments per the 2014 Federal tax return filed September 15,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</si>
</sst>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0.0000%"/>
    <numFmt numFmtId="167" formatCode="0.00000%"/>
    <numFmt numFmtId="168" formatCode="#,###,###,##0.00"/>
    <numFmt numFmtId="169" formatCode="0.0000000%"/>
    <numFmt numFmtId="170" formatCode="0000"/>
    <numFmt numFmtId="171" formatCode="0_);\(0\)"/>
  </numFmts>
  <fonts count="27">
    <font>
      <sz val="10"/>
      <name val="Geneva"/>
    </font>
    <font>
      <sz val="11"/>
      <color theme="1"/>
      <name val="Calibri"/>
      <family val="2"/>
      <scheme val="minor"/>
    </font>
    <font>
      <sz val="10"/>
      <name val="Geneva"/>
    </font>
    <font>
      <u/>
      <sz val="10"/>
      <name val="Geneva"/>
    </font>
    <font>
      <sz val="10"/>
      <color indexed="12"/>
      <name val="Geneva"/>
    </font>
    <font>
      <sz val="10"/>
      <color indexed="14"/>
      <name val="Geneva"/>
    </font>
    <font>
      <b/>
      <sz val="22"/>
      <color indexed="8"/>
      <name val="Times New Roman"/>
      <family val="1"/>
    </font>
    <font>
      <b/>
      <sz val="10"/>
      <name val="Geneva"/>
    </font>
    <font>
      <b/>
      <sz val="11"/>
      <color indexed="16"/>
      <name val="Times New Roman"/>
      <family val="1"/>
    </font>
    <font>
      <b/>
      <i/>
      <sz val="11"/>
      <color indexed="8"/>
      <name val="Times New Roman"/>
      <family val="1"/>
    </font>
    <font>
      <sz val="10"/>
      <color indexed="17"/>
      <name val="Geneva"/>
    </font>
    <font>
      <sz val="10"/>
      <name val="Times New Roman"/>
      <family val="1"/>
    </font>
    <font>
      <u/>
      <sz val="10"/>
      <color indexed="12"/>
      <name val="Geneva"/>
    </font>
    <font>
      <sz val="10"/>
      <color indexed="8"/>
      <name val="Geneva"/>
    </font>
    <font>
      <b/>
      <sz val="10"/>
      <color indexed="8"/>
      <name val="Times New Roman"/>
      <family val="1"/>
    </font>
    <font>
      <b/>
      <sz val="10"/>
      <color indexed="8"/>
      <name val="Arial"/>
      <family val="2"/>
    </font>
    <font>
      <sz val="10"/>
      <color indexed="8"/>
      <name val="Times New Roman"/>
      <family val="1"/>
    </font>
    <font>
      <sz val="10"/>
      <color theme="0"/>
      <name val="Geneva"/>
    </font>
    <font>
      <u/>
      <sz val="10"/>
      <name val="Arial"/>
      <family val="2"/>
    </font>
    <font>
      <sz val="10"/>
      <color rgb="FF325886"/>
      <name val="Arial"/>
      <family val="2"/>
    </font>
    <font>
      <sz val="10"/>
      <name val="Arial"/>
      <family val="2"/>
    </font>
    <font>
      <b/>
      <sz val="10"/>
      <name val="Arial"/>
      <family val="2"/>
    </font>
    <font>
      <sz val="10"/>
      <color theme="1"/>
      <name val="Arial"/>
      <family val="2"/>
    </font>
    <font>
      <sz val="10"/>
      <color theme="4"/>
      <name val="Times New Roman"/>
      <family val="1"/>
    </font>
    <font>
      <u/>
      <sz val="10"/>
      <name val="Times New Roman"/>
      <family val="1"/>
    </font>
    <font>
      <sz val="10"/>
      <color theme="4" tint="-0.249977111117893"/>
      <name val="Times New Roman"/>
      <family val="1"/>
    </font>
    <font>
      <b/>
      <sz val="10"/>
      <color rgb="FFFF0000"/>
      <name val="Geneva"/>
    </font>
  </fonts>
  <fills count="7">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indexed="9"/>
        <bgColor indexed="64"/>
      </patternFill>
    </fill>
    <fill>
      <patternFill patternType="solid">
        <fgColor indexed="43"/>
        <bgColor indexed="64"/>
      </patternFill>
    </fill>
    <fill>
      <patternFill patternType="solid">
        <fgColor indexed="13"/>
        <bgColor indexed="64"/>
      </patternFill>
    </fill>
  </fills>
  <borders count="25">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6" fillId="0" borderId="0" applyBorder="0">
      <alignment horizontal="centerContinuous"/>
    </xf>
    <xf numFmtId="0" fontId="8" fillId="0" borderId="0" applyBorder="0">
      <alignment horizontal="centerContinuous"/>
    </xf>
    <xf numFmtId="0" fontId="9" fillId="4" borderId="0">
      <alignment horizontal="right"/>
    </xf>
    <xf numFmtId="0" fontId="22" fillId="0" borderId="0"/>
  </cellStyleXfs>
  <cellXfs count="193">
    <xf numFmtId="0" fontId="0" fillId="0" borderId="0" xfId="0"/>
    <xf numFmtId="0" fontId="0" fillId="0" borderId="0" xfId="0" applyFill="1"/>
    <xf numFmtId="0" fontId="0" fillId="0" borderId="0" xfId="0" applyFill="1" applyAlignment="1">
      <alignment horizontal="center"/>
    </xf>
    <xf numFmtId="0" fontId="3" fillId="0" borderId="0" xfId="0" applyFont="1" applyFill="1" applyAlignment="1">
      <alignment horizontal="center"/>
    </xf>
    <xf numFmtId="37" fontId="0" fillId="0" borderId="0" xfId="0" applyNumberFormat="1" applyFill="1"/>
    <xf numFmtId="0" fontId="0" fillId="0" borderId="1" xfId="0" applyFill="1" applyBorder="1" applyAlignment="1">
      <alignment horizontal="center"/>
    </xf>
    <xf numFmtId="0" fontId="0" fillId="0" borderId="0" xfId="0" applyFill="1" applyAlignment="1">
      <alignment horizontal="right"/>
    </xf>
    <xf numFmtId="164" fontId="4" fillId="0" borderId="0" xfId="1" applyNumberFormat="1" applyFont="1" applyFill="1"/>
    <xf numFmtId="165" fontId="0" fillId="0" borderId="0" xfId="3" applyNumberFormat="1" applyFont="1" applyFill="1"/>
    <xf numFmtId="165" fontId="0" fillId="0" borderId="1" xfId="3" applyNumberFormat="1" applyFont="1" applyFill="1" applyBorder="1"/>
    <xf numFmtId="164" fontId="0" fillId="0" borderId="0" xfId="0" applyNumberFormat="1" applyFill="1"/>
    <xf numFmtId="10" fontId="0" fillId="0" borderId="0" xfId="3" applyNumberFormat="1" applyFont="1" applyFill="1"/>
    <xf numFmtId="0" fontId="0" fillId="0" borderId="0" xfId="0" applyFill="1" applyAlignment="1"/>
    <xf numFmtId="0" fontId="0" fillId="0" borderId="0" xfId="0" applyFill="1" applyBorder="1" applyAlignment="1">
      <alignment horizontal="right"/>
    </xf>
    <xf numFmtId="164" fontId="4" fillId="0" borderId="0" xfId="0" applyNumberFormat="1" applyFont="1" applyFill="1" applyBorder="1"/>
    <xf numFmtId="37" fontId="0" fillId="0" borderId="1" xfId="0" applyNumberFormat="1" applyFill="1" applyBorder="1"/>
    <xf numFmtId="37" fontId="0" fillId="0" borderId="0" xfId="0" applyNumberFormat="1" applyFill="1" applyBorder="1"/>
    <xf numFmtId="37" fontId="0" fillId="0" borderId="2" xfId="0" applyNumberFormat="1" applyFill="1" applyBorder="1"/>
    <xf numFmtId="166" fontId="0" fillId="0" borderId="0" xfId="3" applyNumberFormat="1" applyFont="1" applyFill="1"/>
    <xf numFmtId="3" fontId="0" fillId="0" borderId="0" xfId="0" applyNumberFormat="1" applyFill="1"/>
    <xf numFmtId="166" fontId="0" fillId="0" borderId="0" xfId="3" applyNumberFormat="1" applyFont="1" applyFill="1" applyBorder="1"/>
    <xf numFmtId="166" fontId="0" fillId="0" borderId="0" xfId="0" applyNumberFormat="1" applyFill="1"/>
    <xf numFmtId="37" fontId="0" fillId="0" borderId="3" xfId="0" applyNumberFormat="1" applyFill="1" applyBorder="1"/>
    <xf numFmtId="37" fontId="0" fillId="0" borderId="0" xfId="0" applyNumberFormat="1"/>
    <xf numFmtId="37" fontId="0" fillId="0" borderId="0" xfId="0" applyNumberFormat="1" applyBorder="1"/>
    <xf numFmtId="165" fontId="4" fillId="0" borderId="0" xfId="3" applyNumberFormat="1" applyFont="1" applyFill="1"/>
    <xf numFmtId="0" fontId="0" fillId="0" borderId="0" xfId="0" applyFont="1" applyFill="1"/>
    <xf numFmtId="3" fontId="0" fillId="0" borderId="0" xfId="0" applyNumberFormat="1" applyFont="1" applyFill="1"/>
    <xf numFmtId="0" fontId="0" fillId="0" borderId="0" xfId="0" applyAlignment="1">
      <alignment horizontal="center"/>
    </xf>
    <xf numFmtId="0" fontId="3" fillId="0" borderId="0" xfId="0" applyFont="1" applyAlignment="1">
      <alignment horizontal="center"/>
    </xf>
    <xf numFmtId="167" fontId="0" fillId="0" borderId="0" xfId="3" applyNumberFormat="1" applyFont="1" applyFill="1"/>
    <xf numFmtId="167" fontId="0" fillId="0" borderId="1" xfId="3" applyNumberFormat="1" applyFont="1" applyFill="1" applyBorder="1"/>
    <xf numFmtId="37" fontId="0" fillId="0" borderId="1" xfId="0" applyNumberFormat="1" applyBorder="1"/>
    <xf numFmtId="37" fontId="0" fillId="2" borderId="3" xfId="0" applyNumberFormat="1" applyFill="1" applyBorder="1"/>
    <xf numFmtId="165" fontId="0" fillId="0" borderId="0" xfId="3" applyNumberFormat="1" applyFont="1"/>
    <xf numFmtId="0" fontId="0" fillId="3" borderId="0" xfId="0" applyFill="1"/>
    <xf numFmtId="0" fontId="5" fillId="3" borderId="0" xfId="0" applyFont="1" applyFill="1"/>
    <xf numFmtId="37" fontId="0" fillId="3" borderId="0" xfId="0" applyNumberFormat="1" applyFill="1"/>
    <xf numFmtId="37" fontId="4" fillId="3" borderId="0" xfId="0" applyNumberFormat="1" applyFont="1" applyFill="1"/>
    <xf numFmtId="37" fontId="0" fillId="3" borderId="1" xfId="0" applyNumberFormat="1" applyFill="1" applyBorder="1"/>
    <xf numFmtId="37" fontId="4" fillId="3" borderId="1" xfId="0" applyNumberFormat="1" applyFont="1" applyFill="1" applyBorder="1"/>
    <xf numFmtId="0" fontId="0" fillId="3" borderId="0" xfId="0" applyFill="1" applyAlignment="1">
      <alignment horizontal="center"/>
    </xf>
    <xf numFmtId="165" fontId="2" fillId="3" borderId="0" xfId="3" applyNumberFormat="1" applyFont="1" applyFill="1"/>
    <xf numFmtId="43" fontId="0" fillId="0" borderId="0" xfId="1" applyFont="1"/>
    <xf numFmtId="37" fontId="10" fillId="0" borderId="0" xfId="0" applyNumberFormat="1" applyFont="1"/>
    <xf numFmtId="0" fontId="11" fillId="0" borderId="0" xfId="0" applyFont="1"/>
    <xf numFmtId="0" fontId="2" fillId="0" borderId="0" xfId="0" applyFont="1" applyAlignment="1">
      <alignment horizontal="center"/>
    </xf>
    <xf numFmtId="0" fontId="4" fillId="0" borderId="0" xfId="0" applyFont="1" applyAlignment="1">
      <alignment horizontal="center"/>
    </xf>
    <xf numFmtId="0" fontId="4" fillId="0" borderId="0" xfId="0" applyFont="1"/>
    <xf numFmtId="37" fontId="0" fillId="0" borderId="0" xfId="0" applyNumberFormat="1" applyFont="1"/>
    <xf numFmtId="37" fontId="2" fillId="0" borderId="0" xfId="0" applyNumberFormat="1" applyFont="1"/>
    <xf numFmtId="0" fontId="7" fillId="0" borderId="0" xfId="0" applyFont="1"/>
    <xf numFmtId="164" fontId="0" fillId="0" borderId="0" xfId="1" applyNumberFormat="1" applyFont="1"/>
    <xf numFmtId="0" fontId="12" fillId="0" borderId="0" xfId="0" applyFont="1" applyAlignment="1">
      <alignment horizontal="center"/>
    </xf>
    <xf numFmtId="0" fontId="7" fillId="0" borderId="0" xfId="0" quotePrefix="1" applyFont="1"/>
    <xf numFmtId="3" fontId="0" fillId="0" borderId="0" xfId="0" applyNumberFormat="1"/>
    <xf numFmtId="3" fontId="2" fillId="0" borderId="0" xfId="0" applyNumberFormat="1" applyFont="1" applyAlignment="1">
      <alignment horizontal="left"/>
    </xf>
    <xf numFmtId="3" fontId="2" fillId="0" borderId="0" xfId="0" applyNumberFormat="1" applyFont="1" applyFill="1" applyAlignment="1">
      <alignment horizontal="left"/>
    </xf>
    <xf numFmtId="37" fontId="0" fillId="0" borderId="3" xfId="0" applyNumberFormat="1" applyBorder="1"/>
    <xf numFmtId="3" fontId="0" fillId="0" borderId="0" xfId="0" applyNumberFormat="1" applyAlignment="1">
      <alignment horizontal="centerContinuous"/>
    </xf>
    <xf numFmtId="3" fontId="0" fillId="0" borderId="0" xfId="0" applyNumberFormat="1" applyBorder="1"/>
    <xf numFmtId="3" fontId="3" fillId="0" borderId="0" xfId="0" applyNumberFormat="1" applyFont="1" applyBorder="1" applyAlignment="1">
      <alignment horizontal="center"/>
    </xf>
    <xf numFmtId="0" fontId="0" fillId="0" borderId="0" xfId="0" applyNumberFormat="1" applyAlignment="1">
      <alignment horizontal="center"/>
    </xf>
    <xf numFmtId="3" fontId="0" fillId="0" borderId="0" xfId="0" applyNumberFormat="1" applyAlignment="1">
      <alignment horizontal="center"/>
    </xf>
    <xf numFmtId="0" fontId="3" fillId="0" borderId="0" xfId="0" applyNumberFormat="1" applyFont="1" applyAlignment="1">
      <alignment horizontal="center"/>
    </xf>
    <xf numFmtId="3" fontId="3" fillId="0" borderId="0" xfId="0" applyNumberFormat="1" applyFont="1" applyAlignment="1">
      <alignment horizontal="center"/>
    </xf>
    <xf numFmtId="0" fontId="0" fillId="0" borderId="0" xfId="0" applyNumberFormat="1"/>
    <xf numFmtId="17" fontId="13" fillId="0" borderId="0" xfId="0" applyNumberFormat="1" applyFont="1" applyBorder="1" applyAlignment="1">
      <alignment horizontal="left"/>
    </xf>
    <xf numFmtId="17" fontId="2" fillId="0" borderId="0" xfId="0" applyNumberFormat="1" applyFont="1" applyBorder="1" applyAlignment="1">
      <alignment horizontal="left"/>
    </xf>
    <xf numFmtId="37" fontId="2" fillId="0" borderId="4" xfId="0" applyNumberFormat="1" applyFont="1" applyBorder="1"/>
    <xf numFmtId="17" fontId="4" fillId="0" borderId="0" xfId="0" applyNumberFormat="1" applyFont="1" applyBorder="1" applyAlignment="1">
      <alignment horizontal="left"/>
    </xf>
    <xf numFmtId="49" fontId="0" fillId="0" borderId="0" xfId="0" applyNumberFormat="1"/>
    <xf numFmtId="7" fontId="0" fillId="0" borderId="0" xfId="0" applyNumberFormat="1" applyFont="1" applyBorder="1" applyAlignment="1">
      <alignment horizontal="left"/>
    </xf>
    <xf numFmtId="0" fontId="0" fillId="0" borderId="0" xfId="0" applyAlignment="1">
      <alignment horizontal="left"/>
    </xf>
    <xf numFmtId="3" fontId="0" fillId="0" borderId="0" xfId="0" applyNumberFormat="1" applyAlignment="1">
      <alignment horizontal="left"/>
    </xf>
    <xf numFmtId="43" fontId="1" fillId="0" borderId="0" xfId="1" applyFont="1"/>
    <xf numFmtId="0" fontId="0" fillId="0" borderId="0" xfId="0" applyFill="1" applyBorder="1" applyAlignment="1">
      <alignment horizontal="center"/>
    </xf>
    <xf numFmtId="3" fontId="3" fillId="0" borderId="0" xfId="0" applyNumberFormat="1" applyFont="1" applyFill="1" applyBorder="1" applyAlignment="1">
      <alignment horizontal="center"/>
    </xf>
    <xf numFmtId="0" fontId="14"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6" fillId="0" borderId="7" xfId="0" applyFont="1" applyFill="1" applyBorder="1" applyAlignment="1">
      <alignment horizontal="left" vertical="top"/>
    </xf>
    <xf numFmtId="0" fontId="0" fillId="0" borderId="8" xfId="0" applyFill="1" applyBorder="1"/>
    <xf numFmtId="0" fontId="0" fillId="0" borderId="9" xfId="0" applyFill="1" applyBorder="1"/>
    <xf numFmtId="0" fontId="0" fillId="0" borderId="1" xfId="0" applyFill="1" applyBorder="1"/>
    <xf numFmtId="0" fontId="0" fillId="0" borderId="10" xfId="0" applyFill="1" applyBorder="1"/>
    <xf numFmtId="0" fontId="0" fillId="0" borderId="11" xfId="0" applyFill="1" applyBorder="1"/>
    <xf numFmtId="0" fontId="17" fillId="0" borderId="0" xfId="0" applyFont="1" applyFill="1" applyBorder="1"/>
    <xf numFmtId="0" fontId="0" fillId="0" borderId="0" xfId="0" applyFill="1" applyBorder="1"/>
    <xf numFmtId="0" fontId="0" fillId="0" borderId="12" xfId="0" applyFill="1" applyBorder="1"/>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3" xfId="0" applyFont="1" applyFill="1" applyBorder="1" applyAlignment="1">
      <alignment horizontal="left" vertical="center"/>
    </xf>
    <xf numFmtId="168" fontId="16" fillId="0" borderId="14" xfId="0" applyNumberFormat="1" applyFont="1" applyFill="1" applyBorder="1" applyAlignment="1">
      <alignment horizontal="right" vertical="center"/>
    </xf>
    <xf numFmtId="44" fontId="16" fillId="0" borderId="15" xfId="2" applyFont="1" applyFill="1" applyBorder="1" applyAlignment="1">
      <alignment horizontal="right" vertical="center"/>
    </xf>
    <xf numFmtId="44" fontId="16" fillId="0" borderId="14" xfId="2" applyFont="1" applyFill="1" applyBorder="1" applyAlignment="1">
      <alignment horizontal="right" vertical="center"/>
    </xf>
    <xf numFmtId="168" fontId="16" fillId="0" borderId="15" xfId="0" applyNumberFormat="1" applyFont="1" applyFill="1" applyBorder="1" applyAlignment="1">
      <alignment horizontal="right" vertical="center"/>
    </xf>
    <xf numFmtId="0" fontId="15" fillId="0" borderId="16" xfId="0" applyFont="1" applyFill="1" applyBorder="1" applyAlignment="1">
      <alignment horizontal="left" vertical="top"/>
    </xf>
    <xf numFmtId="44" fontId="15" fillId="0" borderId="1" xfId="2" applyFont="1" applyFill="1" applyBorder="1" applyAlignment="1">
      <alignment horizontal="left" vertical="top"/>
    </xf>
    <xf numFmtId="44" fontId="15" fillId="0" borderId="17" xfId="2" applyFont="1" applyFill="1" applyBorder="1" applyAlignment="1">
      <alignment horizontal="left" vertical="top"/>
    </xf>
    <xf numFmtId="44" fontId="15" fillId="0" borderId="18" xfId="2" applyFont="1" applyFill="1" applyBorder="1" applyAlignment="1">
      <alignment horizontal="left" vertical="top"/>
    </xf>
    <xf numFmtId="43" fontId="16" fillId="0" borderId="14" xfId="1" applyFont="1" applyFill="1" applyBorder="1" applyAlignment="1">
      <alignment horizontal="right" vertical="center" wrapText="1"/>
    </xf>
    <xf numFmtId="0" fontId="0" fillId="0" borderId="0" xfId="0" quotePrefix="1" applyFill="1"/>
    <xf numFmtId="0" fontId="18" fillId="0" borderId="0" xfId="0" applyFont="1" applyFill="1" applyBorder="1" applyAlignment="1">
      <alignment horizontal="left"/>
    </xf>
    <xf numFmtId="164" fontId="19" fillId="0" borderId="0" xfId="1" applyNumberFormat="1" applyFont="1" applyFill="1"/>
    <xf numFmtId="0" fontId="18" fillId="0" borderId="0" xfId="0" applyFont="1" applyBorder="1" applyAlignment="1">
      <alignment horizontal="center"/>
    </xf>
    <xf numFmtId="0" fontId="18" fillId="0" borderId="0" xfId="0" applyFont="1" applyFill="1" applyBorder="1" applyAlignment="1">
      <alignment horizontal="center"/>
    </xf>
    <xf numFmtId="0" fontId="0" fillId="0" borderId="0" xfId="0" applyAlignment="1">
      <alignment horizontal="right"/>
    </xf>
    <xf numFmtId="164" fontId="20" fillId="0" borderId="0" xfId="1" applyNumberFormat="1" applyFont="1"/>
    <xf numFmtId="164" fontId="0" fillId="0" borderId="0" xfId="0" applyNumberFormat="1"/>
    <xf numFmtId="37" fontId="0" fillId="0" borderId="19" xfId="0" applyNumberFormat="1" applyBorder="1"/>
    <xf numFmtId="0" fontId="20" fillId="0" borderId="0" xfId="0" applyFont="1" applyFill="1" applyBorder="1" applyAlignment="1">
      <alignment horizontal="left"/>
    </xf>
    <xf numFmtId="37" fontId="0" fillId="5" borderId="3" xfId="0" applyNumberFormat="1" applyFill="1" applyBorder="1"/>
    <xf numFmtId="164" fontId="20" fillId="0" borderId="0" xfId="1" applyNumberFormat="1" applyFont="1" applyFill="1"/>
    <xf numFmtId="165" fontId="20" fillId="0" borderId="0" xfId="3" applyNumberFormat="1" applyFont="1"/>
    <xf numFmtId="0" fontId="0" fillId="0" borderId="4" xfId="0" applyBorder="1"/>
    <xf numFmtId="0" fontId="21" fillId="0" borderId="0" xfId="0" applyFont="1"/>
    <xf numFmtId="37" fontId="21" fillId="6" borderId="3" xfId="0" applyNumberFormat="1" applyFont="1" applyFill="1" applyBorder="1"/>
    <xf numFmtId="166" fontId="20" fillId="0" borderId="0" xfId="3" applyNumberFormat="1" applyFont="1"/>
    <xf numFmtId="37" fontId="21" fillId="0" borderId="0" xfId="0" applyNumberFormat="1" applyFont="1"/>
    <xf numFmtId="37" fontId="0" fillId="5" borderId="0" xfId="0" applyNumberFormat="1" applyFill="1" applyBorder="1"/>
    <xf numFmtId="169" fontId="20" fillId="0" borderId="0" xfId="3" applyNumberFormat="1" applyFont="1"/>
    <xf numFmtId="17" fontId="0" fillId="0" borderId="0" xfId="0" applyNumberFormat="1" applyFont="1" applyBorder="1" applyAlignment="1">
      <alignment horizontal="left"/>
    </xf>
    <xf numFmtId="0" fontId="23" fillId="0" borderId="13" xfId="0" applyFont="1" applyFill="1" applyBorder="1" applyAlignment="1">
      <alignment horizontal="left" vertical="center"/>
    </xf>
    <xf numFmtId="43" fontId="16" fillId="0" borderId="14" xfId="1" applyFont="1" applyFill="1" applyBorder="1" applyAlignment="1">
      <alignment horizontal="center" vertical="center" wrapText="1"/>
    </xf>
    <xf numFmtId="37" fontId="0" fillId="0" borderId="0" xfId="0" applyNumberFormat="1" applyFont="1" applyFill="1"/>
    <xf numFmtId="37" fontId="0" fillId="0" borderId="4" xfId="0" applyNumberFormat="1" applyFont="1" applyBorder="1"/>
    <xf numFmtId="1" fontId="3" fillId="0" borderId="0" xfId="0" applyNumberFormat="1" applyFont="1" applyFill="1" applyBorder="1" applyAlignment="1">
      <alignment horizontal="center"/>
    </xf>
    <xf numFmtId="43" fontId="16" fillId="0" borderId="14" xfId="1" applyFont="1" applyFill="1" applyBorder="1" applyAlignment="1">
      <alignment horizontal="right" vertical="center"/>
    </xf>
    <xf numFmtId="43" fontId="16" fillId="0" borderId="14" xfId="0" applyNumberFormat="1" applyFont="1" applyFill="1" applyBorder="1" applyAlignment="1">
      <alignment horizontal="center" vertical="center" wrapText="1"/>
    </xf>
    <xf numFmtId="43" fontId="0" fillId="0" borderId="0" xfId="1" applyFont="1" applyFill="1"/>
    <xf numFmtId="43" fontId="0" fillId="0" borderId="0" xfId="0" applyNumberFormat="1" applyFill="1"/>
    <xf numFmtId="0" fontId="0" fillId="0" borderId="0" xfId="0" applyAlignment="1">
      <alignment horizontal="center"/>
    </xf>
    <xf numFmtId="3" fontId="0" fillId="0" borderId="0" xfId="0" applyNumberFormat="1" applyFill="1" applyBorder="1" applyAlignment="1">
      <alignment horizontal="left"/>
    </xf>
    <xf numFmtId="165" fontId="2" fillId="0" borderId="0" xfId="3" applyNumberFormat="1" applyFont="1" applyFill="1"/>
    <xf numFmtId="164" fontId="0" fillId="0" borderId="0" xfId="1" applyNumberFormat="1" applyFont="1" applyFill="1"/>
    <xf numFmtId="0" fontId="0" fillId="0" borderId="0" xfId="0" applyAlignment="1">
      <alignment horizontal="center"/>
    </xf>
    <xf numFmtId="164" fontId="2" fillId="0" borderId="0" xfId="0" applyNumberFormat="1" applyFont="1" applyFill="1"/>
    <xf numFmtId="43" fontId="11" fillId="0" borderId="0" xfId="1" applyFont="1" applyFill="1"/>
    <xf numFmtId="44" fontId="0" fillId="0" borderId="0" xfId="0" applyNumberFormat="1" applyFill="1" applyBorder="1"/>
    <xf numFmtId="0" fontId="24" fillId="0" borderId="0" xfId="0" applyFont="1" applyAlignment="1">
      <alignment horizontal="center"/>
    </xf>
    <xf numFmtId="170" fontId="11" fillId="0" borderId="0" xfId="0" applyNumberFormat="1" applyFont="1" applyFill="1" applyAlignment="1">
      <alignment horizontal="center"/>
    </xf>
    <xf numFmtId="3" fontId="11" fillId="0" borderId="0" xfId="0" applyNumberFormat="1" applyFont="1" applyFill="1"/>
    <xf numFmtId="164" fontId="11" fillId="0" borderId="0" xfId="1" applyNumberFormat="1" applyFont="1"/>
    <xf numFmtId="164" fontId="25" fillId="0" borderId="0" xfId="1" applyNumberFormat="1" applyFont="1"/>
    <xf numFmtId="170" fontId="11" fillId="0" borderId="0" xfId="0" applyNumberFormat="1" applyFont="1" applyAlignment="1">
      <alignment horizontal="center"/>
    </xf>
    <xf numFmtId="3" fontId="11" fillId="0" borderId="0" xfId="0" applyNumberFormat="1" applyFont="1"/>
    <xf numFmtId="0" fontId="11" fillId="0" borderId="0" xfId="0" applyNumberFormat="1" applyFont="1"/>
    <xf numFmtId="164" fontId="11" fillId="0" borderId="4" xfId="1" applyNumberFormat="1" applyFont="1" applyBorder="1"/>
    <xf numFmtId="164" fontId="11" fillId="0" borderId="23" xfId="1" applyNumberFormat="1" applyFont="1" applyBorder="1"/>
    <xf numFmtId="164" fontId="25" fillId="0" borderId="23" xfId="1" applyNumberFormat="1" applyFont="1" applyBorder="1"/>
    <xf numFmtId="165" fontId="25" fillId="0" borderId="0" xfId="3" applyNumberFormat="1" applyFont="1"/>
    <xf numFmtId="165" fontId="11" fillId="0" borderId="0" xfId="0" applyNumberFormat="1" applyFont="1"/>
    <xf numFmtId="165" fontId="25" fillId="0" borderId="0" xfId="0" applyNumberFormat="1" applyFont="1"/>
    <xf numFmtId="164" fontId="2" fillId="0" borderId="0" xfId="1" applyNumberFormat="1" applyFont="1" applyFill="1"/>
    <xf numFmtId="164" fontId="2" fillId="0" borderId="1" xfId="1" applyNumberFormat="1" applyFont="1" applyFill="1" applyBorder="1"/>
    <xf numFmtId="164" fontId="2" fillId="0" borderId="0" xfId="0" applyNumberFormat="1" applyFont="1" applyFill="1" applyBorder="1"/>
    <xf numFmtId="164" fontId="20" fillId="0" borderId="1" xfId="1" applyNumberFormat="1" applyFont="1" applyFill="1" applyBorder="1"/>
    <xf numFmtId="0" fontId="2" fillId="0" borderId="0" xfId="0" applyFont="1" applyFill="1"/>
    <xf numFmtId="171" fontId="0" fillId="0" borderId="0" xfId="1" applyNumberFormat="1" applyFont="1" applyFill="1"/>
    <xf numFmtId="43" fontId="0" fillId="0" borderId="0" xfId="1" applyFont="1" applyFill="1" applyBorder="1"/>
    <xf numFmtId="0" fontId="26" fillId="0" borderId="0" xfId="0" applyFont="1" applyAlignment="1">
      <alignment horizontal="center"/>
    </xf>
    <xf numFmtId="37" fontId="26" fillId="0" borderId="0" xfId="0" applyNumberFormat="1" applyFont="1" applyAlignment="1">
      <alignment horizontal="center"/>
    </xf>
    <xf numFmtId="3" fontId="26" fillId="0" borderId="0" xfId="0" applyNumberFormat="1" applyFont="1" applyAlignment="1">
      <alignment horizontal="center"/>
    </xf>
    <xf numFmtId="3" fontId="26" fillId="0" borderId="0" xfId="0" applyNumberFormat="1" applyFont="1" applyFill="1" applyAlignment="1">
      <alignment horizontal="center"/>
    </xf>
    <xf numFmtId="0" fontId="0" fillId="0" borderId="0" xfId="0" applyNumberFormat="1" applyAlignment="1">
      <alignment horizontal="center" wrapText="1"/>
    </xf>
    <xf numFmtId="3" fontId="0" fillId="0" borderId="0" xfId="0" applyNumberFormat="1" applyAlignment="1">
      <alignment horizontal="center" wrapText="1"/>
    </xf>
    <xf numFmtId="0" fontId="0" fillId="0" borderId="0" xfId="0" applyAlignment="1">
      <alignment horizontal="center" wrapText="1"/>
    </xf>
    <xf numFmtId="0" fontId="0" fillId="0" borderId="0" xfId="0" applyAlignment="1">
      <alignment wrapText="1"/>
    </xf>
    <xf numFmtId="0" fontId="0" fillId="0" borderId="0" xfId="0" applyFill="1" applyBorder="1" applyAlignment="1">
      <alignment horizontal="center" wrapText="1"/>
    </xf>
    <xf numFmtId="0" fontId="26" fillId="0" borderId="0" xfId="0" applyFont="1" applyFill="1" applyAlignment="1">
      <alignment horizontal="center"/>
    </xf>
    <xf numFmtId="37" fontId="26" fillId="0" borderId="0" xfId="0" applyNumberFormat="1" applyFont="1" applyFill="1" applyBorder="1" applyAlignment="1">
      <alignment horizontal="center"/>
    </xf>
    <xf numFmtId="0" fontId="26" fillId="0" borderId="0" xfId="0" applyFont="1" applyAlignment="1">
      <alignment horizontal="right"/>
    </xf>
    <xf numFmtId="0" fontId="0" fillId="0" borderId="0" xfId="0" applyAlignment="1">
      <alignment horizontal="center"/>
    </xf>
    <xf numFmtId="0" fontId="0" fillId="0" borderId="0" xfId="0" applyAlignment="1">
      <alignment horizontal="center"/>
    </xf>
    <xf numFmtId="164" fontId="26" fillId="0" borderId="0" xfId="1" applyNumberFormat="1" applyFont="1" applyAlignment="1">
      <alignment horizontal="center"/>
    </xf>
    <xf numFmtId="3" fontId="0" fillId="0" borderId="0" xfId="0" applyNumberFormat="1" applyFill="1" applyBorder="1" applyAlignment="1">
      <alignment horizontal="center" wrapText="1"/>
    </xf>
    <xf numFmtId="164" fontId="0" fillId="0" borderId="24" xfId="1" applyNumberFormat="1" applyFont="1" applyBorder="1"/>
    <xf numFmtId="0" fontId="3" fillId="0" borderId="0" xfId="0" applyFont="1"/>
    <xf numFmtId="0" fontId="0" fillId="0" borderId="0" xfId="0" applyBorder="1"/>
    <xf numFmtId="164" fontId="0" fillId="0" borderId="0" xfId="1" applyNumberFormat="1" applyFont="1" applyFill="1" applyBorder="1"/>
    <xf numFmtId="0" fontId="7" fillId="0" borderId="0" xfId="0" applyFont="1" applyFill="1" applyAlignment="1">
      <alignment horizontal="center"/>
    </xf>
    <xf numFmtId="37" fontId="7" fillId="0" borderId="0" xfId="0" applyNumberFormat="1" applyFont="1" applyFill="1" applyBorder="1" applyAlignment="1">
      <alignment horizontal="center"/>
    </xf>
    <xf numFmtId="0" fontId="0" fillId="0" borderId="0" xfId="0" applyFill="1" applyAlignment="1">
      <alignment horizontal="center" wrapText="1"/>
    </xf>
    <xf numFmtId="0" fontId="0" fillId="0" borderId="0" xfId="0" applyFill="1" applyAlignment="1">
      <alignment horizontal="left" vertical="top" wrapText="1"/>
    </xf>
    <xf numFmtId="0" fontId="0" fillId="0" borderId="0" xfId="0" applyAlignment="1">
      <alignment horizontal="center"/>
    </xf>
    <xf numFmtId="0" fontId="0" fillId="0" borderId="0" xfId="0" applyAlignment="1">
      <alignment horizontal="left" wrapText="1"/>
    </xf>
    <xf numFmtId="3" fontId="0" fillId="0" borderId="0" xfId="0" applyNumberFormat="1" applyAlignment="1">
      <alignment horizontal="center"/>
    </xf>
    <xf numFmtId="37" fontId="12" fillId="0" borderId="0" xfId="0" applyNumberFormat="1" applyFont="1" applyAlignment="1">
      <alignment horizontal="center"/>
    </xf>
    <xf numFmtId="0" fontId="11" fillId="0" borderId="20"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cellXfs>
  <cellStyles count="8">
    <cellStyle name="Comma" xfId="1" builtinId="3"/>
    <cellStyle name="Currency" xfId="2" builtinId="4"/>
    <cellStyle name="Normal" xfId="0" builtinId="0"/>
    <cellStyle name="Normal 2" xfId="7"/>
    <cellStyle name="Output Column Headings" xfId="6"/>
    <cellStyle name="Output Report Heading" xfId="5"/>
    <cellStyle name="Output Report Title" xfId="4"/>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tabSelected="1" workbookViewId="0">
      <pane ySplit="7" topLeftCell="A8" activePane="bottomLeft" state="frozenSplit"/>
      <selection activeCell="A46" sqref="A46"/>
      <selection pane="bottomLeft" activeCell="B2" sqref="B2"/>
    </sheetView>
  </sheetViews>
  <sheetFormatPr defaultColWidth="11.44140625" defaultRowHeight="13.2"/>
  <cols>
    <col min="1" max="1" width="16.5546875" style="1" customWidth="1"/>
    <col min="2" max="2" width="23.109375" style="1" customWidth="1"/>
    <col min="3" max="3" width="6.44140625" style="1" customWidth="1"/>
    <col min="4" max="6" width="13.6640625" style="1" customWidth="1"/>
    <col min="7" max="7" width="5.5546875" style="1" customWidth="1"/>
    <col min="8" max="8" width="24.88671875" style="1" customWidth="1"/>
    <col min="9" max="9" width="17.5546875" style="1" bestFit="1" customWidth="1"/>
    <col min="10" max="10" width="13.44140625" style="1" bestFit="1" customWidth="1"/>
    <col min="11" max="16384" width="11.44140625" style="1"/>
  </cols>
  <sheetData>
    <row r="1" spans="1:10">
      <c r="C1" s="2" t="str">
        <f>EOPbalances!E1</f>
        <v>AVISTA UTILITIES</v>
      </c>
    </row>
    <row r="2" spans="1:10">
      <c r="C2" s="2" t="s">
        <v>0</v>
      </c>
    </row>
    <row r="3" spans="1:10">
      <c r="C3" s="3" t="str">
        <f>'SYS-Dec14'!D3</f>
        <v>EOP - Twelve Months Ended December 31, 2014</v>
      </c>
    </row>
    <row r="6" spans="1:10">
      <c r="C6" s="2" t="s">
        <v>1</v>
      </c>
      <c r="D6" s="2" t="s">
        <v>2</v>
      </c>
      <c r="E6" s="2"/>
      <c r="F6" s="2"/>
    </row>
    <row r="7" spans="1:10">
      <c r="C7" s="3" t="s">
        <v>3</v>
      </c>
      <c r="D7" s="3" t="s">
        <v>4</v>
      </c>
      <c r="E7" s="3" t="s">
        <v>5</v>
      </c>
      <c r="F7" s="3" t="s">
        <v>6</v>
      </c>
    </row>
    <row r="8" spans="1:10">
      <c r="A8" s="1" t="s">
        <v>7</v>
      </c>
      <c r="H8" s="2"/>
      <c r="I8" s="2" t="s">
        <v>8</v>
      </c>
    </row>
    <row r="9" spans="1:10">
      <c r="C9" s="2"/>
      <c r="D9" s="4"/>
      <c r="E9" s="4"/>
      <c r="F9" s="4"/>
      <c r="I9" s="5" t="s">
        <v>9</v>
      </c>
    </row>
    <row r="10" spans="1:10">
      <c r="A10" s="1" t="s">
        <v>2</v>
      </c>
      <c r="B10" s="1" t="s">
        <v>10</v>
      </c>
      <c r="C10" s="2">
        <v>1</v>
      </c>
      <c r="D10" s="4">
        <f>ROUND('SYS-Dec14'!$E$8*J10,0)</f>
        <v>-7165995</v>
      </c>
      <c r="E10" s="4">
        <f>D10*E39</f>
        <v>-4637115.3645000001</v>
      </c>
      <c r="F10" s="4">
        <f>D10*F39</f>
        <v>-2528879.6354999999</v>
      </c>
      <c r="H10" s="6" t="s">
        <v>213</v>
      </c>
      <c r="I10" s="155">
        <f>'E-PLT'!E8+'E-PLT'!E9+'E-PLT'!E10+'E-PLT'!E11-'E-PLT'!E30</f>
        <v>57048702</v>
      </c>
      <c r="J10" s="8">
        <f>ROUND(I10/$I$15,8)</f>
        <v>1.7903579999999999E-2</v>
      </c>
    </row>
    <row r="11" spans="1:10">
      <c r="B11" s="1" t="s">
        <v>11</v>
      </c>
      <c r="C11" s="2">
        <v>1</v>
      </c>
      <c r="D11" s="4">
        <f>ROUND('SYS-Dec14'!$E$8*J11,0)</f>
        <v>-144829482</v>
      </c>
      <c r="E11" s="4">
        <f>D11*E39</f>
        <v>-93719157.802200004</v>
      </c>
      <c r="F11" s="4">
        <f>D11*F39</f>
        <v>-51110324.197799996</v>
      </c>
      <c r="H11" s="6" t="s">
        <v>11</v>
      </c>
      <c r="I11" s="155">
        <f>'E-PLT'!E14</f>
        <v>1152991783</v>
      </c>
      <c r="J11" s="8">
        <f>ROUND(I11/$I$15,8)</f>
        <v>0.36184314000000001</v>
      </c>
    </row>
    <row r="12" spans="1:10">
      <c r="B12" s="1" t="s">
        <v>12</v>
      </c>
      <c r="C12" s="2">
        <v>1</v>
      </c>
      <c r="D12" s="4">
        <f>ROUND('SYS-Dec14'!$E$8*J12,0)</f>
        <v>-72205175</v>
      </c>
      <c r="E12" s="4">
        <f>D12*E39</f>
        <v>-46723968.7425</v>
      </c>
      <c r="F12" s="4">
        <f>D12*F39</f>
        <v>-25481206.2575</v>
      </c>
      <c r="H12" s="6" t="s">
        <v>12</v>
      </c>
      <c r="I12" s="155">
        <f>'E-PLT'!E15</f>
        <v>574827535</v>
      </c>
      <c r="J12" s="8">
        <f>ROUND(I12/$I$15,8)</f>
        <v>0.18039799000000001</v>
      </c>
    </row>
    <row r="13" spans="1:10">
      <c r="B13" s="1" t="s">
        <v>13</v>
      </c>
      <c r="C13" s="2">
        <v>10</v>
      </c>
      <c r="D13" s="4">
        <f>ROUND('SYS-Dec14'!$E$8*J13,0)</f>
        <v>-165483054</v>
      </c>
      <c r="E13" s="4">
        <f>D13*E41</f>
        <v>-107716229.50968</v>
      </c>
      <c r="F13" s="4">
        <f>D13*F41</f>
        <v>-57766824.49031999</v>
      </c>
      <c r="H13" s="6" t="s">
        <v>13</v>
      </c>
      <c r="I13" s="155">
        <f>'E-PLT'!E16</f>
        <v>1317415473</v>
      </c>
      <c r="J13" s="8">
        <f>ROUND(I13/$I$15,8)</f>
        <v>0.41344418999999999</v>
      </c>
    </row>
    <row r="14" spans="1:10">
      <c r="B14" s="1" t="s">
        <v>14</v>
      </c>
      <c r="C14" s="2">
        <v>13</v>
      </c>
      <c r="D14" s="4">
        <f>ROUND('SYS-Dec14'!$E$8*J14,0)</f>
        <v>-10571168</v>
      </c>
      <c r="E14" s="4">
        <f>D14*E43</f>
        <v>-7089448.1075200001</v>
      </c>
      <c r="F14" s="4">
        <f>D14*F43</f>
        <v>-3481719.8924799999</v>
      </c>
      <c r="H14" s="6" t="s">
        <v>15</v>
      </c>
      <c r="I14" s="156">
        <f>'E-PLT'!C17</f>
        <v>84157370</v>
      </c>
      <c r="J14" s="9">
        <f>ROUND(I14/$I$15,8)</f>
        <v>2.6411090000000002E-2</v>
      </c>
    </row>
    <row r="15" spans="1:10">
      <c r="C15" s="2"/>
      <c r="D15" s="4"/>
      <c r="E15" s="4"/>
      <c r="F15" s="4"/>
      <c r="H15" s="6"/>
      <c r="I15" s="138">
        <f>SUM(I10:I14)</f>
        <v>3186440863</v>
      </c>
      <c r="J15" s="11">
        <f>SUM(J10:J14)</f>
        <v>0.99999998999999995</v>
      </c>
    </row>
    <row r="16" spans="1:10">
      <c r="A16" s="1" t="s">
        <v>16</v>
      </c>
      <c r="B16" s="12" t="s">
        <v>17</v>
      </c>
      <c r="C16" s="2">
        <v>4</v>
      </c>
      <c r="D16" s="4">
        <f>'SYS-Dec14'!E14</f>
        <v>-45450443.813501</v>
      </c>
      <c r="E16" s="4">
        <f>D16*E40</f>
        <v>-30860851.349367183</v>
      </c>
      <c r="F16" s="4">
        <f>D16*F40</f>
        <v>-14589592.46413382</v>
      </c>
      <c r="H16" s="13" t="s">
        <v>18</v>
      </c>
      <c r="I16" s="157">
        <f>'E-PLT'!D17</f>
        <v>211152574</v>
      </c>
    </row>
    <row r="17" spans="1:9">
      <c r="A17" s="1" t="s">
        <v>16</v>
      </c>
      <c r="B17" s="1" t="s">
        <v>19</v>
      </c>
      <c r="C17" s="2">
        <v>4</v>
      </c>
      <c r="D17" s="15">
        <f>'SYS-Dec14'!E16</f>
        <v>-448957.39539620007</v>
      </c>
      <c r="E17" s="15">
        <f>D17*E40</f>
        <v>-304842.07147401985</v>
      </c>
      <c r="F17" s="15">
        <f>D17*F40</f>
        <v>-144115.32392218019</v>
      </c>
      <c r="H17" s="13" t="s">
        <v>20</v>
      </c>
      <c r="I17" s="157">
        <f>'E-PLT'!E30</f>
        <v>49196767</v>
      </c>
    </row>
    <row r="18" spans="1:9">
      <c r="A18" s="1" t="s">
        <v>21</v>
      </c>
      <c r="C18" s="2"/>
      <c r="D18" s="4">
        <f>SUM(D10:D17)</f>
        <v>-446154275.20889717</v>
      </c>
      <c r="E18" s="4">
        <f>SUM(E10:E17)</f>
        <v>-291051612.94724125</v>
      </c>
      <c r="F18" s="4">
        <f>SUM(F10:F17)</f>
        <v>-155102662.26165599</v>
      </c>
      <c r="H18" s="13"/>
      <c r="I18" s="157"/>
    </row>
    <row r="19" spans="1:9">
      <c r="C19" s="2"/>
      <c r="D19" s="4"/>
      <c r="E19" s="4"/>
      <c r="F19" s="4"/>
      <c r="H19" s="13"/>
      <c r="I19" s="157"/>
    </row>
    <row r="20" spans="1:9">
      <c r="A20" s="1" t="s">
        <v>23</v>
      </c>
      <c r="C20" s="2">
        <v>1</v>
      </c>
      <c r="D20" s="16">
        <f>'SYS-Dec14'!E20</f>
        <v>-12080661.789999999</v>
      </c>
      <c r="E20" s="16">
        <f>D20*E39</f>
        <v>-7817396.2443089997</v>
      </c>
      <c r="F20" s="16">
        <f>D20*F39</f>
        <v>-4263265.5456909994</v>
      </c>
      <c r="H20" s="13" t="s">
        <v>182</v>
      </c>
      <c r="I20" s="155">
        <f>'E-PLT'!E4+'E-PLT'!E5+'E-PLT'!E6+'E-PLT'!E7</f>
        <v>47302001</v>
      </c>
    </row>
    <row r="21" spans="1:9">
      <c r="A21" s="1" t="s">
        <v>181</v>
      </c>
      <c r="C21" s="2">
        <v>1</v>
      </c>
      <c r="D21" s="15">
        <f>'SYS-Dec14'!D21</f>
        <v>369587.56000000006</v>
      </c>
      <c r="E21" s="15">
        <f>D21*E39</f>
        <v>239160.11007600004</v>
      </c>
      <c r="F21" s="15">
        <f>D21*F39</f>
        <v>130427.44992400002</v>
      </c>
      <c r="H21" s="13"/>
      <c r="I21" s="14"/>
    </row>
    <row r="22" spans="1:9">
      <c r="A22" s="1" t="s">
        <v>24</v>
      </c>
      <c r="C22" s="2"/>
      <c r="D22" s="4">
        <f>SUM(D20:D21)</f>
        <v>-11711074.229999999</v>
      </c>
      <c r="E22" s="4">
        <f>SUM(E20:E21)</f>
        <v>-7578236.1342329998</v>
      </c>
      <c r="F22" s="4">
        <f>SUM(F20:F21)</f>
        <v>-4132838.0957669993</v>
      </c>
      <c r="H22" s="13"/>
      <c r="I22" s="14"/>
    </row>
    <row r="23" spans="1:9">
      <c r="C23" s="2"/>
      <c r="D23" s="16"/>
      <c r="E23" s="16"/>
      <c r="F23" s="16"/>
      <c r="H23" s="13"/>
      <c r="I23" s="14"/>
    </row>
    <row r="24" spans="1:9" ht="13.8" thickBot="1">
      <c r="A24" s="1" t="s">
        <v>25</v>
      </c>
      <c r="D24" s="17">
        <f>D18+D22</f>
        <v>-457865349.43889719</v>
      </c>
      <c r="E24" s="17">
        <f>E18+E22</f>
        <v>-298629849.08147424</v>
      </c>
      <c r="F24" s="17">
        <f>F18+F22</f>
        <v>-159235500.35742298</v>
      </c>
      <c r="H24" s="13"/>
      <c r="I24" s="14"/>
    </row>
    <row r="25" spans="1:9" ht="13.8" thickTop="1">
      <c r="H25" s="13"/>
      <c r="I25" s="14"/>
    </row>
    <row r="26" spans="1:9">
      <c r="H26" s="13" t="s">
        <v>26</v>
      </c>
      <c r="I26" s="136">
        <f>SUM(I15:I21)</f>
        <v>3494092205</v>
      </c>
    </row>
    <row r="27" spans="1:9">
      <c r="A27" s="1" t="s">
        <v>27</v>
      </c>
      <c r="C27" s="2">
        <v>1</v>
      </c>
      <c r="D27" s="4">
        <f>'SYS-Dec14'!E22</f>
        <v>-216490.91000000003</v>
      </c>
      <c r="E27" s="4">
        <f>D27*E39</f>
        <v>-140091.26786100003</v>
      </c>
      <c r="F27" s="4">
        <f>D27*F39</f>
        <v>-76399.642139000003</v>
      </c>
      <c r="I27" s="136"/>
    </row>
    <row r="28" spans="1:9">
      <c r="A28" s="134" t="s">
        <v>164</v>
      </c>
      <c r="C28" s="2">
        <v>4</v>
      </c>
      <c r="D28" s="16">
        <f>'SYS-Dec14'!E23</f>
        <v>-389524.82440400001</v>
      </c>
      <c r="E28" s="16">
        <f>D28*E40</f>
        <v>-264487.35577031603</v>
      </c>
      <c r="F28" s="16">
        <f>D28*F40</f>
        <v>-125037.46863368398</v>
      </c>
      <c r="H28" s="6"/>
      <c r="I28" s="18"/>
    </row>
    <row r="29" spans="1:9">
      <c r="A29" s="1" t="str">
        <f>'SYS-Dec14'!A24</f>
        <v>FMB &amp; MTN Redeemed</v>
      </c>
      <c r="C29" s="2">
        <v>12</v>
      </c>
      <c r="D29" s="15">
        <f>'SYS-Dec14'!E24</f>
        <v>-3655700.9191630012</v>
      </c>
      <c r="E29" s="15">
        <f>D29*E42</f>
        <v>-2382091.2759358035</v>
      </c>
      <c r="F29" s="15">
        <f>D29*F42</f>
        <v>-1273609.6432271979</v>
      </c>
      <c r="G29" s="19"/>
      <c r="H29" s="6"/>
      <c r="I29" s="131"/>
    </row>
    <row r="30" spans="1:9">
      <c r="A30" s="1" t="s">
        <v>28</v>
      </c>
      <c r="D30" s="15">
        <f>SUM(D27:D29)</f>
        <v>-4261716.6535670012</v>
      </c>
      <c r="E30" s="15">
        <f>SUM(E27:E29)</f>
        <v>-2786669.8995671198</v>
      </c>
      <c r="F30" s="15">
        <f>SUM(F27:F29)</f>
        <v>-1475046.7539998819</v>
      </c>
      <c r="G30" s="19"/>
      <c r="H30" s="6"/>
      <c r="I30" s="18"/>
    </row>
    <row r="31" spans="1:9">
      <c r="D31" s="4"/>
      <c r="E31" s="4"/>
      <c r="F31" s="4"/>
      <c r="H31" s="6"/>
      <c r="I31" s="18"/>
    </row>
    <row r="32" spans="1:9" ht="13.8" thickBot="1">
      <c r="A32" s="1" t="s">
        <v>29</v>
      </c>
      <c r="C32" s="171" t="s">
        <v>225</v>
      </c>
      <c r="D32" s="33">
        <f>D24+D30</f>
        <v>-462127066.09246421</v>
      </c>
      <c r="E32" s="33">
        <f>E24+E30</f>
        <v>-301416518.98104137</v>
      </c>
      <c r="F32" s="33">
        <f>F24+F30</f>
        <v>-160710547.11142287</v>
      </c>
      <c r="H32" s="6"/>
      <c r="I32" s="20"/>
    </row>
    <row r="33" spans="1:9" ht="13.8" thickTop="1">
      <c r="E33" s="182" t="s">
        <v>249</v>
      </c>
      <c r="F33" s="171" t="s">
        <v>113</v>
      </c>
      <c r="I33" s="21"/>
    </row>
    <row r="34" spans="1:9">
      <c r="A34" s="87"/>
      <c r="B34" s="87"/>
      <c r="C34" s="87"/>
      <c r="D34" s="16"/>
      <c r="E34" s="16"/>
      <c r="F34" s="16"/>
      <c r="H34" s="6"/>
      <c r="I34" s="11"/>
    </row>
    <row r="35" spans="1:9">
      <c r="A35" s="180"/>
      <c r="B35" s="180"/>
      <c r="C35" s="180"/>
      <c r="D35" s="24"/>
      <c r="E35" s="24"/>
      <c r="F35" s="24"/>
      <c r="H35" s="6"/>
      <c r="I35" s="11"/>
    </row>
    <row r="36" spans="1:9">
      <c r="A36" s="180"/>
      <c r="B36" s="180"/>
      <c r="C36" s="180"/>
      <c r="D36" s="24"/>
      <c r="E36" s="24"/>
      <c r="F36" s="24"/>
    </row>
    <row r="38" spans="1:9" customFormat="1">
      <c r="A38" s="1" t="s">
        <v>30</v>
      </c>
      <c r="B38" s="1"/>
      <c r="C38" s="1"/>
      <c r="D38" s="1"/>
      <c r="E38" s="1"/>
      <c r="F38" s="1"/>
      <c r="H38" s="24"/>
      <c r="I38" s="1"/>
    </row>
    <row r="39" spans="1:9" customFormat="1">
      <c r="A39" s="1" t="s">
        <v>31</v>
      </c>
      <c r="B39" s="1"/>
      <c r="C39" s="2">
        <v>1</v>
      </c>
      <c r="D39" s="8">
        <f>SUM(E39:F39)</f>
        <v>1</v>
      </c>
      <c r="E39" s="25">
        <v>0.64710000000000001</v>
      </c>
      <c r="F39" s="135">
        <f>1-E39</f>
        <v>0.35289999999999999</v>
      </c>
      <c r="H39" s="1" t="s">
        <v>33</v>
      </c>
      <c r="I39" s="1"/>
    </row>
    <row r="40" spans="1:9">
      <c r="A40" s="1" t="s">
        <v>32</v>
      </c>
      <c r="C40" s="2">
        <v>4</v>
      </c>
      <c r="D40" s="8">
        <f>SUM(E40:F40)</f>
        <v>1</v>
      </c>
      <c r="E40" s="25">
        <v>0.67900000000000005</v>
      </c>
      <c r="F40" s="135">
        <f>1-E40</f>
        <v>0.32099999999999995</v>
      </c>
      <c r="H40" s="1" t="s">
        <v>33</v>
      </c>
    </row>
    <row r="41" spans="1:9">
      <c r="A41" s="1" t="s">
        <v>34</v>
      </c>
      <c r="C41" s="2">
        <v>10</v>
      </c>
      <c r="D41" s="8">
        <f>SUM(E41:F41)</f>
        <v>1</v>
      </c>
      <c r="E41" s="25">
        <v>0.65092000000000005</v>
      </c>
      <c r="F41" s="135">
        <f t="shared" ref="F41:F43" si="0">1-E41</f>
        <v>0.34907999999999995</v>
      </c>
      <c r="H41" s="1" t="s">
        <v>36</v>
      </c>
    </row>
    <row r="42" spans="1:9">
      <c r="A42" s="1" t="s">
        <v>35</v>
      </c>
      <c r="C42" s="2">
        <v>12</v>
      </c>
      <c r="D42" s="8">
        <f>SUM(E42:F42)</f>
        <v>1</v>
      </c>
      <c r="E42" s="25">
        <v>0.65161000000000002</v>
      </c>
      <c r="F42" s="135">
        <f t="shared" si="0"/>
        <v>0.34838999999999998</v>
      </c>
    </row>
    <row r="43" spans="1:9">
      <c r="A43" s="1" t="s">
        <v>37</v>
      </c>
      <c r="C43" s="2">
        <v>13</v>
      </c>
      <c r="D43" s="8">
        <f>SUM(E43:F43)</f>
        <v>1</v>
      </c>
      <c r="E43" s="25">
        <v>0.67064000000000001</v>
      </c>
      <c r="F43" s="135">
        <f t="shared" si="0"/>
        <v>0.32935999999999999</v>
      </c>
      <c r="H43"/>
    </row>
    <row r="44" spans="1:9">
      <c r="A44" s="1" t="s">
        <v>38</v>
      </c>
      <c r="C44" s="2" t="s">
        <v>39</v>
      </c>
      <c r="D44" s="8"/>
      <c r="E44" s="8"/>
      <c r="F44" s="8"/>
      <c r="H44"/>
    </row>
    <row r="45" spans="1:9">
      <c r="A45" s="184"/>
      <c r="B45" s="184"/>
      <c r="C45" s="184"/>
      <c r="D45" s="184"/>
      <c r="E45" s="184"/>
      <c r="F45" s="184"/>
    </row>
    <row r="46" spans="1:9">
      <c r="A46" s="1" t="s">
        <v>40</v>
      </c>
      <c r="I46"/>
    </row>
    <row r="47" spans="1:9">
      <c r="A47" s="1" t="s">
        <v>41</v>
      </c>
      <c r="I47"/>
    </row>
    <row r="48" spans="1:9" ht="27" customHeight="1">
      <c r="A48" s="185" t="s">
        <v>250</v>
      </c>
      <c r="B48" s="185"/>
      <c r="C48" s="185"/>
      <c r="D48" s="185"/>
      <c r="E48" s="185"/>
      <c r="F48" s="185"/>
    </row>
    <row r="49" spans="1:5">
      <c r="A49" s="26"/>
      <c r="B49" s="27"/>
      <c r="C49" s="27"/>
      <c r="D49" s="27"/>
      <c r="E49" s="26"/>
    </row>
  </sheetData>
  <mergeCells count="2">
    <mergeCell ref="A45:F45"/>
    <mergeCell ref="A48:F48"/>
  </mergeCells>
  <pageMargins left="0.75" right="0.75" top="0.75" bottom="0.75" header="0.5" footer="0.5"/>
  <pageSetup orientation="portrait" r:id="rId1"/>
  <headerFooter alignWithMargins="0">
    <oddFooter>&amp;LBench_DR_12-Attachment B (Supporting workpaper)&amp;RPage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8"/>
  <sheetViews>
    <sheetView topLeftCell="A3" zoomScaleNormal="100" workbookViewId="0">
      <selection activeCell="B9" sqref="B9"/>
    </sheetView>
  </sheetViews>
  <sheetFormatPr defaultColWidth="9.109375" defaultRowHeight="13.2"/>
  <cols>
    <col min="1" max="1" width="10.33203125" style="1" customWidth="1"/>
    <col min="2" max="2" width="25.88671875" style="1" customWidth="1"/>
    <col min="3" max="3" width="17.44140625" style="1" bestFit="1" customWidth="1"/>
    <col min="4" max="4" width="17.33203125" style="1" customWidth="1"/>
    <col min="5" max="5" width="14.5546875" style="1" customWidth="1"/>
    <col min="6" max="6" width="17.6640625" style="1" bestFit="1" customWidth="1"/>
    <col min="7" max="7" width="12.5546875" style="1" bestFit="1" customWidth="1"/>
    <col min="8" max="8" width="12.33203125" style="1" hidden="1" customWidth="1"/>
    <col min="9" max="9" width="13.109375" style="1" bestFit="1" customWidth="1"/>
    <col min="10" max="10" width="13.109375" style="87" bestFit="1" customWidth="1"/>
    <col min="11" max="11" width="8.109375" style="1" bestFit="1" customWidth="1"/>
    <col min="12" max="12" width="12.109375" style="1" customWidth="1"/>
    <col min="13" max="13" width="14" style="1" customWidth="1"/>
    <col min="14" max="16384" width="9.109375" style="1"/>
  </cols>
  <sheetData>
    <row r="2" spans="1:10" ht="39.6">
      <c r="A2" s="78" t="s">
        <v>94</v>
      </c>
      <c r="B2" s="79" t="s">
        <v>95</v>
      </c>
      <c r="C2" s="79" t="s">
        <v>63</v>
      </c>
      <c r="D2" s="79"/>
      <c r="E2" s="79" t="s">
        <v>62</v>
      </c>
      <c r="F2" s="80"/>
    </row>
    <row r="3" spans="1:10" ht="29.25" customHeight="1">
      <c r="A3" s="81">
        <v>283333</v>
      </c>
      <c r="B3" s="82" t="s">
        <v>171</v>
      </c>
      <c r="C3" s="83"/>
      <c r="D3" s="83"/>
      <c r="E3" s="83"/>
      <c r="F3" s="84"/>
    </row>
    <row r="4" spans="1:10">
      <c r="A4" s="85"/>
      <c r="B4" s="86" t="s">
        <v>96</v>
      </c>
      <c r="C4" s="86" t="s">
        <v>97</v>
      </c>
      <c r="D4" s="86"/>
      <c r="E4" s="87"/>
      <c r="F4" s="88"/>
      <c r="I4" s="160" t="s">
        <v>218</v>
      </c>
      <c r="J4" s="131"/>
    </row>
    <row r="5" spans="1:10" ht="39.6">
      <c r="A5" s="89" t="s">
        <v>98</v>
      </c>
      <c r="B5" s="90" t="s">
        <v>99</v>
      </c>
      <c r="C5" s="90" t="s">
        <v>100</v>
      </c>
      <c r="D5" s="90" t="s">
        <v>176</v>
      </c>
      <c r="E5" s="90" t="s">
        <v>163</v>
      </c>
      <c r="F5" s="91" t="s">
        <v>188</v>
      </c>
      <c r="G5" s="92"/>
      <c r="H5" s="92"/>
      <c r="I5" s="131" t="s">
        <v>185</v>
      </c>
      <c r="J5" s="131" t="s">
        <v>186</v>
      </c>
    </row>
    <row r="6" spans="1:10">
      <c r="A6" s="93">
        <f>'283200 ED AN'!A6</f>
        <v>201312</v>
      </c>
      <c r="B6" s="129">
        <v>0</v>
      </c>
      <c r="C6" s="96">
        <v>0</v>
      </c>
      <c r="D6" s="130">
        <v>358135.72</v>
      </c>
      <c r="E6" s="96">
        <v>0</v>
      </c>
      <c r="F6" s="95">
        <f>SUM(D6:E6)</f>
        <v>358135.72</v>
      </c>
      <c r="G6" s="139"/>
      <c r="H6" s="139"/>
      <c r="I6" s="131">
        <v>1310140.6000000001</v>
      </c>
      <c r="J6" s="161">
        <v>-2726.62</v>
      </c>
    </row>
    <row r="7" spans="1:10">
      <c r="A7" s="93">
        <f>'283200 ED AN'!A7</f>
        <v>201401</v>
      </c>
      <c r="B7" s="96">
        <f>D6</f>
        <v>358135.72</v>
      </c>
      <c r="C7" s="96">
        <v>954.32</v>
      </c>
      <c r="D7" s="130">
        <f t="shared" ref="D7:D18" si="0">SUM(B7:C7)</f>
        <v>359090.04</v>
      </c>
      <c r="E7" s="96">
        <v>0</v>
      </c>
      <c r="F7" s="95">
        <f t="shared" ref="F7:F17" si="1">SUM(D7:E7)</f>
        <v>359090.04</v>
      </c>
      <c r="G7" s="139"/>
      <c r="H7" s="139"/>
      <c r="I7" s="132">
        <f>I6+J7</f>
        <v>1307413.98</v>
      </c>
      <c r="J7" s="161">
        <v>-2726.62</v>
      </c>
    </row>
    <row r="8" spans="1:10">
      <c r="A8" s="93">
        <f>'283200 ED AN'!A8</f>
        <v>201402</v>
      </c>
      <c r="B8" s="96">
        <f t="shared" ref="B8:B18" si="2">D7</f>
        <v>359090.04</v>
      </c>
      <c r="C8" s="96">
        <v>954.32</v>
      </c>
      <c r="D8" s="130">
        <f t="shared" si="0"/>
        <v>360044.36</v>
      </c>
      <c r="E8" s="96">
        <v>0</v>
      </c>
      <c r="F8" s="95">
        <f t="shared" si="1"/>
        <v>360044.36</v>
      </c>
      <c r="G8" s="139"/>
      <c r="H8" s="139"/>
      <c r="I8" s="132">
        <f t="shared" ref="I8:I18" si="3">I7+J8</f>
        <v>1304687.3599999999</v>
      </c>
      <c r="J8" s="161">
        <v>-2726.62</v>
      </c>
    </row>
    <row r="9" spans="1:10">
      <c r="A9" s="93">
        <f>'283200 ED AN'!A9</f>
        <v>201403</v>
      </c>
      <c r="B9" s="96">
        <f t="shared" si="2"/>
        <v>360044.36</v>
      </c>
      <c r="C9" s="96">
        <v>954.32</v>
      </c>
      <c r="D9" s="130">
        <f t="shared" si="0"/>
        <v>360998.68</v>
      </c>
      <c r="E9" s="96">
        <v>0</v>
      </c>
      <c r="F9" s="95">
        <f t="shared" si="1"/>
        <v>360998.68</v>
      </c>
      <c r="G9" s="139"/>
      <c r="H9" s="139"/>
      <c r="I9" s="132">
        <f t="shared" si="3"/>
        <v>1301960.7399999998</v>
      </c>
      <c r="J9" s="161">
        <v>-2726.62</v>
      </c>
    </row>
    <row r="10" spans="1:10">
      <c r="A10" s="93">
        <f>'283200 ED AN'!A10</f>
        <v>201404</v>
      </c>
      <c r="B10" s="96">
        <f t="shared" si="2"/>
        <v>360998.68</v>
      </c>
      <c r="C10" s="96">
        <v>954.32</v>
      </c>
      <c r="D10" s="130">
        <f t="shared" si="0"/>
        <v>361953</v>
      </c>
      <c r="E10" s="96">
        <v>0</v>
      </c>
      <c r="F10" s="95">
        <f t="shared" si="1"/>
        <v>361953</v>
      </c>
      <c r="G10" s="139"/>
      <c r="H10" s="139"/>
      <c r="I10" s="132">
        <f t="shared" si="3"/>
        <v>1299234.1199999996</v>
      </c>
      <c r="J10" s="161">
        <v>-2726.62</v>
      </c>
    </row>
    <row r="11" spans="1:10">
      <c r="A11" s="93">
        <f>'283200 ED AN'!A11</f>
        <v>201405</v>
      </c>
      <c r="B11" s="96">
        <f t="shared" si="2"/>
        <v>361953</v>
      </c>
      <c r="C11" s="96">
        <v>954.32</v>
      </c>
      <c r="D11" s="130">
        <f t="shared" si="0"/>
        <v>362907.32</v>
      </c>
      <c r="E11" s="96">
        <v>0</v>
      </c>
      <c r="F11" s="95">
        <f t="shared" si="1"/>
        <v>362907.32</v>
      </c>
      <c r="G11" s="139"/>
      <c r="H11" s="139"/>
      <c r="I11" s="132">
        <f t="shared" si="3"/>
        <v>1296507.4999999995</v>
      </c>
      <c r="J11" s="161">
        <v>-2726.62</v>
      </c>
    </row>
    <row r="12" spans="1:10">
      <c r="A12" s="93">
        <f>'283200 ED AN'!A12</f>
        <v>201406</v>
      </c>
      <c r="B12" s="96">
        <f t="shared" si="2"/>
        <v>362907.32</v>
      </c>
      <c r="C12" s="96">
        <v>954.32</v>
      </c>
      <c r="D12" s="130">
        <f t="shared" si="0"/>
        <v>363861.64</v>
      </c>
      <c r="E12" s="96">
        <v>0</v>
      </c>
      <c r="F12" s="95">
        <f t="shared" si="1"/>
        <v>363861.64</v>
      </c>
      <c r="G12" s="139"/>
      <c r="H12" s="139"/>
      <c r="I12" s="132">
        <f t="shared" si="3"/>
        <v>1293780.8799999994</v>
      </c>
      <c r="J12" s="161">
        <v>-2726.62</v>
      </c>
    </row>
    <row r="13" spans="1:10">
      <c r="A13" s="93">
        <f>'283200 ED AN'!A13</f>
        <v>201407</v>
      </c>
      <c r="B13" s="96">
        <f t="shared" si="2"/>
        <v>363861.64</v>
      </c>
      <c r="C13" s="96">
        <v>954.32</v>
      </c>
      <c r="D13" s="130">
        <f t="shared" si="0"/>
        <v>364815.96</v>
      </c>
      <c r="E13" s="96">
        <v>0</v>
      </c>
      <c r="F13" s="95">
        <f t="shared" si="1"/>
        <v>364815.96</v>
      </c>
      <c r="G13" s="139"/>
      <c r="H13" s="139"/>
      <c r="I13" s="132">
        <f t="shared" si="3"/>
        <v>1291054.2599999993</v>
      </c>
      <c r="J13" s="161">
        <v>-2726.62</v>
      </c>
    </row>
    <row r="14" spans="1:10">
      <c r="A14" s="93">
        <f>'283200 ED AN'!A14</f>
        <v>201408</v>
      </c>
      <c r="B14" s="96">
        <f t="shared" si="2"/>
        <v>364815.96</v>
      </c>
      <c r="C14" s="96">
        <v>954.32</v>
      </c>
      <c r="D14" s="130">
        <f t="shared" si="0"/>
        <v>365770.28</v>
      </c>
      <c r="E14" s="96">
        <v>0</v>
      </c>
      <c r="F14" s="95">
        <f t="shared" si="1"/>
        <v>365770.28</v>
      </c>
      <c r="G14" s="139"/>
      <c r="H14" s="139"/>
      <c r="I14" s="132">
        <f t="shared" si="3"/>
        <v>1288327.6399999992</v>
      </c>
      <c r="J14" s="161">
        <v>-2726.62</v>
      </c>
    </row>
    <row r="15" spans="1:10">
      <c r="A15" s="93">
        <f>'283200 ED AN'!A15</f>
        <v>201409</v>
      </c>
      <c r="B15" s="96">
        <f t="shared" si="2"/>
        <v>365770.28</v>
      </c>
      <c r="C15" s="96">
        <v>954.32</v>
      </c>
      <c r="D15" s="130">
        <f t="shared" si="0"/>
        <v>366724.60000000003</v>
      </c>
      <c r="E15" s="96">
        <v>0</v>
      </c>
      <c r="F15" s="95">
        <f t="shared" si="1"/>
        <v>366724.60000000003</v>
      </c>
      <c r="G15" s="139"/>
      <c r="H15" s="139"/>
      <c r="I15" s="132">
        <f t="shared" si="3"/>
        <v>1285601.0199999991</v>
      </c>
      <c r="J15" s="161">
        <v>-2726.62</v>
      </c>
    </row>
    <row r="16" spans="1:10">
      <c r="A16" s="93">
        <f>'283200 ED AN'!A16</f>
        <v>201410</v>
      </c>
      <c r="B16" s="96">
        <f t="shared" si="2"/>
        <v>366724.60000000003</v>
      </c>
      <c r="C16" s="96">
        <v>954.32</v>
      </c>
      <c r="D16" s="130">
        <f t="shared" si="0"/>
        <v>367678.92000000004</v>
      </c>
      <c r="E16" s="96">
        <v>0</v>
      </c>
      <c r="F16" s="95">
        <f t="shared" si="1"/>
        <v>367678.92000000004</v>
      </c>
      <c r="G16" s="139"/>
      <c r="H16" s="139"/>
      <c r="I16" s="132">
        <f t="shared" si="3"/>
        <v>1282874.399999999</v>
      </c>
      <c r="J16" s="161">
        <v>-2726.62</v>
      </c>
    </row>
    <row r="17" spans="1:10">
      <c r="A17" s="93">
        <f>'283200 ED AN'!A17</f>
        <v>201411</v>
      </c>
      <c r="B17" s="96">
        <f t="shared" si="2"/>
        <v>367678.92000000004</v>
      </c>
      <c r="C17" s="96">
        <v>954.32</v>
      </c>
      <c r="D17" s="130">
        <f t="shared" si="0"/>
        <v>368633.24000000005</v>
      </c>
      <c r="E17" s="96">
        <v>0</v>
      </c>
      <c r="F17" s="95">
        <f t="shared" si="1"/>
        <v>368633.24000000005</v>
      </c>
      <c r="G17" s="139"/>
      <c r="H17" s="139"/>
      <c r="I17" s="132">
        <f t="shared" si="3"/>
        <v>1280147.7799999989</v>
      </c>
      <c r="J17" s="161">
        <v>-2726.62</v>
      </c>
    </row>
    <row r="18" spans="1:10">
      <c r="A18" s="93">
        <f>'283200 ED AN'!A18</f>
        <v>201412</v>
      </c>
      <c r="B18" s="96">
        <f t="shared" si="2"/>
        <v>368633.24000000005</v>
      </c>
      <c r="C18" s="96">
        <v>954.32</v>
      </c>
      <c r="D18" s="130">
        <f t="shared" si="0"/>
        <v>369587.56000000006</v>
      </c>
      <c r="E18" s="96">
        <v>0</v>
      </c>
      <c r="F18" s="95">
        <f>SUM(D18:E18)</f>
        <v>369587.56000000006</v>
      </c>
      <c r="G18" s="139"/>
      <c r="H18" s="139"/>
      <c r="I18" s="132">
        <f t="shared" si="3"/>
        <v>1277421.1599999988</v>
      </c>
      <c r="J18" s="161">
        <v>-2726.62</v>
      </c>
    </row>
    <row r="19" spans="1:10">
      <c r="A19" s="98"/>
      <c r="B19" s="99"/>
      <c r="C19" s="100">
        <f>SUM(C7:C18)</f>
        <v>11451.839999999998</v>
      </c>
      <c r="D19" s="100"/>
      <c r="E19" s="100"/>
      <c r="F19" s="101"/>
      <c r="G19" s="139"/>
      <c r="H19" s="139"/>
    </row>
    <row r="20" spans="1:10">
      <c r="G20" s="1" t="s">
        <v>219</v>
      </c>
    </row>
    <row r="21" spans="1:10">
      <c r="A21" s="103" t="s">
        <v>104</v>
      </c>
    </row>
    <row r="22" spans="1:10">
      <c r="A22" s="1" t="s">
        <v>172</v>
      </c>
    </row>
    <row r="23" spans="1:10">
      <c r="A23" s="1" t="s">
        <v>173</v>
      </c>
    </row>
    <row r="24" spans="1:10">
      <c r="A24" s="87" t="s">
        <v>174</v>
      </c>
    </row>
    <row r="25" spans="1:10">
      <c r="A25" s="87" t="s">
        <v>184</v>
      </c>
    </row>
    <row r="26" spans="1:10">
      <c r="A26" s="87" t="s">
        <v>190</v>
      </c>
    </row>
    <row r="27" spans="1:10">
      <c r="A27" s="87" t="s">
        <v>189</v>
      </c>
    </row>
    <row r="28" spans="1:10">
      <c r="A28" s="87" t="s">
        <v>191</v>
      </c>
    </row>
  </sheetData>
  <pageMargins left="0.7" right="0.7" top="0.75" bottom="0.75" header="0.3" footer="0.3"/>
  <pageSetup scale="78" orientation="portrait" r:id="rId1"/>
  <headerFooter>
    <oddFooter>&amp;C&amp;F&amp;A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9"/>
  <sheetViews>
    <sheetView zoomScaleNormal="100" workbookViewId="0">
      <selection activeCell="B9" sqref="B9"/>
    </sheetView>
  </sheetViews>
  <sheetFormatPr defaultColWidth="9.109375" defaultRowHeight="13.2"/>
  <cols>
    <col min="1" max="1" width="10.33203125" style="1" customWidth="1"/>
    <col min="2" max="2" width="25.88671875" style="1" customWidth="1"/>
    <col min="3" max="3" width="15.44140625" style="1" bestFit="1" customWidth="1"/>
    <col min="4" max="4" width="14.5546875" style="1" customWidth="1"/>
    <col min="5" max="5" width="14.88671875" style="1" bestFit="1" customWidth="1"/>
    <col min="6" max="6" width="9.109375" style="1"/>
    <col min="7" max="7" width="11.33203125" style="1" hidden="1" customWidth="1"/>
    <col min="8" max="8" width="12.6640625" style="1" customWidth="1"/>
    <col min="9" max="9" width="12.109375" style="1" customWidth="1"/>
    <col min="10" max="10" width="14" style="1" customWidth="1"/>
    <col min="11" max="16384" width="9.109375" style="1"/>
  </cols>
  <sheetData>
    <row r="2" spans="1:7" ht="39.6">
      <c r="A2" s="78" t="s">
        <v>94</v>
      </c>
      <c r="B2" s="79" t="s">
        <v>95</v>
      </c>
      <c r="C2" s="79" t="s">
        <v>63</v>
      </c>
      <c r="D2" s="79" t="s">
        <v>62</v>
      </c>
      <c r="E2" s="80"/>
    </row>
    <row r="3" spans="1:7" ht="29.25" customHeight="1">
      <c r="A3" s="81">
        <v>283200</v>
      </c>
      <c r="B3" s="82" t="s">
        <v>161</v>
      </c>
      <c r="C3" s="83"/>
      <c r="D3" s="83"/>
      <c r="E3" s="84"/>
    </row>
    <row r="4" spans="1:7">
      <c r="A4" s="85"/>
      <c r="B4" s="86" t="s">
        <v>96</v>
      </c>
      <c r="C4" s="86" t="s">
        <v>97</v>
      </c>
      <c r="D4" s="87"/>
      <c r="E4" s="88"/>
    </row>
    <row r="5" spans="1:7" ht="39.6">
      <c r="A5" s="89" t="s">
        <v>98</v>
      </c>
      <c r="B5" s="90" t="s">
        <v>99</v>
      </c>
      <c r="C5" s="90" t="s">
        <v>100</v>
      </c>
      <c r="D5" s="90" t="s">
        <v>163</v>
      </c>
      <c r="E5" s="91" t="s">
        <v>102</v>
      </c>
      <c r="G5" s="92" t="s">
        <v>103</v>
      </c>
    </row>
    <row r="6" spans="1:7">
      <c r="A6" s="124">
        <v>201312</v>
      </c>
      <c r="B6" s="94"/>
      <c r="C6" s="90"/>
      <c r="D6" s="90"/>
      <c r="E6" s="95">
        <v>-288224.63</v>
      </c>
    </row>
    <row r="7" spans="1:7">
      <c r="A7" s="124">
        <v>201401</v>
      </c>
      <c r="B7" s="96">
        <f>E6</f>
        <v>-288224.63</v>
      </c>
      <c r="C7" s="96">
        <v>5977.81</v>
      </c>
      <c r="D7" s="96"/>
      <c r="E7" s="95">
        <f>SUM(B7:D7)</f>
        <v>-282246.82</v>
      </c>
      <c r="G7" s="97">
        <v>-497447.98</v>
      </c>
    </row>
    <row r="8" spans="1:7">
      <c r="A8" s="124">
        <v>201402</v>
      </c>
      <c r="B8" s="96">
        <f t="shared" ref="B8:B18" si="0">E7</f>
        <v>-282246.82</v>
      </c>
      <c r="C8" s="96">
        <v>5977.81</v>
      </c>
      <c r="D8" s="96"/>
      <c r="E8" s="95">
        <f>SUM(B8:D8)</f>
        <v>-276269.01</v>
      </c>
      <c r="G8" s="97">
        <v>-491470.17</v>
      </c>
    </row>
    <row r="9" spans="1:7">
      <c r="A9" s="124">
        <v>201403</v>
      </c>
      <c r="B9" s="96">
        <f t="shared" si="0"/>
        <v>-276269.01</v>
      </c>
      <c r="C9" s="96">
        <v>5977.81</v>
      </c>
      <c r="D9" s="96"/>
      <c r="E9" s="95">
        <f>SUM(B9:D9)</f>
        <v>-270291.20000000001</v>
      </c>
      <c r="G9" s="97">
        <v>-485492.36</v>
      </c>
    </row>
    <row r="10" spans="1:7">
      <c r="A10" s="124">
        <v>201404</v>
      </c>
      <c r="B10" s="96">
        <f t="shared" si="0"/>
        <v>-270291.20000000001</v>
      </c>
      <c r="C10" s="96">
        <v>5977.81</v>
      </c>
      <c r="D10" s="96"/>
      <c r="E10" s="95">
        <f t="shared" ref="E10:E18" si="1">SUM(B10:D10)</f>
        <v>-264313.39</v>
      </c>
      <c r="G10" s="97">
        <v>-479514.55</v>
      </c>
    </row>
    <row r="11" spans="1:7">
      <c r="A11" s="124">
        <v>201405</v>
      </c>
      <c r="B11" s="96">
        <f t="shared" si="0"/>
        <v>-264313.39</v>
      </c>
      <c r="C11" s="96">
        <v>5977.81</v>
      </c>
      <c r="D11" s="96"/>
      <c r="E11" s="95">
        <f t="shared" si="1"/>
        <v>-258335.58000000002</v>
      </c>
      <c r="G11" s="97">
        <v>-473536.74</v>
      </c>
    </row>
    <row r="12" spans="1:7">
      <c r="A12" s="124">
        <v>201406</v>
      </c>
      <c r="B12" s="96">
        <f t="shared" si="0"/>
        <v>-258335.58000000002</v>
      </c>
      <c r="C12" s="96">
        <v>5977.81</v>
      </c>
      <c r="D12" s="96"/>
      <c r="E12" s="95">
        <f t="shared" si="1"/>
        <v>-252357.77000000002</v>
      </c>
      <c r="G12" s="97">
        <v>-467558.93</v>
      </c>
    </row>
    <row r="13" spans="1:7">
      <c r="A13" s="124">
        <v>201407</v>
      </c>
      <c r="B13" s="96">
        <f t="shared" si="0"/>
        <v>-252357.77000000002</v>
      </c>
      <c r="C13" s="96">
        <v>5977.81</v>
      </c>
      <c r="D13" s="96"/>
      <c r="E13" s="95">
        <f t="shared" si="1"/>
        <v>-246379.96000000002</v>
      </c>
      <c r="G13" s="97">
        <v>-461581.12</v>
      </c>
    </row>
    <row r="14" spans="1:7">
      <c r="A14" s="124">
        <v>201408</v>
      </c>
      <c r="B14" s="96">
        <f t="shared" si="0"/>
        <v>-246379.96000000002</v>
      </c>
      <c r="C14" s="96">
        <v>5977.81</v>
      </c>
      <c r="D14" s="96"/>
      <c r="E14" s="95">
        <f t="shared" si="1"/>
        <v>-240402.15000000002</v>
      </c>
      <c r="G14" s="97">
        <v>-455603.31</v>
      </c>
    </row>
    <row r="15" spans="1:7">
      <c r="A15" s="124">
        <v>201409</v>
      </c>
      <c r="B15" s="96">
        <f t="shared" si="0"/>
        <v>-240402.15000000002</v>
      </c>
      <c r="C15" s="96">
        <v>5977.81</v>
      </c>
      <c r="D15" s="96"/>
      <c r="E15" s="95">
        <f t="shared" si="1"/>
        <v>-234424.34000000003</v>
      </c>
      <c r="G15" s="97">
        <v>-449625.5</v>
      </c>
    </row>
    <row r="16" spans="1:7">
      <c r="A16" s="124">
        <v>201410</v>
      </c>
      <c r="B16" s="96">
        <f t="shared" si="0"/>
        <v>-234424.34000000003</v>
      </c>
      <c r="C16" s="96">
        <v>5977.81</v>
      </c>
      <c r="D16" s="96"/>
      <c r="E16" s="95">
        <f t="shared" si="1"/>
        <v>-228446.53000000003</v>
      </c>
      <c r="G16" s="97">
        <v>-443647.69</v>
      </c>
    </row>
    <row r="17" spans="1:7">
      <c r="A17" s="124">
        <v>201411</v>
      </c>
      <c r="B17" s="96">
        <f t="shared" si="0"/>
        <v>-228446.53000000003</v>
      </c>
      <c r="C17" s="96">
        <v>5977.81</v>
      </c>
      <c r="D17" s="96"/>
      <c r="E17" s="95">
        <f t="shared" si="1"/>
        <v>-222468.72000000003</v>
      </c>
      <c r="G17" s="97">
        <v>-437669.88</v>
      </c>
    </row>
    <row r="18" spans="1:7">
      <c r="A18" s="124">
        <v>201412</v>
      </c>
      <c r="B18" s="96">
        <f t="shared" si="0"/>
        <v>-222468.72000000003</v>
      </c>
      <c r="C18" s="96">
        <v>5977.81</v>
      </c>
      <c r="D18" s="96"/>
      <c r="E18" s="95">
        <f t="shared" si="1"/>
        <v>-216490.91000000003</v>
      </c>
      <c r="G18" s="97">
        <v>-431692.07</v>
      </c>
    </row>
    <row r="19" spans="1:7">
      <c r="A19" s="98"/>
      <c r="B19" s="99"/>
      <c r="C19" s="100">
        <f>SUM(C7:C18)</f>
        <v>71733.719999999987</v>
      </c>
      <c r="D19" s="100"/>
      <c r="E19" s="101"/>
    </row>
  </sheetData>
  <pageMargins left="0.7" right="0.7" top="0.75" bottom="0.75" header="0.3" footer="0.3"/>
  <pageSetup orientation="portrait" r:id="rId1"/>
  <headerFooter>
    <oddFooter>&amp;C&amp;F&amp;A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zoomScaleNormal="100" workbookViewId="0">
      <selection activeCell="B9" sqref="B9"/>
    </sheetView>
  </sheetViews>
  <sheetFormatPr defaultColWidth="9.109375" defaultRowHeight="13.2"/>
  <cols>
    <col min="1" max="1" width="10.33203125" style="1" customWidth="1"/>
    <col min="2" max="2" width="25.88671875" style="1" customWidth="1"/>
    <col min="3" max="3" width="16.88671875" style="1" bestFit="1" customWidth="1"/>
    <col min="4" max="4" width="16.88671875" style="1" customWidth="1"/>
    <col min="5" max="5" width="14.5546875" style="1" customWidth="1"/>
    <col min="6" max="6" width="16.33203125" style="1" bestFit="1" customWidth="1"/>
    <col min="7" max="7" width="9.109375" style="1"/>
    <col min="8" max="8" width="11.33203125" style="1" hidden="1" customWidth="1"/>
    <col min="9" max="9" width="12.6640625" style="1" customWidth="1"/>
    <col min="10" max="10" width="12.109375" style="1" customWidth="1"/>
    <col min="11" max="11" width="14" style="1" customWidth="1"/>
    <col min="12" max="16384" width="9.109375" style="1"/>
  </cols>
  <sheetData>
    <row r="2" spans="1:8" ht="39.6">
      <c r="A2" s="78" t="s">
        <v>94</v>
      </c>
      <c r="B2" s="79" t="s">
        <v>95</v>
      </c>
      <c r="C2" s="79" t="s">
        <v>60</v>
      </c>
      <c r="D2" s="79"/>
      <c r="E2" s="79" t="s">
        <v>61</v>
      </c>
      <c r="F2" s="80"/>
    </row>
    <row r="3" spans="1:8" ht="29.25" customHeight="1">
      <c r="A3" s="81">
        <v>283850</v>
      </c>
      <c r="B3" s="82" t="s">
        <v>162</v>
      </c>
      <c r="C3" s="83"/>
      <c r="D3" s="83"/>
      <c r="E3" s="83"/>
      <c r="F3" s="84"/>
    </row>
    <row r="4" spans="1:8">
      <c r="A4" s="85"/>
      <c r="B4" s="86" t="s">
        <v>96</v>
      </c>
      <c r="C4" s="86" t="s">
        <v>97</v>
      </c>
      <c r="D4" s="86"/>
      <c r="E4" s="87"/>
      <c r="F4" s="88"/>
    </row>
    <row r="5" spans="1:8" ht="39.6">
      <c r="A5" s="89" t="s">
        <v>98</v>
      </c>
      <c r="B5" s="90" t="s">
        <v>99</v>
      </c>
      <c r="C5" s="90" t="s">
        <v>100</v>
      </c>
      <c r="D5" s="90" t="s">
        <v>177</v>
      </c>
      <c r="E5" s="90" t="s">
        <v>101</v>
      </c>
      <c r="F5" s="91" t="s">
        <v>102</v>
      </c>
      <c r="H5" s="92" t="s">
        <v>103</v>
      </c>
    </row>
    <row r="6" spans="1:8">
      <c r="A6" s="93">
        <f>'283200 ED AN'!A6</f>
        <v>201312</v>
      </c>
      <c r="B6" s="129"/>
      <c r="C6" s="96"/>
      <c r="D6" s="125">
        <v>-5731970.3899999997</v>
      </c>
      <c r="E6" s="125">
        <v>0</v>
      </c>
      <c r="F6" s="95">
        <f t="shared" ref="F6:F18" si="0">SUM(D6:E6)</f>
        <v>-5731970.3899999997</v>
      </c>
    </row>
    <row r="7" spans="1:8">
      <c r="A7" s="93">
        <f>'283200 ED AN'!A7</f>
        <v>201401</v>
      </c>
      <c r="B7" s="96">
        <f>D6</f>
        <v>-5731970.3899999997</v>
      </c>
      <c r="C7" s="96">
        <v>54944.77</v>
      </c>
      <c r="D7" s="125">
        <f>SUM(B7:C7)</f>
        <v>-5677025.6200000001</v>
      </c>
      <c r="E7" s="125">
        <v>0</v>
      </c>
      <c r="F7" s="95">
        <f t="shared" si="0"/>
        <v>-5677025.6200000001</v>
      </c>
      <c r="H7" s="97">
        <v>-7405578.6900000004</v>
      </c>
    </row>
    <row r="8" spans="1:8">
      <c r="A8" s="93">
        <f>'283200 ED AN'!A8</f>
        <v>201402</v>
      </c>
      <c r="B8" s="96">
        <f t="shared" ref="B8:B18" si="1">D7</f>
        <v>-5677025.6200000001</v>
      </c>
      <c r="C8" s="96">
        <v>54944.77</v>
      </c>
      <c r="D8" s="125">
        <f t="shared" ref="D8:D18" si="2">SUM(B8:C8)</f>
        <v>-5622080.8500000006</v>
      </c>
      <c r="E8" s="125">
        <v>0</v>
      </c>
      <c r="F8" s="95">
        <f t="shared" si="0"/>
        <v>-5622080.8500000006</v>
      </c>
      <c r="H8" s="97">
        <v>-7335183.7599999998</v>
      </c>
    </row>
    <row r="9" spans="1:8">
      <c r="A9" s="93">
        <f>'283200 ED AN'!A9</f>
        <v>201403</v>
      </c>
      <c r="B9" s="96">
        <f t="shared" si="1"/>
        <v>-5622080.8500000006</v>
      </c>
      <c r="C9" s="96">
        <v>54944.77</v>
      </c>
      <c r="D9" s="125">
        <f t="shared" si="2"/>
        <v>-5567136.080000001</v>
      </c>
      <c r="E9" s="125"/>
      <c r="F9" s="95">
        <f t="shared" si="0"/>
        <v>-5567136.080000001</v>
      </c>
      <c r="H9" s="97">
        <v>-7275633.2000000002</v>
      </c>
    </row>
    <row r="10" spans="1:8">
      <c r="A10" s="93">
        <f>'283200 ED AN'!A10</f>
        <v>201404</v>
      </c>
      <c r="B10" s="96">
        <f t="shared" si="1"/>
        <v>-5567136.080000001</v>
      </c>
      <c r="C10" s="96">
        <v>54944.800000000003</v>
      </c>
      <c r="D10" s="125">
        <f t="shared" si="2"/>
        <v>-5512191.2800000012</v>
      </c>
      <c r="E10" s="125"/>
      <c r="F10" s="95">
        <f t="shared" si="0"/>
        <v>-5512191.2800000012</v>
      </c>
      <c r="H10" s="97">
        <v>-7217431.7999999998</v>
      </c>
    </row>
    <row r="11" spans="1:8">
      <c r="A11" s="93">
        <f>'283200 ED AN'!A11</f>
        <v>201405</v>
      </c>
      <c r="B11" s="96">
        <f t="shared" si="1"/>
        <v>-5512191.2800000012</v>
      </c>
      <c r="C11" s="96">
        <v>54324.44</v>
      </c>
      <c r="D11" s="125">
        <f t="shared" si="2"/>
        <v>-5457866.8400000008</v>
      </c>
      <c r="E11" s="125"/>
      <c r="F11" s="95">
        <f t="shared" si="0"/>
        <v>-5457866.8400000008</v>
      </c>
      <c r="H11" s="97">
        <v>-7159704.29</v>
      </c>
    </row>
    <row r="12" spans="1:8">
      <c r="A12" s="93">
        <f>'283200 ED AN'!A12</f>
        <v>201406</v>
      </c>
      <c r="B12" s="96">
        <f t="shared" si="1"/>
        <v>-5457866.8400000008</v>
      </c>
      <c r="C12" s="96">
        <v>51994.44</v>
      </c>
      <c r="D12" s="125">
        <f t="shared" si="2"/>
        <v>-5405872.4000000004</v>
      </c>
      <c r="E12" s="125"/>
      <c r="F12" s="95">
        <f t="shared" si="0"/>
        <v>-5405872.4000000004</v>
      </c>
      <c r="H12" s="97">
        <v>-7101142.5</v>
      </c>
    </row>
    <row r="13" spans="1:8">
      <c r="A13" s="93">
        <f>'283200 ED AN'!A13</f>
        <v>201407</v>
      </c>
      <c r="B13" s="96">
        <f t="shared" si="1"/>
        <v>-5405872.4000000004</v>
      </c>
      <c r="C13" s="96">
        <v>48589.64</v>
      </c>
      <c r="D13" s="125">
        <f t="shared" si="2"/>
        <v>-5357282.7600000007</v>
      </c>
      <c r="E13" s="125"/>
      <c r="F13" s="95">
        <f t="shared" si="0"/>
        <v>-5357282.7600000007</v>
      </c>
      <c r="H13" s="97">
        <v>-7044307.7800000003</v>
      </c>
    </row>
    <row r="14" spans="1:8">
      <c r="A14" s="93">
        <f>'283200 ED AN'!A14</f>
        <v>201408</v>
      </c>
      <c r="B14" s="96">
        <f t="shared" si="1"/>
        <v>-5357282.7600000007</v>
      </c>
      <c r="C14" s="96">
        <v>46882.239999999998</v>
      </c>
      <c r="D14" s="125">
        <f t="shared" si="2"/>
        <v>-5310400.5200000005</v>
      </c>
      <c r="E14" s="125"/>
      <c r="F14" s="95">
        <f t="shared" si="0"/>
        <v>-5310400.5200000005</v>
      </c>
      <c r="H14" s="97">
        <v>-6987780.2800000003</v>
      </c>
    </row>
    <row r="15" spans="1:8">
      <c r="A15" s="93">
        <f>'283200 ED AN'!A15</f>
        <v>201409</v>
      </c>
      <c r="B15" s="96">
        <f t="shared" si="1"/>
        <v>-5310400.5200000005</v>
      </c>
      <c r="C15" s="96">
        <v>46882.239999999998</v>
      </c>
      <c r="D15" s="125">
        <f t="shared" si="2"/>
        <v>-5263518.28</v>
      </c>
      <c r="E15" s="96"/>
      <c r="F15" s="95">
        <f t="shared" si="0"/>
        <v>-5263518.28</v>
      </c>
      <c r="H15" s="97">
        <v>-6931252.7800000003</v>
      </c>
    </row>
    <row r="16" spans="1:8">
      <c r="A16" s="93">
        <f>'283200 ED AN'!A16</f>
        <v>201410</v>
      </c>
      <c r="B16" s="96">
        <f t="shared" si="1"/>
        <v>-5263518.28</v>
      </c>
      <c r="C16" s="96">
        <v>45196.27</v>
      </c>
      <c r="D16" s="125">
        <f t="shared" si="2"/>
        <v>-5218322.0100000007</v>
      </c>
      <c r="E16" s="96"/>
      <c r="F16" s="95">
        <f t="shared" si="0"/>
        <v>-5218322.0100000007</v>
      </c>
      <c r="H16" s="97">
        <v>-6874725.2800000003</v>
      </c>
    </row>
    <row r="17" spans="1:8">
      <c r="A17" s="93">
        <f>'283200 ED AN'!A17</f>
        <v>201411</v>
      </c>
      <c r="B17" s="96">
        <f t="shared" si="1"/>
        <v>-5218322.0100000007</v>
      </c>
      <c r="C17" s="96">
        <v>45196.27</v>
      </c>
      <c r="D17" s="125">
        <f t="shared" si="2"/>
        <v>-5173125.7400000012</v>
      </c>
      <c r="E17" s="96"/>
      <c r="F17" s="95">
        <f t="shared" si="0"/>
        <v>-5173125.7400000012</v>
      </c>
      <c r="H17" s="97">
        <v>-6818197.7800000003</v>
      </c>
    </row>
    <row r="18" spans="1:8">
      <c r="A18" s="93">
        <f>'283200 ED AN'!A18</f>
        <v>201412</v>
      </c>
      <c r="B18" s="96">
        <f t="shared" si="1"/>
        <v>-5173125.7400000012</v>
      </c>
      <c r="C18" s="96">
        <v>45196.27</v>
      </c>
      <c r="D18" s="125">
        <f t="shared" si="2"/>
        <v>-5127929.4700000016</v>
      </c>
      <c r="E18" s="96"/>
      <c r="F18" s="95">
        <f t="shared" si="0"/>
        <v>-5127929.4700000016</v>
      </c>
      <c r="H18" s="97">
        <v>-6761670.2800000003</v>
      </c>
    </row>
    <row r="19" spans="1:8">
      <c r="A19" s="98"/>
      <c r="B19" s="99"/>
      <c r="C19" s="100">
        <f>SUM(C7:C18)</f>
        <v>604040.92000000004</v>
      </c>
      <c r="D19" s="100"/>
      <c r="E19" s="100"/>
      <c r="F19" s="101"/>
    </row>
  </sheetData>
  <pageMargins left="0.7" right="0.7" top="0.75" bottom="0.75" header="0.3" footer="0.3"/>
  <pageSetup scale="90" orientation="portrait" r:id="rId1"/>
  <headerFooter>
    <oddFooter>&amp;C&amp;F&amp;A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zoomScaleNormal="100" workbookViewId="0">
      <selection activeCell="B9" sqref="B9"/>
    </sheetView>
  </sheetViews>
  <sheetFormatPr defaultColWidth="9.109375" defaultRowHeight="13.2"/>
  <cols>
    <col min="1" max="1" width="10.33203125" style="1" customWidth="1"/>
    <col min="2" max="2" width="21" style="1" customWidth="1"/>
    <col min="3" max="3" width="16.88671875" style="1" bestFit="1" customWidth="1"/>
    <col min="4" max="4" width="16.88671875" style="1" customWidth="1"/>
    <col min="5" max="5" width="14.5546875" style="1" customWidth="1"/>
    <col min="6" max="6" width="16.33203125" style="1" bestFit="1" customWidth="1"/>
    <col min="7" max="7" width="14.33203125" style="1" customWidth="1"/>
    <col min="8" max="8" width="13.33203125" style="1" bestFit="1" customWidth="1"/>
    <col min="9" max="9" width="12.6640625" style="1" customWidth="1"/>
    <col min="10" max="10" width="12.109375" style="1" customWidth="1"/>
    <col min="11" max="11" width="14" style="1" customWidth="1"/>
    <col min="12" max="16384" width="9.109375" style="1"/>
  </cols>
  <sheetData>
    <row r="2" spans="1:8" ht="39.6">
      <c r="A2" s="78" t="s">
        <v>94</v>
      </c>
      <c r="B2" s="79" t="s">
        <v>95</v>
      </c>
      <c r="C2" s="79" t="s">
        <v>60</v>
      </c>
      <c r="D2" s="79"/>
      <c r="E2" s="79" t="s">
        <v>61</v>
      </c>
      <c r="F2" s="80"/>
    </row>
    <row r="3" spans="1:8" ht="29.25" customHeight="1">
      <c r="A3" s="81">
        <v>283750</v>
      </c>
      <c r="B3" s="82" t="s">
        <v>167</v>
      </c>
      <c r="C3" s="83"/>
      <c r="D3" s="83"/>
      <c r="E3" s="83"/>
      <c r="F3" s="84"/>
    </row>
    <row r="4" spans="1:8">
      <c r="A4" s="85"/>
      <c r="B4" s="86" t="s">
        <v>96</v>
      </c>
      <c r="C4" s="86" t="s">
        <v>97</v>
      </c>
      <c r="D4" s="86"/>
      <c r="E4" s="87"/>
      <c r="F4" s="88"/>
    </row>
    <row r="5" spans="1:8" ht="39.6">
      <c r="A5" s="89" t="s">
        <v>98</v>
      </c>
      <c r="B5" s="90" t="s">
        <v>99</v>
      </c>
      <c r="C5" s="90" t="s">
        <v>100</v>
      </c>
      <c r="D5" s="90" t="s">
        <v>177</v>
      </c>
      <c r="E5" s="90" t="s">
        <v>163</v>
      </c>
      <c r="F5" s="91" t="s">
        <v>192</v>
      </c>
      <c r="G5" s="92" t="s">
        <v>193</v>
      </c>
      <c r="H5" s="92" t="s">
        <v>102</v>
      </c>
    </row>
    <row r="6" spans="1:8">
      <c r="A6" s="93">
        <f>'283200 ED AN'!A6</f>
        <v>201312</v>
      </c>
      <c r="B6" s="129"/>
      <c r="C6" s="90"/>
      <c r="D6" s="125">
        <v>-546394.76</v>
      </c>
      <c r="E6" s="125">
        <v>0</v>
      </c>
      <c r="F6" s="95">
        <f>SUM(D6:E6)</f>
        <v>-546394.76</v>
      </c>
      <c r="G6" s="131"/>
      <c r="H6" s="140">
        <f>SUM(F6:G6)</f>
        <v>-546394.76</v>
      </c>
    </row>
    <row r="7" spans="1:8">
      <c r="A7" s="93">
        <f>'283200 ED AN'!A7</f>
        <v>201401</v>
      </c>
      <c r="B7" s="96">
        <f>D6</f>
        <v>-546394.76</v>
      </c>
      <c r="C7" s="96">
        <v>0</v>
      </c>
      <c r="D7" s="125">
        <f t="shared" ref="D7:D18" si="0">SUM(B7:C7)</f>
        <v>-546394.76</v>
      </c>
      <c r="E7" s="125">
        <v>0</v>
      </c>
      <c r="F7" s="95">
        <f t="shared" ref="F7:F18" si="1">SUM(D7:E7)</f>
        <v>-546394.76</v>
      </c>
      <c r="G7" s="131"/>
      <c r="H7" s="140">
        <f t="shared" ref="H7:H18" si="2">SUM(F7:G7)</f>
        <v>-546394.76</v>
      </c>
    </row>
    <row r="8" spans="1:8">
      <c r="A8" s="93">
        <f>'283200 ED AN'!A8</f>
        <v>201402</v>
      </c>
      <c r="B8" s="96">
        <f t="shared" ref="B8:B18" si="3">D7</f>
        <v>-546394.76</v>
      </c>
      <c r="C8" s="96">
        <v>0</v>
      </c>
      <c r="D8" s="125">
        <f t="shared" si="0"/>
        <v>-546394.76</v>
      </c>
      <c r="E8" s="125">
        <v>0</v>
      </c>
      <c r="F8" s="95">
        <f t="shared" si="1"/>
        <v>-546394.76</v>
      </c>
      <c r="G8" s="131"/>
      <c r="H8" s="140">
        <f t="shared" si="2"/>
        <v>-546394.76</v>
      </c>
    </row>
    <row r="9" spans="1:8">
      <c r="A9" s="93">
        <f>'283200 ED AN'!A9</f>
        <v>201403</v>
      </c>
      <c r="B9" s="96">
        <f t="shared" si="3"/>
        <v>-546394.76</v>
      </c>
      <c r="C9" s="96">
        <v>0</v>
      </c>
      <c r="D9" s="125">
        <f t="shared" si="0"/>
        <v>-546394.76</v>
      </c>
      <c r="E9" s="125">
        <v>0</v>
      </c>
      <c r="F9" s="95">
        <f t="shared" si="1"/>
        <v>-546394.76</v>
      </c>
      <c r="G9" s="131"/>
      <c r="H9" s="140">
        <f t="shared" si="2"/>
        <v>-546394.76</v>
      </c>
    </row>
    <row r="10" spans="1:8">
      <c r="A10" s="93">
        <f>'283200 ED AN'!A10</f>
        <v>201404</v>
      </c>
      <c r="B10" s="96">
        <f t="shared" si="3"/>
        <v>-546394.76</v>
      </c>
      <c r="C10" s="96">
        <v>0</v>
      </c>
      <c r="D10" s="125">
        <f t="shared" si="0"/>
        <v>-546394.76</v>
      </c>
      <c r="E10" s="125">
        <v>0</v>
      </c>
      <c r="F10" s="95">
        <f t="shared" si="1"/>
        <v>-546394.76</v>
      </c>
      <c r="G10" s="131"/>
      <c r="H10" s="140">
        <f t="shared" si="2"/>
        <v>-546394.76</v>
      </c>
    </row>
    <row r="11" spans="1:8">
      <c r="A11" s="93">
        <f>'283200 ED AN'!A11</f>
        <v>201405</v>
      </c>
      <c r="B11" s="96">
        <f t="shared" si="3"/>
        <v>-546394.76</v>
      </c>
      <c r="C11" s="96">
        <v>0</v>
      </c>
      <c r="D11" s="125">
        <f t="shared" si="0"/>
        <v>-546394.76</v>
      </c>
      <c r="E11" s="125">
        <v>0</v>
      </c>
      <c r="F11" s="95">
        <f t="shared" si="1"/>
        <v>-546394.76</v>
      </c>
      <c r="G11" s="131"/>
      <c r="H11" s="140">
        <f t="shared" si="2"/>
        <v>-546394.76</v>
      </c>
    </row>
    <row r="12" spans="1:8">
      <c r="A12" s="93">
        <f>'283200 ED AN'!A12</f>
        <v>201406</v>
      </c>
      <c r="B12" s="96">
        <f t="shared" si="3"/>
        <v>-546394.76</v>
      </c>
      <c r="C12" s="96">
        <v>0</v>
      </c>
      <c r="D12" s="125">
        <f t="shared" si="0"/>
        <v>-546394.76</v>
      </c>
      <c r="E12" s="125">
        <v>0</v>
      </c>
      <c r="F12" s="95">
        <f t="shared" si="1"/>
        <v>-546394.76</v>
      </c>
      <c r="G12" s="131"/>
      <c r="H12" s="140">
        <f t="shared" si="2"/>
        <v>-546394.76</v>
      </c>
    </row>
    <row r="13" spans="1:8">
      <c r="A13" s="93">
        <f>'283200 ED AN'!A13</f>
        <v>201407</v>
      </c>
      <c r="B13" s="96">
        <f t="shared" si="3"/>
        <v>-546394.76</v>
      </c>
      <c r="C13" s="96">
        <v>0</v>
      </c>
      <c r="D13" s="125">
        <f t="shared" si="0"/>
        <v>-546394.76</v>
      </c>
      <c r="E13" s="125">
        <v>0</v>
      </c>
      <c r="F13" s="95">
        <f t="shared" si="1"/>
        <v>-546394.76</v>
      </c>
      <c r="G13" s="131"/>
      <c r="H13" s="140">
        <f t="shared" si="2"/>
        <v>-546394.76</v>
      </c>
    </row>
    <row r="14" spans="1:8">
      <c r="A14" s="93">
        <f>'283200 ED AN'!A14</f>
        <v>201408</v>
      </c>
      <c r="B14" s="96">
        <f t="shared" si="3"/>
        <v>-546394.76</v>
      </c>
      <c r="C14" s="96">
        <v>0</v>
      </c>
      <c r="D14" s="125">
        <f t="shared" si="0"/>
        <v>-546394.76</v>
      </c>
      <c r="E14" s="125">
        <v>0</v>
      </c>
      <c r="F14" s="95">
        <f t="shared" si="1"/>
        <v>-546394.76</v>
      </c>
      <c r="G14" s="131"/>
      <c r="H14" s="140">
        <f t="shared" si="2"/>
        <v>-546394.76</v>
      </c>
    </row>
    <row r="15" spans="1:8">
      <c r="A15" s="93">
        <f>'283200 ED AN'!A15</f>
        <v>201409</v>
      </c>
      <c r="B15" s="96">
        <f t="shared" si="3"/>
        <v>-546394.76</v>
      </c>
      <c r="C15" s="96">
        <v>0</v>
      </c>
      <c r="D15" s="125">
        <f t="shared" si="0"/>
        <v>-546394.76</v>
      </c>
      <c r="E15" s="125">
        <v>0</v>
      </c>
      <c r="F15" s="95">
        <f t="shared" si="1"/>
        <v>-546394.76</v>
      </c>
      <c r="G15" s="131"/>
      <c r="H15" s="140">
        <f t="shared" si="2"/>
        <v>-546394.76</v>
      </c>
    </row>
    <row r="16" spans="1:8">
      <c r="A16" s="93">
        <f>'283200 ED AN'!A16</f>
        <v>201410</v>
      </c>
      <c r="B16" s="96">
        <f t="shared" si="3"/>
        <v>-546394.76</v>
      </c>
      <c r="C16" s="96">
        <v>0</v>
      </c>
      <c r="D16" s="125">
        <f t="shared" si="0"/>
        <v>-546394.76</v>
      </c>
      <c r="E16" s="125"/>
      <c r="F16" s="95">
        <f t="shared" si="1"/>
        <v>-546394.76</v>
      </c>
      <c r="G16" s="131"/>
      <c r="H16" s="140">
        <f t="shared" si="2"/>
        <v>-546394.76</v>
      </c>
    </row>
    <row r="17" spans="1:8">
      <c r="A17" s="93">
        <f>'283200 ED AN'!A17</f>
        <v>201411</v>
      </c>
      <c r="B17" s="96">
        <f t="shared" si="3"/>
        <v>-546394.76</v>
      </c>
      <c r="C17" s="96">
        <v>0</v>
      </c>
      <c r="D17" s="125">
        <f t="shared" si="0"/>
        <v>-546394.76</v>
      </c>
      <c r="E17" s="96"/>
      <c r="F17" s="95">
        <f t="shared" si="1"/>
        <v>-546394.76</v>
      </c>
      <c r="G17" s="131"/>
      <c r="H17" s="140">
        <f t="shared" si="2"/>
        <v>-546394.76</v>
      </c>
    </row>
    <row r="18" spans="1:8">
      <c r="A18" s="93">
        <f>'283200 ED AN'!A18</f>
        <v>201412</v>
      </c>
      <c r="B18" s="96">
        <f t="shared" si="3"/>
        <v>-546394.76</v>
      </c>
      <c r="C18" s="96">
        <v>0</v>
      </c>
      <c r="D18" s="125">
        <f t="shared" si="0"/>
        <v>-546394.76</v>
      </c>
      <c r="E18" s="96"/>
      <c r="F18" s="95">
        <f t="shared" si="1"/>
        <v>-546394.76</v>
      </c>
      <c r="G18" s="131"/>
      <c r="H18" s="140">
        <f t="shared" si="2"/>
        <v>-546394.76</v>
      </c>
    </row>
    <row r="19" spans="1:8">
      <c r="A19" s="98"/>
      <c r="B19" s="99"/>
      <c r="C19" s="100">
        <f>SUM(C7:C18)</f>
        <v>0</v>
      </c>
      <c r="D19" s="100"/>
      <c r="E19" s="100"/>
      <c r="F19" s="101"/>
    </row>
  </sheetData>
  <pageMargins left="0.7" right="0.7" top="0.75" bottom="0.75" header="0.3" footer="0.3"/>
  <pageSetup scale="74" orientation="portrait" r:id="rId1"/>
  <headerFooter>
    <oddFooter>&amp;C&amp;F&amp;A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view="pageBreakPreview" zoomScale="115" zoomScaleNormal="100" zoomScaleSheetLayoutView="115" workbookViewId="0">
      <selection activeCell="D18" sqref="D18"/>
    </sheetView>
  </sheetViews>
  <sheetFormatPr defaultRowHeight="13.2"/>
  <cols>
    <col min="1" max="1" width="27.44140625" customWidth="1"/>
    <col min="2" max="2" width="5.6640625" customWidth="1"/>
    <col min="3" max="3" width="9.6640625" customWidth="1"/>
    <col min="4" max="4" width="18" bestFit="1" customWidth="1"/>
    <col min="5" max="5" width="14.6640625" customWidth="1"/>
    <col min="6" max="6" width="17.33203125" bestFit="1" customWidth="1"/>
    <col min="7" max="7" width="16.6640625" bestFit="1" customWidth="1"/>
    <col min="8" max="8" width="17.6640625" bestFit="1" customWidth="1"/>
    <col min="9" max="9" width="16.6640625" bestFit="1" customWidth="1"/>
    <col min="10" max="10" width="14.109375" customWidth="1"/>
    <col min="11" max="11" width="1.6640625" customWidth="1"/>
    <col min="12" max="12" width="32.109375" bestFit="1" customWidth="1"/>
    <col min="13" max="13" width="14.88671875" style="1" customWidth="1"/>
    <col min="14" max="14" width="2.44140625" style="1" customWidth="1"/>
    <col min="15" max="15" width="13.33203125" style="1" bestFit="1" customWidth="1"/>
  </cols>
  <sheetData>
    <row r="1" spans="1:13">
      <c r="A1" t="s">
        <v>66</v>
      </c>
      <c r="M1" s="1" t="s">
        <v>105</v>
      </c>
    </row>
    <row r="2" spans="1:13">
      <c r="A2" s="51" t="s">
        <v>106</v>
      </c>
    </row>
    <row r="3" spans="1:13">
      <c r="A3" t="str">
        <f>'SYS-Dec14'!D3</f>
        <v>EOP - Twelve Months Ended December 31, 2014</v>
      </c>
      <c r="L3" s="104" t="s">
        <v>107</v>
      </c>
      <c r="M3" s="104" t="s">
        <v>10</v>
      </c>
    </row>
    <row r="4" spans="1:13">
      <c r="L4" t="s">
        <v>210</v>
      </c>
      <c r="M4" s="114">
        <f>'E-PLT'!I8+'E-PLT'!I9+'E-PLT'!I10+'E-PLT'!I11</f>
        <v>72011227</v>
      </c>
    </row>
    <row r="5" spans="1:13">
      <c r="A5" t="s">
        <v>109</v>
      </c>
      <c r="L5" t="s">
        <v>110</v>
      </c>
      <c r="M5" s="158">
        <f>-'E-PLT'!H30</f>
        <v>-33243578.218500003</v>
      </c>
    </row>
    <row r="6" spans="1:13">
      <c r="D6" s="29" t="s">
        <v>5</v>
      </c>
      <c r="E6" s="106" t="s">
        <v>10</v>
      </c>
      <c r="F6" s="106" t="s">
        <v>11</v>
      </c>
      <c r="G6" s="106" t="s">
        <v>12</v>
      </c>
      <c r="H6" s="106" t="s">
        <v>13</v>
      </c>
      <c r="I6" s="106" t="s">
        <v>111</v>
      </c>
      <c r="J6" s="107" t="s">
        <v>112</v>
      </c>
      <c r="L6" t="s">
        <v>110</v>
      </c>
      <c r="M6" s="114"/>
    </row>
    <row r="7" spans="1:13">
      <c r="E7" s="108"/>
      <c r="F7" s="108"/>
      <c r="G7" s="108"/>
      <c r="H7" s="108"/>
      <c r="M7" s="114">
        <f>SUM(M4:M6)</f>
        <v>38767648.781499997</v>
      </c>
    </row>
    <row r="8" spans="1:13">
      <c r="A8" t="s">
        <v>10</v>
      </c>
      <c r="C8" s="137" t="s">
        <v>114</v>
      </c>
      <c r="D8" s="23">
        <f>'Elec-Dec14'!E10</f>
        <v>-4637115.3645000001</v>
      </c>
      <c r="E8" s="109">
        <v>0</v>
      </c>
      <c r="F8" s="109">
        <f>D8</f>
        <v>-4637115.3645000001</v>
      </c>
      <c r="G8" s="109"/>
      <c r="H8" s="109"/>
      <c r="I8" s="110"/>
      <c r="M8" s="159"/>
    </row>
    <row r="9" spans="1:13">
      <c r="A9" t="s">
        <v>11</v>
      </c>
      <c r="C9" s="28" t="s">
        <v>114</v>
      </c>
      <c r="D9" s="23">
        <f>'Elec-Dec14'!E11</f>
        <v>-93719157.802200004</v>
      </c>
      <c r="E9" s="23">
        <v>0</v>
      </c>
      <c r="F9" s="23">
        <f t="shared" ref="E9:F14" si="0">IF($C9="P",$D9,0)</f>
        <v>-93719157.802200004</v>
      </c>
      <c r="G9" s="23">
        <f t="shared" ref="G9:G14" si="1">IF($C9="T",$D9,0)</f>
        <v>0</v>
      </c>
      <c r="H9" s="23">
        <f t="shared" ref="H9:H14" si="2">IF($C9="D",$D9,0)</f>
        <v>0</v>
      </c>
      <c r="I9" s="23">
        <f>IF($C9="O",$D9,0)</f>
        <v>0</v>
      </c>
      <c r="L9" s="104" t="s">
        <v>107</v>
      </c>
      <c r="M9" s="104" t="s">
        <v>11</v>
      </c>
    </row>
    <row r="10" spans="1:13">
      <c r="A10" t="s">
        <v>12</v>
      </c>
      <c r="C10" s="28" t="s">
        <v>115</v>
      </c>
      <c r="D10" s="23">
        <f>'Elec-Dec14'!E12</f>
        <v>-46723968.7425</v>
      </c>
      <c r="E10" s="23">
        <f t="shared" si="0"/>
        <v>0</v>
      </c>
      <c r="F10" s="23">
        <f t="shared" si="0"/>
        <v>0</v>
      </c>
      <c r="G10" s="23">
        <f t="shared" si="1"/>
        <v>-46723968.7425</v>
      </c>
      <c r="H10" s="23">
        <f t="shared" si="2"/>
        <v>0</v>
      </c>
      <c r="I10" s="23">
        <f>IF($C10="O",$D10,0)</f>
        <v>0</v>
      </c>
      <c r="L10" t="s">
        <v>116</v>
      </c>
      <c r="M10" s="114">
        <f>'E-PLT'!I14</f>
        <v>746100982</v>
      </c>
    </row>
    <row r="11" spans="1:13">
      <c r="A11" t="s">
        <v>13</v>
      </c>
      <c r="C11" s="28" t="s">
        <v>39</v>
      </c>
      <c r="D11" s="23">
        <f>'Elec-Dec14'!E13</f>
        <v>-107716229.50968</v>
      </c>
      <c r="E11" s="23">
        <f t="shared" si="0"/>
        <v>0</v>
      </c>
      <c r="F11" s="23">
        <f t="shared" si="0"/>
        <v>0</v>
      </c>
      <c r="G11" s="23">
        <f t="shared" si="1"/>
        <v>0</v>
      </c>
      <c r="H11" s="23">
        <f t="shared" si="2"/>
        <v>-107716229.50968</v>
      </c>
      <c r="I11" s="23">
        <f>IF($C11="O",$D11,0)</f>
        <v>0</v>
      </c>
      <c r="L11" t="s">
        <v>211</v>
      </c>
      <c r="M11" s="114">
        <f>'E-PLT'!I4+'E-PLT'!I5+'E-PLT'!I6+'E-PLT'!I7</f>
        <v>30609125</v>
      </c>
    </row>
    <row r="12" spans="1:13">
      <c r="A12" t="s">
        <v>76</v>
      </c>
      <c r="C12" s="28" t="s">
        <v>118</v>
      </c>
      <c r="D12" s="23">
        <f>'Elec-Dec14'!E14</f>
        <v>-7089448.1075200001</v>
      </c>
      <c r="E12" s="23">
        <f t="shared" si="0"/>
        <v>0</v>
      </c>
      <c r="F12" s="23">
        <f t="shared" si="0"/>
        <v>0</v>
      </c>
      <c r="G12" s="23">
        <f t="shared" si="1"/>
        <v>0</v>
      </c>
      <c r="H12" s="23">
        <f t="shared" si="2"/>
        <v>0</v>
      </c>
      <c r="I12" s="23">
        <f>IF($C12="O",$D12,0)</f>
        <v>-7089448.1075200001</v>
      </c>
      <c r="M12" s="158"/>
    </row>
    <row r="13" spans="1:13">
      <c r="A13" t="s">
        <v>120</v>
      </c>
      <c r="C13" s="28" t="s">
        <v>118</v>
      </c>
      <c r="D13" s="23">
        <f>'Elec-Dec14'!E16</f>
        <v>-30860851.349367183</v>
      </c>
      <c r="E13" s="23">
        <f>D13*O26</f>
        <v>-4458401.7198485043</v>
      </c>
      <c r="F13" s="23">
        <f t="shared" si="0"/>
        <v>0</v>
      </c>
      <c r="G13" s="23">
        <f t="shared" si="1"/>
        <v>0</v>
      </c>
      <c r="H13" s="23">
        <f t="shared" si="2"/>
        <v>0</v>
      </c>
      <c r="I13" s="23">
        <f>D13*O25</f>
        <v>-26402449.629518677</v>
      </c>
      <c r="J13" s="23">
        <f>D13-E13-F13-G13-H13-I13</f>
        <v>0</v>
      </c>
      <c r="M13" s="114">
        <f>SUM(M10:M12)</f>
        <v>776710107</v>
      </c>
    </row>
    <row r="14" spans="1:13">
      <c r="A14" t="s">
        <v>121</v>
      </c>
      <c r="C14" s="28" t="s">
        <v>118</v>
      </c>
      <c r="D14" s="32">
        <f>'Elec-Dec14'!E17</f>
        <v>-304842.07147401985</v>
      </c>
      <c r="E14" s="32">
        <f>D14*O26</f>
        <v>-44039.887310815226</v>
      </c>
      <c r="F14" s="32">
        <f t="shared" si="0"/>
        <v>0</v>
      </c>
      <c r="G14" s="32">
        <f t="shared" si="1"/>
        <v>0</v>
      </c>
      <c r="H14" s="32">
        <f t="shared" si="2"/>
        <v>0</v>
      </c>
      <c r="I14" s="32">
        <f>D14*O25</f>
        <v>-260802.18416320463</v>
      </c>
      <c r="J14" s="23">
        <f>D14-E14-F14-G14-H14-I14</f>
        <v>0</v>
      </c>
      <c r="M14" s="114"/>
    </row>
    <row r="15" spans="1:13">
      <c r="A15" t="s">
        <v>69</v>
      </c>
      <c r="C15" s="28"/>
      <c r="D15" s="23">
        <f t="shared" ref="D15:I15" si="3">SUM(D8:D14)</f>
        <v>-291051612.94724125</v>
      </c>
      <c r="E15" s="23">
        <f t="shared" si="3"/>
        <v>-4502441.6071593193</v>
      </c>
      <c r="F15" s="23">
        <f t="shared" si="3"/>
        <v>-98356273.166700006</v>
      </c>
      <c r="G15" s="23">
        <f t="shared" si="3"/>
        <v>-46723968.7425</v>
      </c>
      <c r="H15" s="23">
        <f t="shared" si="3"/>
        <v>-107716229.50968</v>
      </c>
      <c r="I15" s="23">
        <f t="shared" si="3"/>
        <v>-33752699.921201877</v>
      </c>
      <c r="L15" s="105"/>
      <c r="M15" s="159"/>
    </row>
    <row r="16" spans="1:13">
      <c r="A16" t="s">
        <v>87</v>
      </c>
      <c r="C16" s="28" t="s">
        <v>114</v>
      </c>
      <c r="D16" s="24">
        <f>'Elec-Dec14'!E20</f>
        <v>-7817396.2443089997</v>
      </c>
      <c r="E16" s="23">
        <v>0</v>
      </c>
      <c r="F16" s="23">
        <f>IF($C16="P",$D16,0)</f>
        <v>-7817396.2443089997</v>
      </c>
      <c r="G16" s="24"/>
      <c r="H16" s="24"/>
      <c r="I16" s="24"/>
      <c r="L16" s="104" t="s">
        <v>107</v>
      </c>
      <c r="M16" s="104" t="s">
        <v>12</v>
      </c>
    </row>
    <row r="17" spans="1:15">
      <c r="A17" t="s">
        <v>197</v>
      </c>
      <c r="C17" s="137" t="s">
        <v>114</v>
      </c>
      <c r="D17" s="24">
        <f>'Elec-Dec14'!E21</f>
        <v>239160.11007600004</v>
      </c>
      <c r="E17" s="23"/>
      <c r="F17" s="23">
        <f>D17</f>
        <v>239160.11007600004</v>
      </c>
      <c r="G17" s="24"/>
      <c r="H17" s="24"/>
      <c r="I17" s="24"/>
      <c r="L17" t="s">
        <v>122</v>
      </c>
      <c r="M17" s="114">
        <f>'E-PLT'!I15</f>
        <v>371970898</v>
      </c>
    </row>
    <row r="18" spans="1:15">
      <c r="A18" t="s">
        <v>123</v>
      </c>
      <c r="C18" s="28"/>
      <c r="D18" s="111">
        <f t="shared" ref="D18:I18" si="4">SUM(D15:D17)</f>
        <v>-298629849.08147424</v>
      </c>
      <c r="E18" s="111">
        <f t="shared" si="4"/>
        <v>-4502441.6071593193</v>
      </c>
      <c r="F18" s="111">
        <f t="shared" si="4"/>
        <v>-105934509.300933</v>
      </c>
      <c r="G18" s="111">
        <f t="shared" si="4"/>
        <v>-46723968.7425</v>
      </c>
      <c r="H18" s="111">
        <f t="shared" si="4"/>
        <v>-107716229.50968</v>
      </c>
      <c r="I18" s="111">
        <f t="shared" si="4"/>
        <v>-33752699.921201877</v>
      </c>
      <c r="M18" s="114"/>
    </row>
    <row r="19" spans="1:15">
      <c r="C19" s="28"/>
      <c r="D19" s="23"/>
      <c r="E19" s="23"/>
      <c r="F19" s="23"/>
      <c r="G19" s="23"/>
      <c r="H19" s="23"/>
      <c r="I19" s="23"/>
      <c r="M19" s="114"/>
    </row>
    <row r="20" spans="1:15">
      <c r="A20" t="s">
        <v>79</v>
      </c>
      <c r="C20" s="28" t="s">
        <v>114</v>
      </c>
      <c r="D20" s="23">
        <f>'Elec-Dec14'!E27</f>
        <v>-140091.26786100003</v>
      </c>
      <c r="E20" s="23">
        <v>0</v>
      </c>
      <c r="F20" s="23">
        <f>IF($C20="P",$D20,0)</f>
        <v>-140091.26786100003</v>
      </c>
      <c r="G20" s="23">
        <f>IF($C20="T",$D20,0)</f>
        <v>0</v>
      </c>
      <c r="H20" s="23">
        <f>IF($C20="D",$D20,0)</f>
        <v>0</v>
      </c>
      <c r="I20" s="23">
        <f>IF($C20="O",$D20,0)</f>
        <v>0</v>
      </c>
      <c r="M20" s="159"/>
    </row>
    <row r="21" spans="1:15">
      <c r="A21" t="s">
        <v>212</v>
      </c>
      <c r="C21" s="137" t="s">
        <v>113</v>
      </c>
      <c r="D21" s="23">
        <f>'Elec-Dec14'!E28</f>
        <v>-264487.35577031603</v>
      </c>
      <c r="E21" s="23">
        <f>D21</f>
        <v>-264487.35577031603</v>
      </c>
      <c r="F21" s="23"/>
      <c r="G21" s="23"/>
      <c r="H21" s="23"/>
      <c r="I21" s="23"/>
      <c r="L21" s="104" t="s">
        <v>107</v>
      </c>
      <c r="M21" s="104" t="s">
        <v>13</v>
      </c>
    </row>
    <row r="22" spans="1:15">
      <c r="A22" t="s">
        <v>124</v>
      </c>
      <c r="B22" s="73" t="s">
        <v>125</v>
      </c>
      <c r="C22" s="28"/>
      <c r="D22" s="23">
        <f>'Elec-Dec14'!E29</f>
        <v>-2382091.2759358035</v>
      </c>
      <c r="E22" s="23">
        <f>ROUND($D$22*E29,0)</f>
        <v>-40855</v>
      </c>
      <c r="F22" s="23">
        <f>ROUND($D$22*F29,0)</f>
        <v>-818542</v>
      </c>
      <c r="G22" s="23">
        <f>ROUND($D$22*G29,0)</f>
        <v>-392004</v>
      </c>
      <c r="H22" s="23">
        <f>ROUND($D$22*H29,0)</f>
        <v>-888186</v>
      </c>
      <c r="I22" s="23">
        <f>ROUND($D$22*I29,0)</f>
        <v>-242504</v>
      </c>
      <c r="J22" s="23">
        <f>D22-E22-F22-G22-H22-I22</f>
        <v>-0.27593580354005098</v>
      </c>
      <c r="L22" s="112" t="s">
        <v>126</v>
      </c>
      <c r="M22" s="114">
        <f>'E-PLT'!I16</f>
        <v>842794720</v>
      </c>
    </row>
    <row r="23" spans="1:15">
      <c r="C23" s="28" t="s">
        <v>39</v>
      </c>
      <c r="D23">
        <v>0</v>
      </c>
      <c r="M23" s="159"/>
    </row>
    <row r="24" spans="1:15">
      <c r="A24" t="s">
        <v>28</v>
      </c>
      <c r="D24" s="111">
        <f t="shared" ref="D24:I24" si="5">SUM(D20:D23)</f>
        <v>-2786669.8995671198</v>
      </c>
      <c r="E24" s="111">
        <f t="shared" si="5"/>
        <v>-305342.35577031603</v>
      </c>
      <c r="F24" s="111">
        <f t="shared" si="5"/>
        <v>-958633.26786100003</v>
      </c>
      <c r="G24" s="111">
        <f t="shared" si="5"/>
        <v>-392004</v>
      </c>
      <c r="H24" s="111">
        <f t="shared" si="5"/>
        <v>-888186</v>
      </c>
      <c r="I24" s="111">
        <f t="shared" si="5"/>
        <v>-242504</v>
      </c>
      <c r="L24" s="104" t="s">
        <v>107</v>
      </c>
      <c r="M24" s="104" t="s">
        <v>111</v>
      </c>
    </row>
    <row r="25" spans="1:15">
      <c r="D25" s="23"/>
      <c r="L25" t="s">
        <v>127</v>
      </c>
      <c r="M25" s="114">
        <f>'E-PLT'!I17</f>
        <v>196866939</v>
      </c>
      <c r="O25" s="8">
        <f>M25/M27</f>
        <v>0.85553212160688086</v>
      </c>
    </row>
    <row r="26" spans="1:15" ht="13.8" thickBot="1">
      <c r="A26" t="s">
        <v>29</v>
      </c>
      <c r="D26" s="113">
        <f t="shared" ref="D26:I26" si="6">D18+D24</f>
        <v>-301416518.98104137</v>
      </c>
      <c r="E26" s="113">
        <f t="shared" si="6"/>
        <v>-4807783.9629296353</v>
      </c>
      <c r="F26" s="113">
        <f t="shared" si="6"/>
        <v>-106893142.568794</v>
      </c>
      <c r="G26" s="113">
        <f t="shared" si="6"/>
        <v>-47115972.7425</v>
      </c>
      <c r="H26" s="113">
        <f t="shared" si="6"/>
        <v>-108604415.50968</v>
      </c>
      <c r="I26" s="113">
        <f t="shared" si="6"/>
        <v>-33995203.921201877</v>
      </c>
      <c r="J26" s="23">
        <f>D26-E26-F26-G26-H26-I26</f>
        <v>-0.27593586593866348</v>
      </c>
      <c r="L26" t="s">
        <v>128</v>
      </c>
      <c r="M26" s="158">
        <f>-M5</f>
        <v>33243578.218500003</v>
      </c>
      <c r="O26" s="8">
        <f>M26/M27</f>
        <v>0.14446787839311911</v>
      </c>
    </row>
    <row r="27" spans="1:15" ht="13.8" thickTop="1">
      <c r="M27" s="114">
        <f>SUM(M25:M26)</f>
        <v>230110517.21850002</v>
      </c>
      <c r="O27" s="8">
        <f>SUM(O25:O26)</f>
        <v>1</v>
      </c>
    </row>
    <row r="28" spans="1:15">
      <c r="B28" t="s">
        <v>70</v>
      </c>
      <c r="C28" t="s">
        <v>129</v>
      </c>
      <c r="D28" s="109">
        <f>SUM(E28:I28)</f>
        <v>2260353891</v>
      </c>
      <c r="E28" s="114">
        <f>M7</f>
        <v>38767648.781499997</v>
      </c>
      <c r="F28" s="114">
        <f>M13</f>
        <v>776710107</v>
      </c>
      <c r="G28" s="114">
        <f>M17</f>
        <v>371970898</v>
      </c>
      <c r="H28" s="114">
        <f>M22</f>
        <v>842794720</v>
      </c>
      <c r="I28" s="114">
        <f>M27</f>
        <v>230110517.21850002</v>
      </c>
      <c r="M28" s="114"/>
    </row>
    <row r="29" spans="1:15">
      <c r="E29" s="115">
        <f>ROUND(E28/$D$28,7)</f>
        <v>1.7151099999999999E-2</v>
      </c>
      <c r="F29" s="115">
        <f>ROUND(F28/$D$28,7)</f>
        <v>0.34362320000000002</v>
      </c>
      <c r="G29" s="115">
        <f>ROUND(G28/$D$28,7)</f>
        <v>0.16456309999999999</v>
      </c>
      <c r="H29" s="115">
        <f>ROUND(H28/$D$28,7)</f>
        <v>0.37285960000000001</v>
      </c>
      <c r="I29" s="115">
        <f>ROUND(I28/$D$28,7)</f>
        <v>0.1018029</v>
      </c>
      <c r="M29" s="114"/>
    </row>
    <row r="30" spans="1:15" hidden="1">
      <c r="A30" t="s">
        <v>130</v>
      </c>
      <c r="C30" s="28" t="s">
        <v>38</v>
      </c>
      <c r="D30" s="23">
        <f>SUM(F30:I30)</f>
        <v>-296608000</v>
      </c>
      <c r="E30" s="23"/>
      <c r="F30" s="52">
        <f>ROUND(F26,-3)</f>
        <v>-106893000</v>
      </c>
      <c r="G30" s="52">
        <f>ROUND(G26,-3)</f>
        <v>-47116000</v>
      </c>
      <c r="H30" s="52">
        <f>ROUND(H26,-3)</f>
        <v>-108604000</v>
      </c>
      <c r="I30" s="52">
        <f>ROUND(I26,-3)</f>
        <v>-33995000</v>
      </c>
      <c r="M30" s="159"/>
    </row>
    <row r="31" spans="1:15" hidden="1">
      <c r="A31" t="s">
        <v>131</v>
      </c>
      <c r="B31" t="s">
        <v>132</v>
      </c>
      <c r="C31" s="28" t="s">
        <v>118</v>
      </c>
      <c r="D31" s="23"/>
      <c r="E31" s="23"/>
      <c r="F31" s="23">
        <f>IF($C31="P",$D31,0)</f>
        <v>0</v>
      </c>
      <c r="G31" s="23">
        <f>IF($C31="T",$D31,0)</f>
        <v>0</v>
      </c>
      <c r="H31" s="23">
        <f>IF($C31="D",$D31,0)</f>
        <v>0</v>
      </c>
      <c r="I31" s="23">
        <f>IF($C31="O",$D31,0)</f>
        <v>0</v>
      </c>
      <c r="M31" s="159"/>
    </row>
    <row r="32" spans="1:15" hidden="1">
      <c r="A32" t="s">
        <v>133</v>
      </c>
      <c r="B32" t="s">
        <v>134</v>
      </c>
      <c r="C32" s="28" t="s">
        <v>114</v>
      </c>
      <c r="D32" s="109"/>
      <c r="E32" s="109"/>
      <c r="F32" s="23">
        <f>IF($C32="P",$D32,0)</f>
        <v>0</v>
      </c>
      <c r="G32" s="23">
        <f>IF($C32="T",$D32,0)</f>
        <v>0</v>
      </c>
      <c r="H32" s="23">
        <f>IF($C32="D",$D32,0)</f>
        <v>0</v>
      </c>
      <c r="I32" s="23">
        <f>IF($C32="O",$D32,0)</f>
        <v>0</v>
      </c>
      <c r="M32" s="159"/>
    </row>
    <row r="33" spans="1:13" hidden="1">
      <c r="A33" t="s">
        <v>135</v>
      </c>
      <c r="B33" t="s">
        <v>136</v>
      </c>
      <c r="C33" s="28" t="s">
        <v>114</v>
      </c>
      <c r="D33" s="109"/>
      <c r="E33" s="109"/>
      <c r="F33" s="23">
        <f>IF($C33="P",$D33,0)</f>
        <v>0</v>
      </c>
      <c r="G33" s="23">
        <f>IF($C33="T",$D33,0)</f>
        <v>0</v>
      </c>
      <c r="H33" s="23">
        <f>IF($C33="D",$D33,0)</f>
        <v>0</v>
      </c>
      <c r="I33" s="23">
        <f>IF($C33="O",$D33,0)</f>
        <v>0</v>
      </c>
      <c r="M33" s="159"/>
    </row>
    <row r="34" spans="1:13" hidden="1">
      <c r="A34" t="s">
        <v>137</v>
      </c>
      <c r="B34" t="s">
        <v>138</v>
      </c>
      <c r="C34" s="28" t="s">
        <v>38</v>
      </c>
      <c r="D34" s="109">
        <f>SUM(F34:I34)</f>
        <v>0</v>
      </c>
      <c r="E34" s="109"/>
      <c r="F34" s="23">
        <f>-G34</f>
        <v>0</v>
      </c>
      <c r="G34" s="23">
        <v>0</v>
      </c>
      <c r="H34" s="23">
        <v>0</v>
      </c>
      <c r="I34" s="23">
        <v>0</v>
      </c>
      <c r="M34" s="159"/>
    </row>
    <row r="35" spans="1:13" hidden="1">
      <c r="A35" t="s">
        <v>139</v>
      </c>
      <c r="B35" t="s">
        <v>140</v>
      </c>
      <c r="C35" s="28" t="s">
        <v>38</v>
      </c>
      <c r="D35" s="109">
        <f>SUM(F35:I35)</f>
        <v>0</v>
      </c>
      <c r="E35" s="109"/>
      <c r="F35" s="23"/>
      <c r="G35" s="23"/>
      <c r="H35" s="23"/>
      <c r="I35" s="23"/>
      <c r="M35" s="159"/>
    </row>
    <row r="36" spans="1:13" hidden="1">
      <c r="A36" t="s">
        <v>141</v>
      </c>
      <c r="B36" t="s">
        <v>142</v>
      </c>
      <c r="C36" s="28" t="s">
        <v>38</v>
      </c>
      <c r="D36" s="109">
        <f>SUM(F36:I36)</f>
        <v>0</v>
      </c>
      <c r="E36" s="109"/>
      <c r="F36" s="23"/>
      <c r="G36" s="23"/>
      <c r="H36" s="23"/>
      <c r="I36" s="23"/>
      <c r="M36" s="159"/>
    </row>
    <row r="37" spans="1:13" hidden="1">
      <c r="A37" t="s">
        <v>143</v>
      </c>
      <c r="B37" t="s">
        <v>144</v>
      </c>
      <c r="C37" s="28" t="s">
        <v>114</v>
      </c>
      <c r="D37" s="109"/>
      <c r="E37" s="109"/>
      <c r="F37" s="23">
        <f>IF($C37="P",$D37,0)</f>
        <v>0</v>
      </c>
      <c r="G37" s="23">
        <f>IF($C37="T",$D37,0)</f>
        <v>0</v>
      </c>
      <c r="H37" s="23">
        <f>IF($C37="D",$D37,0)</f>
        <v>0</v>
      </c>
      <c r="I37" s="23">
        <f>IF($C37="O",$D37,0)</f>
        <v>0</v>
      </c>
      <c r="M37" s="159"/>
    </row>
    <row r="38" spans="1:13" hidden="1">
      <c r="A38" t="s">
        <v>145</v>
      </c>
      <c r="B38" t="s">
        <v>146</v>
      </c>
      <c r="C38" s="28" t="s">
        <v>114</v>
      </c>
      <c r="D38" s="109"/>
      <c r="E38" s="109"/>
      <c r="F38" s="23">
        <f>IF($C38="P",$D38,0)</f>
        <v>0</v>
      </c>
      <c r="G38" s="23">
        <f>IF($C38="T",$D38,0)</f>
        <v>0</v>
      </c>
      <c r="H38" s="23">
        <f>IF($C38="D",$D38,0)</f>
        <v>0</v>
      </c>
      <c r="I38" s="23">
        <f>IF($C38="O",$D38,0)</f>
        <v>0</v>
      </c>
      <c r="M38" s="159"/>
    </row>
    <row r="39" spans="1:13" hidden="1">
      <c r="A39" t="s">
        <v>87</v>
      </c>
      <c r="B39" t="s">
        <v>147</v>
      </c>
      <c r="C39" s="28" t="s">
        <v>114</v>
      </c>
      <c r="D39" s="109"/>
      <c r="E39" s="109"/>
      <c r="F39" s="23">
        <f>IF($C39="P",$D39,0)</f>
        <v>0</v>
      </c>
      <c r="G39" s="23">
        <f>IF($C39="T",$D39,0)</f>
        <v>0</v>
      </c>
      <c r="H39" s="23">
        <f>IF($C39="D",$D39,0)</f>
        <v>0</v>
      </c>
      <c r="I39" s="23">
        <f>IF($C39="O",$D39,0)</f>
        <v>0</v>
      </c>
      <c r="M39" s="159"/>
    </row>
    <row r="40" spans="1:13" hidden="1">
      <c r="A40" t="s">
        <v>148</v>
      </c>
      <c r="B40" t="s">
        <v>149</v>
      </c>
      <c r="C40" s="28" t="s">
        <v>114</v>
      </c>
      <c r="D40" s="109"/>
      <c r="E40" s="109"/>
      <c r="F40" s="23">
        <f>IF($C40="P",$D40,0)</f>
        <v>0</v>
      </c>
      <c r="G40" s="23">
        <f>IF($C40="T",$D40,0)</f>
        <v>0</v>
      </c>
      <c r="H40" s="23">
        <f>IF($C40="D",$D40,0)</f>
        <v>0</v>
      </c>
      <c r="I40" s="23">
        <f>IF($C40="O",$D40,0)</f>
        <v>0</v>
      </c>
      <c r="M40" s="159"/>
    </row>
    <row r="41" spans="1:13" hidden="1">
      <c r="D41" s="116"/>
      <c r="E41" s="116"/>
      <c r="F41" s="116"/>
      <c r="G41" s="116"/>
      <c r="H41" s="116"/>
      <c r="I41" s="116"/>
      <c r="M41" s="159"/>
    </row>
    <row r="42" spans="1:13" ht="13.8" hidden="1" thickBot="1">
      <c r="A42" s="117" t="s">
        <v>150</v>
      </c>
      <c r="D42" s="118">
        <f t="shared" ref="D42:I42" si="7">SUM(D31:D40)+ROUND(D26,-3)</f>
        <v>-301417000</v>
      </c>
      <c r="E42" s="118">
        <f t="shared" si="7"/>
        <v>-4808000</v>
      </c>
      <c r="F42" s="118">
        <f t="shared" si="7"/>
        <v>-106893000</v>
      </c>
      <c r="G42" s="118">
        <f t="shared" si="7"/>
        <v>-47116000</v>
      </c>
      <c r="H42" s="118">
        <f t="shared" si="7"/>
        <v>-108604000</v>
      </c>
      <c r="I42" s="118">
        <f t="shared" si="7"/>
        <v>-33995000</v>
      </c>
      <c r="M42" s="159"/>
    </row>
    <row r="43" spans="1:13" hidden="1">
      <c r="M43" s="159"/>
    </row>
    <row r="44" spans="1:13">
      <c r="M44" s="159"/>
    </row>
    <row r="45" spans="1:13">
      <c r="M45" s="159"/>
    </row>
    <row r="46" spans="1:13">
      <c r="M46" s="159"/>
    </row>
    <row r="47" spans="1:13">
      <c r="A47" t="s">
        <v>66</v>
      </c>
      <c r="M47" s="159"/>
    </row>
    <row r="48" spans="1:13">
      <c r="A48" s="51" t="s">
        <v>151</v>
      </c>
      <c r="M48" s="159" t="s">
        <v>152</v>
      </c>
    </row>
    <row r="49" spans="1:15">
      <c r="A49" t="str">
        <f>A3</f>
        <v>EOP - Twelve Months Ended December 31, 2014</v>
      </c>
      <c r="M49" s="159"/>
    </row>
    <row r="50" spans="1:15">
      <c r="L50" s="104" t="s">
        <v>107</v>
      </c>
      <c r="M50" s="104" t="s">
        <v>10</v>
      </c>
    </row>
    <row r="51" spans="1:15">
      <c r="A51" t="s">
        <v>109</v>
      </c>
      <c r="L51" t="s">
        <v>108</v>
      </c>
      <c r="M51" s="114">
        <f>'E-PLT'!M8+'E-PLT'!M9+'E-PLT'!M10+'E-PLT'!M11</f>
        <v>34234242</v>
      </c>
    </row>
    <row r="52" spans="1:15">
      <c r="D52" s="29" t="s">
        <v>6</v>
      </c>
      <c r="E52" s="106" t="s">
        <v>10</v>
      </c>
      <c r="F52" s="106" t="s">
        <v>11</v>
      </c>
      <c r="G52" s="106" t="s">
        <v>12</v>
      </c>
      <c r="H52" s="106" t="s">
        <v>13</v>
      </c>
      <c r="I52" s="106" t="s">
        <v>153</v>
      </c>
      <c r="J52" s="107" t="s">
        <v>112</v>
      </c>
      <c r="L52" t="s">
        <v>110</v>
      </c>
      <c r="M52" s="158">
        <f>-'G-PLT'!H25</f>
        <v>-9865590.3601999991</v>
      </c>
      <c r="O52" s="104"/>
    </row>
    <row r="53" spans="1:15">
      <c r="E53" s="108"/>
      <c r="F53" s="108"/>
      <c r="G53" s="108"/>
      <c r="H53" s="108"/>
      <c r="L53" t="s">
        <v>110</v>
      </c>
      <c r="M53" s="114"/>
      <c r="O53" s="105"/>
    </row>
    <row r="54" spans="1:15">
      <c r="A54" t="s">
        <v>154</v>
      </c>
      <c r="C54" s="137" t="s">
        <v>114</v>
      </c>
      <c r="D54" s="23">
        <f>'Elec-Dec14'!F10</f>
        <v>-2528879.6354999999</v>
      </c>
      <c r="E54" s="109">
        <v>0</v>
      </c>
      <c r="F54" s="109">
        <f>D54</f>
        <v>-2528879.6354999999</v>
      </c>
      <c r="G54" s="109"/>
      <c r="H54" s="109"/>
      <c r="I54" s="110"/>
      <c r="M54" s="114">
        <f>SUM(M51:M53)</f>
        <v>24368651.639800001</v>
      </c>
      <c r="O54" s="105"/>
    </row>
    <row r="55" spans="1:15">
      <c r="A55" t="s">
        <v>11</v>
      </c>
      <c r="C55" s="28" t="s">
        <v>114</v>
      </c>
      <c r="D55" s="23">
        <f>'Elec-Dec14'!F11</f>
        <v>-51110324.197799996</v>
      </c>
      <c r="E55" s="23">
        <v>0</v>
      </c>
      <c r="F55" s="23">
        <f t="shared" ref="E55:F60" si="8">IF($C55="P",$D55,0)</f>
        <v>-51110324.197799996</v>
      </c>
      <c r="G55" s="23">
        <f t="shared" ref="G55:G60" si="9">IF($C55="T",$D55,0)</f>
        <v>0</v>
      </c>
      <c r="H55" s="23">
        <f t="shared" ref="H55:H60" si="10">IF($C55="D",$D55,0)</f>
        <v>0</v>
      </c>
      <c r="I55" s="23">
        <f>IF($C55="O",$D55,0)</f>
        <v>0</v>
      </c>
      <c r="M55" s="159"/>
      <c r="O55" s="105"/>
    </row>
    <row r="56" spans="1:15">
      <c r="A56" t="s">
        <v>12</v>
      </c>
      <c r="C56" s="28" t="s">
        <v>115</v>
      </c>
      <c r="D56" s="23">
        <f>'Elec-Dec14'!F12</f>
        <v>-25481206.2575</v>
      </c>
      <c r="E56" s="23">
        <f t="shared" si="8"/>
        <v>0</v>
      </c>
      <c r="F56" s="23">
        <f t="shared" si="8"/>
        <v>0</v>
      </c>
      <c r="G56" s="23">
        <f t="shared" si="9"/>
        <v>-25481206.2575</v>
      </c>
      <c r="H56" s="23">
        <f t="shared" si="10"/>
        <v>0</v>
      </c>
      <c r="I56" s="23">
        <f>IF($C56="O",$D56,0)</f>
        <v>0</v>
      </c>
      <c r="L56" s="104" t="s">
        <v>107</v>
      </c>
      <c r="M56" s="104" t="s">
        <v>11</v>
      </c>
      <c r="O56" s="105"/>
    </row>
    <row r="57" spans="1:15">
      <c r="A57" t="s">
        <v>13</v>
      </c>
      <c r="C57" s="28" t="s">
        <v>39</v>
      </c>
      <c r="D57" s="23">
        <f>'Elec-Dec14'!F13</f>
        <v>-57766824.49031999</v>
      </c>
      <c r="E57" s="23">
        <f t="shared" si="8"/>
        <v>0</v>
      </c>
      <c r="F57" s="23">
        <f t="shared" si="8"/>
        <v>0</v>
      </c>
      <c r="G57" s="23">
        <f t="shared" si="9"/>
        <v>0</v>
      </c>
      <c r="H57" s="23">
        <f t="shared" si="10"/>
        <v>-57766824.49031999</v>
      </c>
      <c r="I57" s="23">
        <f>IF($C57="O",$D57,0)</f>
        <v>0</v>
      </c>
      <c r="L57" t="s">
        <v>116</v>
      </c>
      <c r="M57" s="114">
        <f>'E-PLT'!M14</f>
        <v>406890801</v>
      </c>
      <c r="O57" s="105"/>
    </row>
    <row r="58" spans="1:15">
      <c r="A58" t="s">
        <v>76</v>
      </c>
      <c r="C58" s="28" t="s">
        <v>118</v>
      </c>
      <c r="D58" s="23">
        <f>'Elec-Dec14'!F14</f>
        <v>-3481719.8924799999</v>
      </c>
      <c r="E58" s="23">
        <f t="shared" si="8"/>
        <v>0</v>
      </c>
      <c r="F58" s="23">
        <f t="shared" si="8"/>
        <v>0</v>
      </c>
      <c r="G58" s="23">
        <f t="shared" si="9"/>
        <v>0</v>
      </c>
      <c r="H58" s="23">
        <f t="shared" si="10"/>
        <v>0</v>
      </c>
      <c r="I58" s="23">
        <f>IF($C58="O",$D58,0)</f>
        <v>-3481719.8924799999</v>
      </c>
      <c r="L58" t="s">
        <v>117</v>
      </c>
      <c r="M58" s="114">
        <f>'E-PLT'!M4+'E-PLT'!M5+'E-PLT'!M6+'E-PLT'!M7</f>
        <v>16692876</v>
      </c>
      <c r="O58" s="105"/>
    </row>
    <row r="59" spans="1:15">
      <c r="A59" t="s">
        <v>120</v>
      </c>
      <c r="C59" s="28" t="s">
        <v>118</v>
      </c>
      <c r="D59" s="23">
        <f>'Elec-Dec14'!F16</f>
        <v>-14589592.46413382</v>
      </c>
      <c r="E59" s="23">
        <f>D59*O73</f>
        <v>-1328933.7036891968</v>
      </c>
      <c r="F59" s="23">
        <f t="shared" si="8"/>
        <v>0</v>
      </c>
      <c r="G59" s="23">
        <f t="shared" si="9"/>
        <v>0</v>
      </c>
      <c r="H59" s="23">
        <f t="shared" si="10"/>
        <v>0</v>
      </c>
      <c r="I59" s="23">
        <f>D59*O72</f>
        <v>-13260658.760444622</v>
      </c>
      <c r="J59" s="23">
        <f>D59-E59-F59-G59-H59-I59</f>
        <v>0</v>
      </c>
      <c r="L59" t="s">
        <v>119</v>
      </c>
      <c r="M59" s="158"/>
    </row>
    <row r="60" spans="1:15">
      <c r="A60" t="s">
        <v>121</v>
      </c>
      <c r="C60" s="28" t="s">
        <v>118</v>
      </c>
      <c r="D60" s="32">
        <f>'Elec-Dec14'!F17</f>
        <v>-144115.32392218019</v>
      </c>
      <c r="E60" s="32">
        <f>D60*O73</f>
        <v>-13127.146056278943</v>
      </c>
      <c r="F60" s="32">
        <f t="shared" si="8"/>
        <v>0</v>
      </c>
      <c r="G60" s="32">
        <f t="shared" si="9"/>
        <v>0</v>
      </c>
      <c r="H60" s="32">
        <f t="shared" si="10"/>
        <v>0</v>
      </c>
      <c r="I60" s="32">
        <f>D60*O72</f>
        <v>-130988.17786590125</v>
      </c>
      <c r="J60" s="23">
        <f>D60-E60-F60-G60-H60-I60</f>
        <v>0</v>
      </c>
      <c r="M60" s="114">
        <f>SUM(M57:M59)</f>
        <v>423583677</v>
      </c>
      <c r="O60" s="104"/>
    </row>
    <row r="61" spans="1:15">
      <c r="A61" t="s">
        <v>69</v>
      </c>
      <c r="C61" s="28"/>
      <c r="D61" s="23">
        <f t="shared" ref="D61:I61" si="11">SUM(D54:D60)</f>
        <v>-155102662.26165599</v>
      </c>
      <c r="E61" s="23">
        <f t="shared" si="11"/>
        <v>-1342060.8497454757</v>
      </c>
      <c r="F61" s="23">
        <f t="shared" si="11"/>
        <v>-53639203.833299994</v>
      </c>
      <c r="G61" s="23">
        <f t="shared" si="11"/>
        <v>-25481206.2575</v>
      </c>
      <c r="H61" s="23">
        <f t="shared" si="11"/>
        <v>-57766824.49031999</v>
      </c>
      <c r="I61" s="23">
        <f t="shared" si="11"/>
        <v>-16873366.830790523</v>
      </c>
      <c r="M61" s="114"/>
      <c r="O61" s="105"/>
    </row>
    <row r="62" spans="1:15">
      <c r="A62" t="s">
        <v>87</v>
      </c>
      <c r="C62" s="28" t="s">
        <v>114</v>
      </c>
      <c r="D62" s="24">
        <f>'Elec-Dec14'!F20</f>
        <v>-4263265.5456909994</v>
      </c>
      <c r="E62" s="23">
        <v>0</v>
      </c>
      <c r="F62" s="23">
        <f>IF($C62="P",$D62,0)</f>
        <v>-4263265.5456909994</v>
      </c>
      <c r="G62" s="24"/>
      <c r="H62" s="24"/>
      <c r="I62" s="24"/>
      <c r="L62" s="105"/>
      <c r="M62" s="159"/>
      <c r="O62" s="105"/>
    </row>
    <row r="63" spans="1:15">
      <c r="A63" t="s">
        <v>197</v>
      </c>
      <c r="C63" s="137" t="s">
        <v>114</v>
      </c>
      <c r="D63" s="24">
        <f>'Elec-Dec14'!F21</f>
        <v>130427.44992400002</v>
      </c>
      <c r="E63" s="23"/>
      <c r="F63" s="23">
        <f>IF($C63="P",$D63,0)</f>
        <v>130427.44992400002</v>
      </c>
      <c r="G63" s="24"/>
      <c r="H63" s="24"/>
      <c r="I63" s="24"/>
      <c r="L63" s="104" t="s">
        <v>107</v>
      </c>
      <c r="M63" s="104" t="s">
        <v>12</v>
      </c>
      <c r="O63" s="105"/>
    </row>
    <row r="64" spans="1:15">
      <c r="A64" t="s">
        <v>123</v>
      </c>
      <c r="C64" s="28"/>
      <c r="D64" s="111">
        <f t="shared" ref="D64:I64" si="12">SUM(D61:D63)</f>
        <v>-159235500.35742301</v>
      </c>
      <c r="E64" s="111">
        <f t="shared" si="12"/>
        <v>-1342060.8497454757</v>
      </c>
      <c r="F64" s="111">
        <f t="shared" si="12"/>
        <v>-57772041.929066993</v>
      </c>
      <c r="G64" s="111">
        <f t="shared" si="12"/>
        <v>-25481206.2575</v>
      </c>
      <c r="H64" s="111">
        <f t="shared" si="12"/>
        <v>-57766824.49031999</v>
      </c>
      <c r="I64" s="111">
        <f t="shared" si="12"/>
        <v>-16873366.830790523</v>
      </c>
      <c r="L64" t="s">
        <v>122</v>
      </c>
      <c r="M64" s="114">
        <f>'E-PLT'!M15</f>
        <v>202856637</v>
      </c>
    </row>
    <row r="65" spans="1:16">
      <c r="C65" s="28"/>
      <c r="D65" s="23"/>
      <c r="E65" s="23"/>
      <c r="F65" s="23"/>
      <c r="G65" s="23"/>
      <c r="H65" s="23"/>
      <c r="I65" s="23"/>
      <c r="M65" s="114"/>
      <c r="P65" s="1"/>
    </row>
    <row r="66" spans="1:16">
      <c r="A66" t="s">
        <v>79</v>
      </c>
      <c r="C66" s="28" t="s">
        <v>114</v>
      </c>
      <c r="D66" s="23">
        <f>'Elec-Dec14'!F27</f>
        <v>-76399.642139000003</v>
      </c>
      <c r="E66" s="23">
        <v>0</v>
      </c>
      <c r="F66" s="23">
        <f>IF($C66="P",$D66,0)</f>
        <v>-76399.642139000003</v>
      </c>
      <c r="G66" s="23">
        <f>IF($C66="T",$D66,0)</f>
        <v>0</v>
      </c>
      <c r="H66" s="23">
        <f>IF($C66="D",$D66,0)</f>
        <v>0</v>
      </c>
      <c r="I66" s="23">
        <f>IF($C66="O",$D66,0)</f>
        <v>0</v>
      </c>
      <c r="M66" s="114"/>
      <c r="O66" s="104"/>
      <c r="P66" s="1"/>
    </row>
    <row r="67" spans="1:16">
      <c r="A67" t="s">
        <v>212</v>
      </c>
      <c r="C67" s="137" t="s">
        <v>113</v>
      </c>
      <c r="D67" s="23">
        <f>'Elec-Dec14'!F28</f>
        <v>-125037.46863368398</v>
      </c>
      <c r="E67" s="23">
        <f>D67</f>
        <v>-125037.46863368398</v>
      </c>
      <c r="F67" s="23"/>
      <c r="G67" s="23"/>
      <c r="H67" s="23"/>
      <c r="I67" s="23"/>
      <c r="M67" s="159"/>
      <c r="O67" s="105"/>
      <c r="P67" s="1"/>
    </row>
    <row r="68" spans="1:16">
      <c r="A68" t="s">
        <v>124</v>
      </c>
      <c r="B68" s="73" t="s">
        <v>125</v>
      </c>
      <c r="C68" s="28"/>
      <c r="D68" s="23">
        <f>'Elec-Dec14'!F29</f>
        <v>-1273609.6432271979</v>
      </c>
      <c r="E68" s="23">
        <f>ROUND($D$68*E74,0)</f>
        <v>-25156</v>
      </c>
      <c r="F68" s="23">
        <f>ROUND($D$68*F74,0)</f>
        <v>-437273</v>
      </c>
      <c r="G68" s="23">
        <f>ROUND($D$68*G74,0)</f>
        <v>-209413</v>
      </c>
      <c r="H68" s="23">
        <f>ROUND($D$68*H74,0)</f>
        <v>-489959</v>
      </c>
      <c r="I68" s="23">
        <f>ROUND($D$68*I74,0)</f>
        <v>-111809</v>
      </c>
      <c r="J68" s="23">
        <f>D68-E68-F68-G68-H68-I68</f>
        <v>0.35677280207164586</v>
      </c>
      <c r="L68" s="104" t="s">
        <v>107</v>
      </c>
      <c r="M68" s="104" t="s">
        <v>13</v>
      </c>
      <c r="O68" s="105"/>
      <c r="P68" s="1"/>
    </row>
    <row r="69" spans="1:16">
      <c r="A69" t="s">
        <v>28</v>
      </c>
      <c r="D69" s="111">
        <f t="shared" ref="D69:I69" si="13">SUM(D66:D68)</f>
        <v>-1475046.7539998819</v>
      </c>
      <c r="E69" s="111">
        <f t="shared" si="13"/>
        <v>-150193.46863368398</v>
      </c>
      <c r="F69" s="111">
        <f t="shared" si="13"/>
        <v>-513672.642139</v>
      </c>
      <c r="G69" s="111">
        <f t="shared" si="13"/>
        <v>-209413</v>
      </c>
      <c r="H69" s="111">
        <f t="shared" si="13"/>
        <v>-489959</v>
      </c>
      <c r="I69" s="111">
        <f t="shared" si="13"/>
        <v>-111809</v>
      </c>
      <c r="L69" s="112" t="s">
        <v>126</v>
      </c>
      <c r="M69" s="114">
        <f>'E-PLT'!M16</f>
        <v>474620753</v>
      </c>
      <c r="O69" s="105"/>
      <c r="P69" s="1"/>
    </row>
    <row r="70" spans="1:16">
      <c r="D70" s="23"/>
      <c r="M70" s="159"/>
      <c r="O70" s="105"/>
      <c r="P70" s="1"/>
    </row>
    <row r="71" spans="1:16" ht="13.8" thickBot="1">
      <c r="A71" t="s">
        <v>29</v>
      </c>
      <c r="C71" s="173" t="s">
        <v>113</v>
      </c>
      <c r="D71" s="113">
        <f t="shared" ref="D71:I71" si="14">D64+D69</f>
        <v>-160710547.1114229</v>
      </c>
      <c r="E71" s="113">
        <f t="shared" si="14"/>
        <v>-1492254.3183791596</v>
      </c>
      <c r="F71" s="113">
        <f t="shared" si="14"/>
        <v>-58285714.571205996</v>
      </c>
      <c r="G71" s="113">
        <f t="shared" si="14"/>
        <v>-25690619.2575</v>
      </c>
      <c r="H71" s="113">
        <f t="shared" si="14"/>
        <v>-58256783.49031999</v>
      </c>
      <c r="I71" s="113">
        <f t="shared" si="14"/>
        <v>-16985175.830790523</v>
      </c>
      <c r="J71" s="23">
        <f>D71-E71-F71-G71-H71-I71</f>
        <v>0.3567727766931057</v>
      </c>
      <c r="L71" s="104" t="s">
        <v>107</v>
      </c>
      <c r="M71" s="104" t="s">
        <v>111</v>
      </c>
      <c r="O71" s="105"/>
      <c r="P71" s="1"/>
    </row>
    <row r="72" spans="1:16" ht="13.8" thickTop="1">
      <c r="L72" t="s">
        <v>127</v>
      </c>
      <c r="M72" s="114">
        <f>'E-PLT'!M17</f>
        <v>98443005</v>
      </c>
      <c r="O72" s="18">
        <f>M72/M74</f>
        <v>0.90891221211585116</v>
      </c>
      <c r="P72" s="1"/>
    </row>
    <row r="73" spans="1:16">
      <c r="B73" t="s">
        <v>70</v>
      </c>
      <c r="C73" t="s">
        <v>129</v>
      </c>
      <c r="D73" s="109">
        <f>SUM(E73:I73)</f>
        <v>1233738314</v>
      </c>
      <c r="E73" s="109">
        <f>M54</f>
        <v>24368651.639800001</v>
      </c>
      <c r="F73" s="114">
        <f>M60</f>
        <v>423583677</v>
      </c>
      <c r="G73" s="114">
        <f>M64</f>
        <v>202856637</v>
      </c>
      <c r="H73" s="114">
        <f>M69</f>
        <v>474620753</v>
      </c>
      <c r="I73" s="114">
        <f>M74</f>
        <v>108308595.3602</v>
      </c>
      <c r="L73" t="s">
        <v>128</v>
      </c>
      <c r="M73" s="158">
        <f>-M52</f>
        <v>9865590.3601999991</v>
      </c>
      <c r="O73" s="18">
        <f>M73/M74</f>
        <v>9.1087787884148785E-2</v>
      </c>
      <c r="P73" s="1"/>
    </row>
    <row r="74" spans="1:16">
      <c r="E74" s="119">
        <f>ROUND(E73/$D$73,7)</f>
        <v>1.9751899999999999E-2</v>
      </c>
      <c r="F74" s="119">
        <f>ROUND(F73/$D$73,7)</f>
        <v>0.34333350000000001</v>
      </c>
      <c r="G74" s="119">
        <f>ROUND(G73/$D$73,7)</f>
        <v>0.1644244</v>
      </c>
      <c r="H74" s="119">
        <f>ROUND(H73/$D$73,7)</f>
        <v>0.38470130000000002</v>
      </c>
      <c r="I74" s="119">
        <f>ROUND(I73/$D$73,7)</f>
        <v>8.7789000000000006E-2</v>
      </c>
      <c r="M74" s="114">
        <f>SUM(M72:M73)</f>
        <v>108308595.3602</v>
      </c>
      <c r="O74" s="8">
        <f>SUM(O72:O73)</f>
        <v>1</v>
      </c>
      <c r="P74" s="1"/>
    </row>
    <row r="75" spans="1:16">
      <c r="C75" s="28"/>
      <c r="D75" s="23"/>
      <c r="E75" s="23"/>
      <c r="F75" s="52"/>
      <c r="G75" s="52"/>
      <c r="H75" s="52"/>
      <c r="I75" s="52"/>
      <c r="P75" s="1"/>
    </row>
    <row r="76" spans="1:16">
      <c r="C76" s="28"/>
      <c r="D76" s="23"/>
      <c r="E76" s="23"/>
      <c r="F76" s="23"/>
      <c r="G76" s="23"/>
      <c r="H76" s="23"/>
      <c r="I76" s="23"/>
      <c r="P76" s="1"/>
    </row>
    <row r="77" spans="1:16">
      <c r="C77" s="28"/>
      <c r="D77" s="23"/>
      <c r="E77" s="23"/>
      <c r="F77" s="23"/>
      <c r="G77" s="23"/>
      <c r="H77" s="23"/>
      <c r="I77" s="23"/>
      <c r="P77" s="1"/>
    </row>
    <row r="78" spans="1:16">
      <c r="C78" s="28"/>
      <c r="D78" s="23"/>
      <c r="E78" s="23"/>
      <c r="F78" s="23"/>
      <c r="G78" s="23"/>
      <c r="H78" s="23"/>
      <c r="I78" s="23"/>
      <c r="P78" s="1"/>
    </row>
    <row r="79" spans="1:16">
      <c r="C79" s="28"/>
      <c r="D79" s="23"/>
      <c r="E79" s="23"/>
      <c r="F79" s="23"/>
      <c r="G79" s="23"/>
      <c r="H79" s="23"/>
      <c r="I79" s="23"/>
      <c r="P79" s="1"/>
    </row>
    <row r="80" spans="1:16">
      <c r="C80" s="28"/>
      <c r="D80" s="23"/>
      <c r="E80" s="23"/>
      <c r="F80" s="23"/>
      <c r="G80" s="23"/>
      <c r="H80" s="23"/>
      <c r="I80" s="23"/>
      <c r="P80" s="1"/>
    </row>
    <row r="81" spans="1:16">
      <c r="C81" s="28"/>
      <c r="D81" s="23"/>
      <c r="E81" s="23"/>
      <c r="F81" s="23"/>
      <c r="G81" s="23"/>
      <c r="H81" s="23"/>
      <c r="I81" s="23"/>
      <c r="P81" s="1"/>
    </row>
    <row r="82" spans="1:16">
      <c r="C82" s="28"/>
      <c r="D82" s="23"/>
      <c r="E82" s="23"/>
      <c r="F82" s="23"/>
      <c r="G82" s="23"/>
      <c r="H82" s="23"/>
      <c r="I82" s="23"/>
    </row>
    <row r="83" spans="1:16">
      <c r="C83" s="28"/>
      <c r="D83" s="23"/>
      <c r="E83" s="23"/>
      <c r="F83" s="23"/>
      <c r="G83" s="23"/>
      <c r="H83" s="23"/>
      <c r="I83" s="23"/>
    </row>
    <row r="84" spans="1:16">
      <c r="C84" s="28"/>
      <c r="D84" s="23"/>
      <c r="E84" s="23"/>
      <c r="F84" s="23"/>
      <c r="G84" s="23"/>
      <c r="H84" s="23"/>
      <c r="I84" s="23"/>
    </row>
    <row r="85" spans="1:16">
      <c r="D85" s="23"/>
      <c r="E85" s="23"/>
    </row>
    <row r="86" spans="1:16">
      <c r="A86" s="117"/>
      <c r="D86" s="120"/>
      <c r="E86" s="120"/>
      <c r="F86" s="120"/>
      <c r="G86" s="120"/>
      <c r="H86" s="120"/>
      <c r="I86" s="120"/>
    </row>
  </sheetData>
  <pageMargins left="0.7" right="0.7" top="0.75" bottom="0.75" header="0.3" footer="0.3"/>
  <pageSetup scale="86" fitToHeight="0" orientation="landscape" r:id="rId1"/>
  <headerFooter>
    <oddFooter>&amp;L&amp;F</oddFooter>
  </headerFooter>
  <rowBreaks count="1" manualBreakCount="1">
    <brk id="45"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view="pageBreakPreview" zoomScale="130" zoomScaleNormal="100" zoomScaleSheetLayoutView="130" workbookViewId="0">
      <selection activeCell="C23" sqref="C23"/>
    </sheetView>
  </sheetViews>
  <sheetFormatPr defaultRowHeight="13.2"/>
  <cols>
    <col min="1" max="1" width="27.44140625" customWidth="1"/>
    <col min="2" max="2" width="5.6640625" customWidth="1"/>
    <col min="3" max="3" width="9.6640625" customWidth="1"/>
    <col min="4" max="4" width="15.109375" customWidth="1"/>
    <col min="5" max="5" width="14.6640625" customWidth="1"/>
    <col min="6" max="6" width="14.109375" customWidth="1"/>
    <col min="7" max="7" width="17.33203125" bestFit="1" customWidth="1"/>
    <col min="8" max="8" width="16.5546875" bestFit="1" customWidth="1"/>
    <col min="9" max="9" width="14.109375" customWidth="1"/>
    <col min="10" max="10" width="1.6640625" customWidth="1"/>
    <col min="11" max="11" width="32.109375" bestFit="1" customWidth="1"/>
    <col min="12" max="12" width="19.5546875" style="1" customWidth="1"/>
    <col min="13" max="13" width="2.44140625" style="1" customWidth="1"/>
    <col min="14" max="14" width="13.109375" style="1" bestFit="1" customWidth="1"/>
  </cols>
  <sheetData>
    <row r="1" spans="1:12">
      <c r="A1" t="s">
        <v>66</v>
      </c>
      <c r="L1" s="26" t="s">
        <v>105</v>
      </c>
    </row>
    <row r="2" spans="1:12">
      <c r="A2" s="51" t="s">
        <v>155</v>
      </c>
      <c r="L2" s="26"/>
    </row>
    <row r="3" spans="1:12">
      <c r="A3" t="str">
        <f>'SYS-Dec14'!D3</f>
        <v>EOP - Twelve Months Ended December 31, 2014</v>
      </c>
      <c r="K3" s="104" t="s">
        <v>107</v>
      </c>
      <c r="L3" s="104" t="s">
        <v>10</v>
      </c>
    </row>
    <row r="4" spans="1:12">
      <c r="K4" t="s">
        <v>10</v>
      </c>
      <c r="L4" s="114">
        <f>'G-PLT'!I8</f>
        <v>11780366</v>
      </c>
    </row>
    <row r="5" spans="1:12">
      <c r="A5" t="s">
        <v>109</v>
      </c>
      <c r="K5" t="s">
        <v>110</v>
      </c>
      <c r="L5" s="158">
        <f>-'G-PLT'!H25</f>
        <v>-9865590.3601999991</v>
      </c>
    </row>
    <row r="6" spans="1:12">
      <c r="D6" s="29" t="s">
        <v>5</v>
      </c>
      <c r="E6" s="106" t="s">
        <v>10</v>
      </c>
      <c r="F6" s="106" t="s">
        <v>45</v>
      </c>
      <c r="G6" s="106" t="s">
        <v>13</v>
      </c>
      <c r="H6" s="106" t="s">
        <v>111</v>
      </c>
      <c r="I6" s="107" t="s">
        <v>112</v>
      </c>
      <c r="K6" t="s">
        <v>110</v>
      </c>
      <c r="L6" s="114"/>
    </row>
    <row r="7" spans="1:12">
      <c r="E7" s="108"/>
      <c r="F7" s="108"/>
      <c r="G7" s="108"/>
      <c r="L7" s="114">
        <f>SUM(L4:L6)</f>
        <v>1914775.6398000009</v>
      </c>
    </row>
    <row r="8" spans="1:12">
      <c r="A8" t="s">
        <v>10</v>
      </c>
      <c r="C8" s="28" t="s">
        <v>113</v>
      </c>
      <c r="D8" s="23">
        <f>'Gas North-Dec14'!E10</f>
        <v>-259639.40520000001</v>
      </c>
      <c r="E8" s="109">
        <f>D8</f>
        <v>-259639.40520000001</v>
      </c>
      <c r="F8" s="109"/>
      <c r="G8" s="109"/>
      <c r="H8" s="110"/>
      <c r="L8" s="26"/>
    </row>
    <row r="9" spans="1:12">
      <c r="A9" t="s">
        <v>45</v>
      </c>
      <c r="C9" s="28" t="s">
        <v>156</v>
      </c>
      <c r="D9" s="23">
        <f>'Gas North-Dec14'!E11</f>
        <v>-3369502.4748</v>
      </c>
      <c r="E9" s="23">
        <v>0</v>
      </c>
      <c r="F9" s="23">
        <f>D9</f>
        <v>-3369502.4748</v>
      </c>
      <c r="G9" s="23">
        <f>IF($C9="D",$D9,0)</f>
        <v>0</v>
      </c>
      <c r="H9" s="23">
        <f>IF($C9="O",$D9,0)</f>
        <v>0</v>
      </c>
      <c r="K9" s="104" t="s">
        <v>107</v>
      </c>
      <c r="L9" s="104" t="s">
        <v>11</v>
      </c>
    </row>
    <row r="10" spans="1:12">
      <c r="A10" t="s">
        <v>13</v>
      </c>
      <c r="C10" s="28" t="s">
        <v>39</v>
      </c>
      <c r="D10" s="23">
        <f>'Gas North-Dec14'!E12</f>
        <v>-45857755.169540003</v>
      </c>
      <c r="E10" s="23">
        <f t="shared" ref="E10:F13" si="0">IF($C10="P",$D10,0)</f>
        <v>0</v>
      </c>
      <c r="F10" s="23">
        <f t="shared" si="0"/>
        <v>0</v>
      </c>
      <c r="G10" s="23">
        <f>IF($C10="D",$D10,0)</f>
        <v>-45857755.169540003</v>
      </c>
      <c r="H10" s="23">
        <f>IF($C10="O",$D10,0)</f>
        <v>0</v>
      </c>
      <c r="K10" t="s">
        <v>45</v>
      </c>
      <c r="L10" s="114">
        <f>'G-PLT'!I10</f>
        <v>25234666</v>
      </c>
    </row>
    <row r="11" spans="1:12">
      <c r="A11" t="s">
        <v>76</v>
      </c>
      <c r="C11" s="28" t="s">
        <v>118</v>
      </c>
      <c r="D11" s="23">
        <f>'Gas North-Dec14'!E13</f>
        <v>-2191769.03804</v>
      </c>
      <c r="E11" s="23">
        <f t="shared" si="0"/>
        <v>0</v>
      </c>
      <c r="F11" s="23">
        <f t="shared" si="0"/>
        <v>0</v>
      </c>
      <c r="G11" s="23">
        <f>IF($C11="D",$D11,0)</f>
        <v>0</v>
      </c>
      <c r="H11" s="23">
        <f>IF($C11="O",$D11,0)</f>
        <v>-2191769.03804</v>
      </c>
      <c r="L11" s="114"/>
    </row>
    <row r="12" spans="1:12">
      <c r="A12" t="s">
        <v>120</v>
      </c>
      <c r="C12" s="28" t="s">
        <v>118</v>
      </c>
      <c r="D12" s="23">
        <f>'Gas North-Dec14'!E15</f>
        <v>-8941956.120285701</v>
      </c>
      <c r="E12" s="23">
        <f>D12*N23</f>
        <v>-1540796.5640244226</v>
      </c>
      <c r="F12" s="23">
        <f t="shared" si="0"/>
        <v>0</v>
      </c>
      <c r="G12" s="23">
        <f>IF($C12="D",$D12,0)</f>
        <v>0</v>
      </c>
      <c r="H12" s="23">
        <f>D12*N22</f>
        <v>-7401159.5562612778</v>
      </c>
      <c r="I12" s="23">
        <f>D12-E12-F12-G12-H12</f>
        <v>0</v>
      </c>
      <c r="L12" s="158"/>
    </row>
    <row r="13" spans="1:12">
      <c r="A13" t="s">
        <v>121</v>
      </c>
      <c r="C13" s="28" t="s">
        <v>118</v>
      </c>
      <c r="D13" s="32">
        <f>'Gas North-Dec14'!E16</f>
        <v>-82427.260283676733</v>
      </c>
      <c r="E13" s="32">
        <f>D13*N23</f>
        <v>-14203.115931078626</v>
      </c>
      <c r="F13" s="32">
        <f t="shared" si="0"/>
        <v>0</v>
      </c>
      <c r="G13" s="32">
        <f>IF($C13="D",$D13,0)</f>
        <v>0</v>
      </c>
      <c r="H13" s="32">
        <f>D13*N22</f>
        <v>-68224.144352598101</v>
      </c>
      <c r="I13" s="23">
        <f>D13-E13-F13-G13-H13</f>
        <v>0</v>
      </c>
      <c r="L13" s="114">
        <f>SUM(L10:L12)</f>
        <v>25234666</v>
      </c>
    </row>
    <row r="14" spans="1:12">
      <c r="A14" t="s">
        <v>69</v>
      </c>
      <c r="C14" s="28"/>
      <c r="D14" s="23">
        <f>SUM(D8:D13)</f>
        <v>-60703049.468149379</v>
      </c>
      <c r="E14" s="23">
        <f>SUM(E8:E13)</f>
        <v>-1814639.085155501</v>
      </c>
      <c r="F14" s="23">
        <f>SUM(F8:F13)</f>
        <v>-3369502.4748</v>
      </c>
      <c r="G14" s="23">
        <f>SUM(G8:G13)</f>
        <v>-45857755.169540003</v>
      </c>
      <c r="H14" s="23">
        <f>SUM(H8:H13)</f>
        <v>-9661152.7386538759</v>
      </c>
      <c r="L14" s="114"/>
    </row>
    <row r="15" spans="1:12">
      <c r="C15" s="28"/>
      <c r="D15" s="23"/>
      <c r="E15" s="23"/>
      <c r="F15" s="23"/>
      <c r="G15" s="23"/>
      <c r="H15" s="23"/>
      <c r="L15" s="114"/>
    </row>
    <row r="16" spans="1:12">
      <c r="A16" t="s">
        <v>124</v>
      </c>
      <c r="B16" s="73" t="s">
        <v>125</v>
      </c>
      <c r="C16" s="28"/>
      <c r="D16" s="23">
        <f>'Gas North-Dec14'!E20</f>
        <v>-687105.40020774771</v>
      </c>
      <c r="E16" s="23">
        <f>ROUND($D$16*E23,0)</f>
        <v>-3115</v>
      </c>
      <c r="F16" s="23">
        <f>ROUND($D$16*F23,0)</f>
        <v>-41058</v>
      </c>
      <c r="G16" s="23">
        <f>ROUND($D$16*G23,0)</f>
        <v>-549775</v>
      </c>
      <c r="H16" s="23">
        <f>ROUND($D$16*H23,0)</f>
        <v>-93157</v>
      </c>
      <c r="I16" s="23">
        <f>D16-E16-F16-G16-H16</f>
        <v>-0.40020774770528078</v>
      </c>
      <c r="L16" s="114"/>
    </row>
    <row r="17" spans="1:14">
      <c r="A17" t="s">
        <v>212</v>
      </c>
      <c r="C17" s="137" t="s">
        <v>113</v>
      </c>
      <c r="D17" s="23">
        <f>'Gas North-Dec14'!E19</f>
        <v>-76635.420808540177</v>
      </c>
      <c r="E17" s="23">
        <f>D17</f>
        <v>-76635.420808540177</v>
      </c>
      <c r="L17" s="26"/>
    </row>
    <row r="18" spans="1:14">
      <c r="A18" t="s">
        <v>28</v>
      </c>
      <c r="D18" s="111">
        <f>SUM(D16:D17)</f>
        <v>-763740.8210162879</v>
      </c>
      <c r="E18" s="111">
        <f>SUM(E16:E17)</f>
        <v>-79750.420808540177</v>
      </c>
      <c r="F18" s="111">
        <f>SUM(F16:F17)</f>
        <v>-41058</v>
      </c>
      <c r="G18" s="111">
        <f>SUM(G16:G17)</f>
        <v>-549775</v>
      </c>
      <c r="H18" s="111">
        <f>SUM(H16:H17)</f>
        <v>-93157</v>
      </c>
      <c r="K18" s="104" t="s">
        <v>107</v>
      </c>
      <c r="L18" s="104" t="s">
        <v>13</v>
      </c>
    </row>
    <row r="19" spans="1:14">
      <c r="D19" s="23"/>
      <c r="K19" s="112" t="s">
        <v>126</v>
      </c>
      <c r="L19" s="114">
        <f>'G-PLT'!I11</f>
        <v>337894105</v>
      </c>
    </row>
    <row r="20" spans="1:14" ht="13.8" thickBot="1">
      <c r="A20" t="s">
        <v>29</v>
      </c>
      <c r="D20" s="113">
        <f>SUM(D14,D18)</f>
        <v>-61466790.289165668</v>
      </c>
      <c r="E20" s="113">
        <f>SUM(E14,E18)</f>
        <v>-1894389.5059640412</v>
      </c>
      <c r="F20" s="113">
        <f>SUM(F14,F18)</f>
        <v>-3410560.4748</v>
      </c>
      <c r="G20" s="113">
        <f>SUM(G14,G18)</f>
        <v>-46407530.169540003</v>
      </c>
      <c r="H20" s="113">
        <f>SUM(H14,H18)</f>
        <v>-9754309.7386538759</v>
      </c>
      <c r="I20" s="121">
        <f>D20-E20-F20-G20-H20</f>
        <v>-0.4002077504992485</v>
      </c>
      <c r="L20" s="26"/>
    </row>
    <row r="21" spans="1:14" ht="13.8" thickTop="1">
      <c r="K21" s="104" t="s">
        <v>107</v>
      </c>
      <c r="L21" s="104">
        <v>32352360</v>
      </c>
    </row>
    <row r="22" spans="1:14">
      <c r="B22" t="s">
        <v>70</v>
      </c>
      <c r="C22" t="s">
        <v>129</v>
      </c>
      <c r="D22" s="109">
        <f>SUM(E22:H22)</f>
        <v>422298137</v>
      </c>
      <c r="E22" s="114">
        <f>L7</f>
        <v>1914775.6398000009</v>
      </c>
      <c r="F22" s="114">
        <f>L13</f>
        <v>25234666</v>
      </c>
      <c r="G22" s="114">
        <f>L19</f>
        <v>337894105</v>
      </c>
      <c r="H22" s="114">
        <f>L24</f>
        <v>57254590.360200003</v>
      </c>
      <c r="I22" s="23"/>
      <c r="K22" t="s">
        <v>127</v>
      </c>
      <c r="L22" s="114">
        <f>'G-PLT'!I12</f>
        <v>47389000</v>
      </c>
      <c r="N22" s="8">
        <f>L22/L24</f>
        <v>0.82768909360570719</v>
      </c>
    </row>
    <row r="23" spans="1:14">
      <c r="E23" s="122">
        <f>ROUND(E22/$D$22,7)</f>
        <v>4.5342000000000004E-3</v>
      </c>
      <c r="F23" s="122">
        <f>ROUND(F22/$D$22,7)</f>
        <v>5.9755599999999999E-2</v>
      </c>
      <c r="G23" s="122">
        <f>ROUND(G22/$D$22,7)</f>
        <v>0.80013160000000005</v>
      </c>
      <c r="H23" s="122">
        <f>ROUND(H22/$D$22,7)</f>
        <v>0.13557859999999999</v>
      </c>
      <c r="K23" t="s">
        <v>128</v>
      </c>
      <c r="L23" s="158">
        <f>-L5</f>
        <v>9865590.3601999991</v>
      </c>
      <c r="N23" s="8">
        <f>L23/L24</f>
        <v>0.17231090639429275</v>
      </c>
    </row>
    <row r="24" spans="1:14">
      <c r="C24" s="28"/>
      <c r="D24" s="23"/>
      <c r="E24" s="23"/>
      <c r="F24" s="52"/>
      <c r="G24" s="52"/>
      <c r="H24" s="52"/>
      <c r="L24" s="114">
        <f>SUM(L22:L23)</f>
        <v>57254590.360200003</v>
      </c>
      <c r="N24" s="8">
        <f>SUM(N22:N23)</f>
        <v>1</v>
      </c>
    </row>
    <row r="25" spans="1:14">
      <c r="C25" s="28"/>
      <c r="D25" s="23"/>
      <c r="E25" s="23"/>
      <c r="F25" s="23"/>
      <c r="G25" s="23"/>
      <c r="H25" s="23"/>
      <c r="L25" s="26"/>
    </row>
    <row r="26" spans="1:14">
      <c r="L26" s="26"/>
    </row>
    <row r="27" spans="1:14">
      <c r="L27" s="26"/>
    </row>
    <row r="28" spans="1:14">
      <c r="L28" s="26"/>
    </row>
    <row r="29" spans="1:14">
      <c r="K29" s="104" t="s">
        <v>107</v>
      </c>
      <c r="L29" s="104" t="s">
        <v>10</v>
      </c>
    </row>
    <row r="30" spans="1:14">
      <c r="A30" t="s">
        <v>66</v>
      </c>
      <c r="I30" s="107" t="s">
        <v>112</v>
      </c>
      <c r="K30" t="s">
        <v>10</v>
      </c>
      <c r="L30" s="114">
        <f>'G-PLT'!M8</f>
        <v>4645497</v>
      </c>
    </row>
    <row r="31" spans="1:14">
      <c r="A31" s="51" t="s">
        <v>157</v>
      </c>
      <c r="K31" t="s">
        <v>110</v>
      </c>
      <c r="L31" s="158">
        <f>-'G-PLT'!L25</f>
        <v>-3812205.6398</v>
      </c>
    </row>
    <row r="32" spans="1:14">
      <c r="A32" t="str">
        <f>A3</f>
        <v>EOP - Twelve Months Ended December 31, 2014</v>
      </c>
      <c r="K32" t="s">
        <v>110</v>
      </c>
      <c r="L32" s="114"/>
    </row>
    <row r="33" spans="1:14">
      <c r="L33" s="114">
        <f>SUM(L30:L32)</f>
        <v>833291.3602</v>
      </c>
    </row>
    <row r="34" spans="1:14">
      <c r="A34" t="s">
        <v>109</v>
      </c>
      <c r="L34" s="114"/>
    </row>
    <row r="35" spans="1:14">
      <c r="D35" s="29" t="s">
        <v>6</v>
      </c>
      <c r="E35" s="106" t="s">
        <v>10</v>
      </c>
      <c r="F35" s="106" t="s">
        <v>45</v>
      </c>
      <c r="G35" s="106" t="s">
        <v>13</v>
      </c>
      <c r="H35" s="106" t="s">
        <v>111</v>
      </c>
      <c r="L35" s="26"/>
    </row>
    <row r="36" spans="1:14">
      <c r="E36" s="108"/>
      <c r="F36" s="108"/>
      <c r="G36" s="108"/>
      <c r="K36" s="104" t="s">
        <v>107</v>
      </c>
      <c r="L36" s="104" t="s">
        <v>11</v>
      </c>
    </row>
    <row r="37" spans="1:14">
      <c r="A37" t="s">
        <v>154</v>
      </c>
      <c r="C37" s="28" t="s">
        <v>113</v>
      </c>
      <c r="D37" s="23">
        <f>'Gas North-Dec14'!F10</f>
        <v>-107300.59480000001</v>
      </c>
      <c r="E37" s="109">
        <f>D37</f>
        <v>-107300.59480000001</v>
      </c>
      <c r="F37" s="109"/>
      <c r="G37" s="109"/>
      <c r="H37" s="110"/>
      <c r="K37" t="s">
        <v>45</v>
      </c>
      <c r="L37" s="114">
        <f>'G-PLT'!M10</f>
        <v>10387394</v>
      </c>
    </row>
    <row r="38" spans="1:14">
      <c r="A38" t="s">
        <v>45</v>
      </c>
      <c r="C38" s="28" t="s">
        <v>114</v>
      </c>
      <c r="D38" s="23">
        <f>'Gas North-Dec14'!F11</f>
        <v>-1386994.5251999998</v>
      </c>
      <c r="E38" s="23">
        <v>0</v>
      </c>
      <c r="F38" s="23">
        <f t="shared" ref="E38:F42" si="1">IF($C38="P",$D38,0)</f>
        <v>-1386994.5251999998</v>
      </c>
      <c r="G38" s="23">
        <f>IF($C38="D",$D38,0)</f>
        <v>0</v>
      </c>
      <c r="H38" s="23">
        <f>IF($C38="O",$D38,0)</f>
        <v>0</v>
      </c>
      <c r="L38" s="114"/>
    </row>
    <row r="39" spans="1:14">
      <c r="A39" t="s">
        <v>13</v>
      </c>
      <c r="C39" s="28" t="s">
        <v>39</v>
      </c>
      <c r="D39" s="23">
        <f>'Gas North-Dec14'!F12</f>
        <v>-21981167.830459997</v>
      </c>
      <c r="E39" s="23">
        <f t="shared" si="1"/>
        <v>0</v>
      </c>
      <c r="F39" s="23">
        <f t="shared" si="1"/>
        <v>0</v>
      </c>
      <c r="G39" s="23">
        <f>IF($C39="D",$D39,0)</f>
        <v>-21981167.830459997</v>
      </c>
      <c r="H39" s="23">
        <f>IF($C39="O",$D39,0)</f>
        <v>0</v>
      </c>
      <c r="L39" s="158"/>
    </row>
    <row r="40" spans="1:14">
      <c r="A40" t="s">
        <v>76</v>
      </c>
      <c r="C40" s="28" t="s">
        <v>118</v>
      </c>
      <c r="D40" s="23">
        <f>'Gas North-Dec14'!F13</f>
        <v>-819274.96196000022</v>
      </c>
      <c r="E40" s="23">
        <f t="shared" si="1"/>
        <v>0</v>
      </c>
      <c r="F40" s="23">
        <f t="shared" si="1"/>
        <v>0</v>
      </c>
      <c r="G40" s="23">
        <f>IF($C40="D",$D40,0)</f>
        <v>0</v>
      </c>
      <c r="H40" s="23">
        <f>IF($C40="O",$D40,0)</f>
        <v>-819274.96196000022</v>
      </c>
      <c r="L40" s="114">
        <f>SUM(L37:L39)</f>
        <v>10387394</v>
      </c>
    </row>
    <row r="41" spans="1:14">
      <c r="A41" t="s">
        <v>120</v>
      </c>
      <c r="C41" s="28" t="s">
        <v>118</v>
      </c>
      <c r="D41" s="23">
        <f>'Gas North-Dec14'!F15</f>
        <v>-3695422.1553660994</v>
      </c>
      <c r="E41" s="23">
        <f>D41*N50</f>
        <v>-618268.05645387736</v>
      </c>
      <c r="F41" s="23">
        <f t="shared" si="1"/>
        <v>0</v>
      </c>
      <c r="G41" s="23">
        <f>IF($C41="D",$D41,0)</f>
        <v>0</v>
      </c>
      <c r="H41" s="23">
        <f>D41*N49</f>
        <v>-3077154.0989122223</v>
      </c>
      <c r="I41" s="23">
        <f>D41-E41-F41-G41-H41</f>
        <v>0</v>
      </c>
      <c r="L41" s="114"/>
      <c r="N41" s="104"/>
    </row>
    <row r="42" spans="1:14">
      <c r="A42" t="s">
        <v>121</v>
      </c>
      <c r="C42" s="28" t="s">
        <v>118</v>
      </c>
      <c r="D42" s="32">
        <f>'Gas North-Dec14'!F16</f>
        <v>-39510.16432012328</v>
      </c>
      <c r="E42" s="32">
        <f>D42*N50</f>
        <v>-6610.306340482477</v>
      </c>
      <c r="F42" s="32">
        <f t="shared" si="1"/>
        <v>0</v>
      </c>
      <c r="G42" s="32">
        <f>IF($C42="D",$D42,0)</f>
        <v>0</v>
      </c>
      <c r="H42" s="32">
        <f>D42*N49</f>
        <v>-32899.857979640801</v>
      </c>
      <c r="I42" s="23">
        <f>D42-E42-F42-G42-H42</f>
        <v>0</v>
      </c>
      <c r="K42" s="105"/>
      <c r="L42" s="26"/>
      <c r="N42" s="105"/>
    </row>
    <row r="43" spans="1:14">
      <c r="A43" t="s">
        <v>69</v>
      </c>
      <c r="C43" s="28"/>
      <c r="D43" s="23">
        <f>SUM(D37:D42)</f>
        <v>-28029670.23210622</v>
      </c>
      <c r="E43" s="23">
        <f>SUM(E37:E42)</f>
        <v>-732178.95759435976</v>
      </c>
      <c r="F43" s="23">
        <f>SUM(F37:F42)</f>
        <v>-1386994.5251999998</v>
      </c>
      <c r="G43" s="23">
        <f>SUM(G37:G42)</f>
        <v>-21981167.830459997</v>
      </c>
      <c r="H43" s="23">
        <f>SUM(H37:H42)</f>
        <v>-3929328.9188518631</v>
      </c>
      <c r="L43" s="114"/>
      <c r="N43" s="105"/>
    </row>
    <row r="44" spans="1:14">
      <c r="C44" s="28"/>
      <c r="D44" s="23"/>
      <c r="E44" s="23"/>
      <c r="F44" s="23"/>
      <c r="G44" s="23"/>
      <c r="H44" s="23"/>
      <c r="L44" s="26"/>
      <c r="N44" s="105"/>
    </row>
    <row r="45" spans="1:14">
      <c r="C45" s="28"/>
      <c r="D45" s="23"/>
      <c r="E45" s="23"/>
      <c r="F45" s="23"/>
      <c r="G45" s="23"/>
      <c r="H45" s="23"/>
      <c r="K45" s="104" t="s">
        <v>107</v>
      </c>
      <c r="L45" s="104" t="s">
        <v>13</v>
      </c>
      <c r="N45" s="105"/>
    </row>
    <row r="46" spans="1:14">
      <c r="A46" t="s">
        <v>124</v>
      </c>
      <c r="B46" s="73" t="s">
        <v>125</v>
      </c>
      <c r="C46" s="28"/>
      <c r="D46" s="23">
        <f>'Gas North-Dec14'!F20</f>
        <v>-329352.77933565254</v>
      </c>
      <c r="E46" s="23">
        <f>ROUND($D$46*E53,0)</f>
        <v>-1344</v>
      </c>
      <c r="F46" s="23">
        <f>ROUND($D$46*F53,0)</f>
        <v>-16756</v>
      </c>
      <c r="G46" s="23">
        <f>ROUND($D$46*G53,0)</f>
        <v>-274495</v>
      </c>
      <c r="H46" s="23">
        <f>ROUND($D$46*H53,0)</f>
        <v>-36757</v>
      </c>
      <c r="I46" s="23">
        <f>D46-E46-F46-G46-H46</f>
        <v>-0.77933565253624693</v>
      </c>
      <c r="K46" s="112" t="s">
        <v>126</v>
      </c>
      <c r="L46" s="114">
        <f>'G-PLT'!M11</f>
        <v>170160996</v>
      </c>
      <c r="N46" s="105"/>
    </row>
    <row r="47" spans="1:14">
      <c r="A47" t="s">
        <v>212</v>
      </c>
      <c r="B47" s="73"/>
      <c r="C47" s="137" t="s">
        <v>113</v>
      </c>
      <c r="D47" s="23">
        <f>'Gas North-Dec14'!F19</f>
        <v>-31670.948518659829</v>
      </c>
      <c r="E47" s="23">
        <f>D47</f>
        <v>-31670.948518659829</v>
      </c>
      <c r="F47" s="23"/>
      <c r="G47" s="23"/>
      <c r="H47" s="23"/>
      <c r="L47" s="26"/>
      <c r="N47" s="105"/>
    </row>
    <row r="48" spans="1:14">
      <c r="A48" t="s">
        <v>28</v>
      </c>
      <c r="D48" s="111">
        <f>SUM(D46:D47)</f>
        <v>-361023.72785431234</v>
      </c>
      <c r="E48" s="111">
        <f t="shared" ref="E48:H48" si="2">SUM(E46:E47)</f>
        <v>-33014.948518659832</v>
      </c>
      <c r="F48" s="111">
        <f t="shared" si="2"/>
        <v>-16756</v>
      </c>
      <c r="G48" s="111">
        <f t="shared" si="2"/>
        <v>-274495</v>
      </c>
      <c r="H48" s="111">
        <f t="shared" si="2"/>
        <v>-36757</v>
      </c>
      <c r="K48" s="104" t="s">
        <v>107</v>
      </c>
      <c r="L48" s="104">
        <v>32352360</v>
      </c>
    </row>
    <row r="49" spans="1:14">
      <c r="D49" s="23"/>
      <c r="I49" s="23">
        <f>D50-E50-F50-G50-H50</f>
        <v>-0.77933565201237798</v>
      </c>
      <c r="K49" t="s">
        <v>127</v>
      </c>
      <c r="L49" s="114">
        <f>'G-PLT'!M12</f>
        <v>18973557</v>
      </c>
      <c r="N49" s="8">
        <f>L49/L51</f>
        <v>0.83269352445806655</v>
      </c>
    </row>
    <row r="50" spans="1:14" ht="13.8" thickBot="1">
      <c r="A50" t="s">
        <v>29</v>
      </c>
      <c r="C50" s="173" t="s">
        <v>227</v>
      </c>
      <c r="D50" s="113">
        <f>SUM(D43,D48)</f>
        <v>-28390693.959960531</v>
      </c>
      <c r="E50" s="113">
        <f>SUM(E43,E48)</f>
        <v>-765193.90611301956</v>
      </c>
      <c r="F50" s="113">
        <f>SUM(F43,F48)</f>
        <v>-1403750.5251999998</v>
      </c>
      <c r="G50" s="113">
        <f>SUM(G43,G48)</f>
        <v>-22255662.830459997</v>
      </c>
      <c r="H50" s="113">
        <f>SUM(H43,H48)</f>
        <v>-3966085.9188518631</v>
      </c>
      <c r="K50" t="s">
        <v>128</v>
      </c>
      <c r="L50" s="158">
        <f>-L31</f>
        <v>3812205.6398</v>
      </c>
      <c r="N50" s="8">
        <f>L50/L51</f>
        <v>0.16730647554193345</v>
      </c>
    </row>
    <row r="51" spans="1:14" ht="13.8" thickTop="1">
      <c r="L51" s="114">
        <f>SUM(L49:L50)</f>
        <v>22785762.639800001</v>
      </c>
      <c r="N51" s="8">
        <f>SUM(N49:N50)</f>
        <v>1</v>
      </c>
    </row>
    <row r="52" spans="1:14">
      <c r="B52" t="s">
        <v>70</v>
      </c>
      <c r="C52" t="s">
        <v>129</v>
      </c>
      <c r="D52" s="109">
        <f>SUM(E52:H52)</f>
        <v>204167444</v>
      </c>
      <c r="E52" s="109">
        <f>L33</f>
        <v>833291.3602</v>
      </c>
      <c r="F52" s="114">
        <f>L40</f>
        <v>10387394</v>
      </c>
      <c r="G52" s="114">
        <f>L46</f>
        <v>170160996</v>
      </c>
      <c r="H52" s="114">
        <f>L51</f>
        <v>22785762.639800001</v>
      </c>
      <c r="N52" s="105"/>
    </row>
    <row r="53" spans="1:14">
      <c r="E53" s="119">
        <f>ROUND(E52/$D$52,7)</f>
        <v>4.0813999999999998E-3</v>
      </c>
      <c r="F53" s="119">
        <f>ROUND(F52/$D$52,7)</f>
        <v>5.08768E-2</v>
      </c>
      <c r="G53" s="119">
        <f>ROUND(G52/$D$52,7)</f>
        <v>0.83343840000000002</v>
      </c>
      <c r="H53" s="119">
        <f>ROUND(H52/$D$52,7)</f>
        <v>0.1116033</v>
      </c>
    </row>
    <row r="54" spans="1:14">
      <c r="C54" s="28"/>
      <c r="D54" s="23"/>
      <c r="E54" s="23"/>
      <c r="F54" s="52"/>
      <c r="G54" s="52"/>
      <c r="H54" s="52"/>
    </row>
    <row r="55" spans="1:14">
      <c r="C55" s="28"/>
      <c r="D55" s="23"/>
      <c r="E55" s="23"/>
      <c r="F55" s="23"/>
      <c r="G55" s="23"/>
      <c r="H55" s="23"/>
      <c r="N55" s="104"/>
    </row>
    <row r="56" spans="1:14">
      <c r="C56" s="28"/>
      <c r="D56" s="23"/>
      <c r="E56" s="23"/>
      <c r="F56" s="23"/>
      <c r="G56" s="23"/>
      <c r="H56" s="23"/>
      <c r="N56" s="105"/>
    </row>
    <row r="57" spans="1:14">
      <c r="C57" s="28"/>
      <c r="D57" s="23"/>
      <c r="E57" s="23"/>
      <c r="F57" s="23"/>
      <c r="G57" s="23"/>
      <c r="H57" s="23"/>
      <c r="N57" s="105"/>
    </row>
    <row r="58" spans="1:14">
      <c r="C58" s="28"/>
      <c r="D58" s="23"/>
      <c r="E58" s="23"/>
      <c r="F58" s="23"/>
      <c r="G58" s="23"/>
      <c r="H58" s="23"/>
      <c r="N58" s="105"/>
    </row>
    <row r="59" spans="1:14">
      <c r="C59" s="28"/>
      <c r="D59" s="23"/>
      <c r="E59" s="23"/>
      <c r="F59" s="23"/>
      <c r="G59" s="23"/>
      <c r="H59" s="23"/>
      <c r="N59" s="105"/>
    </row>
    <row r="60" spans="1:14">
      <c r="C60" s="28"/>
      <c r="D60" s="23"/>
      <c r="E60" s="23"/>
      <c r="F60" s="23"/>
      <c r="G60" s="23"/>
      <c r="H60" s="23"/>
      <c r="N60" s="105"/>
    </row>
    <row r="61" spans="1:14">
      <c r="C61" s="28"/>
      <c r="D61" s="23"/>
      <c r="E61" s="23"/>
      <c r="F61" s="23"/>
      <c r="G61" s="23"/>
      <c r="H61" s="23"/>
    </row>
    <row r="62" spans="1:14">
      <c r="C62" s="28"/>
      <c r="D62" s="23"/>
      <c r="E62" s="23"/>
      <c r="F62" s="23"/>
      <c r="G62" s="23"/>
      <c r="H62" s="23"/>
    </row>
    <row r="63" spans="1:14">
      <c r="C63" s="28"/>
      <c r="D63" s="23"/>
      <c r="E63" s="23"/>
      <c r="F63" s="23"/>
      <c r="G63" s="23"/>
      <c r="H63" s="23"/>
    </row>
    <row r="64" spans="1:14" hidden="1">
      <c r="D64" s="23"/>
      <c r="E64" s="23"/>
    </row>
    <row r="65" spans="1:8" hidden="1">
      <c r="A65" s="117"/>
      <c r="D65" s="120"/>
      <c r="E65" s="120"/>
      <c r="F65" s="120"/>
      <c r="G65" s="120"/>
      <c r="H65" s="120"/>
    </row>
    <row r="66" spans="1:8" hidden="1"/>
    <row r="67" spans="1:8" hidden="1"/>
    <row r="68" spans="1:8" hidden="1"/>
    <row r="69" spans="1:8" hidden="1"/>
    <row r="70" spans="1:8" hidden="1"/>
    <row r="71" spans="1:8" hidden="1"/>
    <row r="72" spans="1:8" hidden="1"/>
    <row r="73" spans="1:8" hidden="1"/>
    <row r="74" spans="1:8" hidden="1"/>
    <row r="75" spans="1:8" hidden="1"/>
  </sheetData>
  <pageMargins left="0.7" right="0.7" top="0.75" bottom="0.75" header="0.3" footer="0.3"/>
  <pageSetup scale="92" fitToHeight="2" orientation="landscape" r:id="rId1"/>
  <headerFooter>
    <oddFooter>&amp;L&amp;F</oddFooter>
  </headerFooter>
  <rowBreaks count="1" manualBreakCount="1">
    <brk id="2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workbookViewId="0">
      <pane xSplit="2" ySplit="3" topLeftCell="C4" activePane="bottomRight" state="frozen"/>
      <selection pane="topRight" activeCell="C1" sqref="C1"/>
      <selection pane="bottomLeft" activeCell="A4" sqref="A4"/>
      <selection pane="bottomRight" activeCell="C4" sqref="C4"/>
    </sheetView>
  </sheetViews>
  <sheetFormatPr defaultRowHeight="13.2"/>
  <cols>
    <col min="1" max="1" width="7" style="45" bestFit="1" customWidth="1"/>
    <col min="2" max="2" width="40.5546875" style="45" bestFit="1" customWidth="1"/>
    <col min="3" max="5" width="13.6640625" style="45" bestFit="1" customWidth="1"/>
    <col min="6" max="6" width="0.5546875" style="45" customWidth="1"/>
    <col min="7" max="7" width="12.33203125" style="45" bestFit="1" customWidth="1"/>
    <col min="8" max="9" width="13.6640625" style="45" bestFit="1" customWidth="1"/>
    <col min="10" max="10" width="0.6640625" style="45" customWidth="1"/>
    <col min="11" max="12" width="12.33203125" style="45" bestFit="1" customWidth="1"/>
    <col min="13" max="13" width="13.6640625" style="45" bestFit="1" customWidth="1"/>
    <col min="14" max="256" width="8.88671875" style="45"/>
    <col min="257" max="257" width="7" style="45" bestFit="1" customWidth="1"/>
    <col min="258" max="258" width="40.5546875" style="45" bestFit="1" customWidth="1"/>
    <col min="259" max="261" width="13.6640625" style="45" bestFit="1" customWidth="1"/>
    <col min="262" max="262" width="0.5546875" style="45" customWidth="1"/>
    <col min="263" max="263" width="12.33203125" style="45" bestFit="1" customWidth="1"/>
    <col min="264" max="265" width="13.6640625" style="45" bestFit="1" customWidth="1"/>
    <col min="266" max="266" width="0.6640625" style="45" customWidth="1"/>
    <col min="267" max="268" width="12.33203125" style="45" bestFit="1" customWidth="1"/>
    <col min="269" max="269" width="13.6640625" style="45" bestFit="1" customWidth="1"/>
    <col min="270" max="512" width="8.88671875" style="45"/>
    <col min="513" max="513" width="7" style="45" bestFit="1" customWidth="1"/>
    <col min="514" max="514" width="40.5546875" style="45" bestFit="1" customWidth="1"/>
    <col min="515" max="517" width="13.6640625" style="45" bestFit="1" customWidth="1"/>
    <col min="518" max="518" width="0.5546875" style="45" customWidth="1"/>
    <col min="519" max="519" width="12.33203125" style="45" bestFit="1" customWidth="1"/>
    <col min="520" max="521" width="13.6640625" style="45" bestFit="1" customWidth="1"/>
    <col min="522" max="522" width="0.6640625" style="45" customWidth="1"/>
    <col min="523" max="524" width="12.33203125" style="45" bestFit="1" customWidth="1"/>
    <col min="525" max="525" width="13.6640625" style="45" bestFit="1" customWidth="1"/>
    <col min="526" max="768" width="8.88671875" style="45"/>
    <col min="769" max="769" width="7" style="45" bestFit="1" customWidth="1"/>
    <col min="770" max="770" width="40.5546875" style="45" bestFit="1" customWidth="1"/>
    <col min="771" max="773" width="13.6640625" style="45" bestFit="1" customWidth="1"/>
    <col min="774" max="774" width="0.5546875" style="45" customWidth="1"/>
    <col min="775" max="775" width="12.33203125" style="45" bestFit="1" customWidth="1"/>
    <col min="776" max="777" width="13.6640625" style="45" bestFit="1" customWidth="1"/>
    <col min="778" max="778" width="0.6640625" style="45" customWidth="1"/>
    <col min="779" max="780" width="12.33203125" style="45" bestFit="1" customWidth="1"/>
    <col min="781" max="781" width="13.6640625" style="45" bestFit="1" customWidth="1"/>
    <col min="782" max="1024" width="8.88671875" style="45"/>
    <col min="1025" max="1025" width="7" style="45" bestFit="1" customWidth="1"/>
    <col min="1026" max="1026" width="40.5546875" style="45" bestFit="1" customWidth="1"/>
    <col min="1027" max="1029" width="13.6640625" style="45" bestFit="1" customWidth="1"/>
    <col min="1030" max="1030" width="0.5546875" style="45" customWidth="1"/>
    <col min="1031" max="1031" width="12.33203125" style="45" bestFit="1" customWidth="1"/>
    <col min="1032" max="1033" width="13.6640625" style="45" bestFit="1" customWidth="1"/>
    <col min="1034" max="1034" width="0.6640625" style="45" customWidth="1"/>
    <col min="1035" max="1036" width="12.33203125" style="45" bestFit="1" customWidth="1"/>
    <col min="1037" max="1037" width="13.6640625" style="45" bestFit="1" customWidth="1"/>
    <col min="1038" max="1280" width="8.88671875" style="45"/>
    <col min="1281" max="1281" width="7" style="45" bestFit="1" customWidth="1"/>
    <col min="1282" max="1282" width="40.5546875" style="45" bestFit="1" customWidth="1"/>
    <col min="1283" max="1285" width="13.6640625" style="45" bestFit="1" customWidth="1"/>
    <col min="1286" max="1286" width="0.5546875" style="45" customWidth="1"/>
    <col min="1287" max="1287" width="12.33203125" style="45" bestFit="1" customWidth="1"/>
    <col min="1288" max="1289" width="13.6640625" style="45" bestFit="1" customWidth="1"/>
    <col min="1290" max="1290" width="0.6640625" style="45" customWidth="1"/>
    <col min="1291" max="1292" width="12.33203125" style="45" bestFit="1" customWidth="1"/>
    <col min="1293" max="1293" width="13.6640625" style="45" bestFit="1" customWidth="1"/>
    <col min="1294" max="1536" width="8.88671875" style="45"/>
    <col min="1537" max="1537" width="7" style="45" bestFit="1" customWidth="1"/>
    <col min="1538" max="1538" width="40.5546875" style="45" bestFit="1" customWidth="1"/>
    <col min="1539" max="1541" width="13.6640625" style="45" bestFit="1" customWidth="1"/>
    <col min="1542" max="1542" width="0.5546875" style="45" customWidth="1"/>
    <col min="1543" max="1543" width="12.33203125" style="45" bestFit="1" customWidth="1"/>
    <col min="1544" max="1545" width="13.6640625" style="45" bestFit="1" customWidth="1"/>
    <col min="1546" max="1546" width="0.6640625" style="45" customWidth="1"/>
    <col min="1547" max="1548" width="12.33203125" style="45" bestFit="1" customWidth="1"/>
    <col min="1549" max="1549" width="13.6640625" style="45" bestFit="1" customWidth="1"/>
    <col min="1550" max="1792" width="8.88671875" style="45"/>
    <col min="1793" max="1793" width="7" style="45" bestFit="1" customWidth="1"/>
    <col min="1794" max="1794" width="40.5546875" style="45" bestFit="1" customWidth="1"/>
    <col min="1795" max="1797" width="13.6640625" style="45" bestFit="1" customWidth="1"/>
    <col min="1798" max="1798" width="0.5546875" style="45" customWidth="1"/>
    <col min="1799" max="1799" width="12.33203125" style="45" bestFit="1" customWidth="1"/>
    <col min="1800" max="1801" width="13.6640625" style="45" bestFit="1" customWidth="1"/>
    <col min="1802" max="1802" width="0.6640625" style="45" customWidth="1"/>
    <col min="1803" max="1804" width="12.33203125" style="45" bestFit="1" customWidth="1"/>
    <col min="1805" max="1805" width="13.6640625" style="45" bestFit="1" customWidth="1"/>
    <col min="1806" max="2048" width="8.88671875" style="45"/>
    <col min="2049" max="2049" width="7" style="45" bestFit="1" customWidth="1"/>
    <col min="2050" max="2050" width="40.5546875" style="45" bestFit="1" customWidth="1"/>
    <col min="2051" max="2053" width="13.6640625" style="45" bestFit="1" customWidth="1"/>
    <col min="2054" max="2054" width="0.5546875" style="45" customWidth="1"/>
    <col min="2055" max="2055" width="12.33203125" style="45" bestFit="1" customWidth="1"/>
    <col min="2056" max="2057" width="13.6640625" style="45" bestFit="1" customWidth="1"/>
    <col min="2058" max="2058" width="0.6640625" style="45" customWidth="1"/>
    <col min="2059" max="2060" width="12.33203125" style="45" bestFit="1" customWidth="1"/>
    <col min="2061" max="2061" width="13.6640625" style="45" bestFit="1" customWidth="1"/>
    <col min="2062" max="2304" width="8.88671875" style="45"/>
    <col min="2305" max="2305" width="7" style="45" bestFit="1" customWidth="1"/>
    <col min="2306" max="2306" width="40.5546875" style="45" bestFit="1" customWidth="1"/>
    <col min="2307" max="2309" width="13.6640625" style="45" bestFit="1" customWidth="1"/>
    <col min="2310" max="2310" width="0.5546875" style="45" customWidth="1"/>
    <col min="2311" max="2311" width="12.33203125" style="45" bestFit="1" customWidth="1"/>
    <col min="2312" max="2313" width="13.6640625" style="45" bestFit="1" customWidth="1"/>
    <col min="2314" max="2314" width="0.6640625" style="45" customWidth="1"/>
    <col min="2315" max="2316" width="12.33203125" style="45" bestFit="1" customWidth="1"/>
    <col min="2317" max="2317" width="13.6640625" style="45" bestFit="1" customWidth="1"/>
    <col min="2318" max="2560" width="8.88671875" style="45"/>
    <col min="2561" max="2561" width="7" style="45" bestFit="1" customWidth="1"/>
    <col min="2562" max="2562" width="40.5546875" style="45" bestFit="1" customWidth="1"/>
    <col min="2563" max="2565" width="13.6640625" style="45" bestFit="1" customWidth="1"/>
    <col min="2566" max="2566" width="0.5546875" style="45" customWidth="1"/>
    <col min="2567" max="2567" width="12.33203125" style="45" bestFit="1" customWidth="1"/>
    <col min="2568" max="2569" width="13.6640625" style="45" bestFit="1" customWidth="1"/>
    <col min="2570" max="2570" width="0.6640625" style="45" customWidth="1"/>
    <col min="2571" max="2572" width="12.33203125" style="45" bestFit="1" customWidth="1"/>
    <col min="2573" max="2573" width="13.6640625" style="45" bestFit="1" customWidth="1"/>
    <col min="2574" max="2816" width="8.88671875" style="45"/>
    <col min="2817" max="2817" width="7" style="45" bestFit="1" customWidth="1"/>
    <col min="2818" max="2818" width="40.5546875" style="45" bestFit="1" customWidth="1"/>
    <col min="2819" max="2821" width="13.6640625" style="45" bestFit="1" customWidth="1"/>
    <col min="2822" max="2822" width="0.5546875" style="45" customWidth="1"/>
    <col min="2823" max="2823" width="12.33203125" style="45" bestFit="1" customWidth="1"/>
    <col min="2824" max="2825" width="13.6640625" style="45" bestFit="1" customWidth="1"/>
    <col min="2826" max="2826" width="0.6640625" style="45" customWidth="1"/>
    <col min="2827" max="2828" width="12.33203125" style="45" bestFit="1" customWidth="1"/>
    <col min="2829" max="2829" width="13.6640625" style="45" bestFit="1" customWidth="1"/>
    <col min="2830" max="3072" width="8.88671875" style="45"/>
    <col min="3073" max="3073" width="7" style="45" bestFit="1" customWidth="1"/>
    <col min="3074" max="3074" width="40.5546875" style="45" bestFit="1" customWidth="1"/>
    <col min="3075" max="3077" width="13.6640625" style="45" bestFit="1" customWidth="1"/>
    <col min="3078" max="3078" width="0.5546875" style="45" customWidth="1"/>
    <col min="3079" max="3079" width="12.33203125" style="45" bestFit="1" customWidth="1"/>
    <col min="3080" max="3081" width="13.6640625" style="45" bestFit="1" customWidth="1"/>
    <col min="3082" max="3082" width="0.6640625" style="45" customWidth="1"/>
    <col min="3083" max="3084" width="12.33203125" style="45" bestFit="1" customWidth="1"/>
    <col min="3085" max="3085" width="13.6640625" style="45" bestFit="1" customWidth="1"/>
    <col min="3086" max="3328" width="8.88671875" style="45"/>
    <col min="3329" max="3329" width="7" style="45" bestFit="1" customWidth="1"/>
    <col min="3330" max="3330" width="40.5546875" style="45" bestFit="1" customWidth="1"/>
    <col min="3331" max="3333" width="13.6640625" style="45" bestFit="1" customWidth="1"/>
    <col min="3334" max="3334" width="0.5546875" style="45" customWidth="1"/>
    <col min="3335" max="3335" width="12.33203125" style="45" bestFit="1" customWidth="1"/>
    <col min="3336" max="3337" width="13.6640625" style="45" bestFit="1" customWidth="1"/>
    <col min="3338" max="3338" width="0.6640625" style="45" customWidth="1"/>
    <col min="3339" max="3340" width="12.33203125" style="45" bestFit="1" customWidth="1"/>
    <col min="3341" max="3341" width="13.6640625" style="45" bestFit="1" customWidth="1"/>
    <col min="3342" max="3584" width="8.88671875" style="45"/>
    <col min="3585" max="3585" width="7" style="45" bestFit="1" customWidth="1"/>
    <col min="3586" max="3586" width="40.5546875" style="45" bestFit="1" customWidth="1"/>
    <col min="3587" max="3589" width="13.6640625" style="45" bestFit="1" customWidth="1"/>
    <col min="3590" max="3590" width="0.5546875" style="45" customWidth="1"/>
    <col min="3591" max="3591" width="12.33203125" style="45" bestFit="1" customWidth="1"/>
    <col min="3592" max="3593" width="13.6640625" style="45" bestFit="1" customWidth="1"/>
    <col min="3594" max="3594" width="0.6640625" style="45" customWidth="1"/>
    <col min="3595" max="3596" width="12.33203125" style="45" bestFit="1" customWidth="1"/>
    <col min="3597" max="3597" width="13.6640625" style="45" bestFit="1" customWidth="1"/>
    <col min="3598" max="3840" width="8.88671875" style="45"/>
    <col min="3841" max="3841" width="7" style="45" bestFit="1" customWidth="1"/>
    <col min="3842" max="3842" width="40.5546875" style="45" bestFit="1" customWidth="1"/>
    <col min="3843" max="3845" width="13.6640625" style="45" bestFit="1" customWidth="1"/>
    <col min="3846" max="3846" width="0.5546875" style="45" customWidth="1"/>
    <col min="3847" max="3847" width="12.33203125" style="45" bestFit="1" customWidth="1"/>
    <col min="3848" max="3849" width="13.6640625" style="45" bestFit="1" customWidth="1"/>
    <col min="3850" max="3850" width="0.6640625" style="45" customWidth="1"/>
    <col min="3851" max="3852" width="12.33203125" style="45" bestFit="1" customWidth="1"/>
    <col min="3853" max="3853" width="13.6640625" style="45" bestFit="1" customWidth="1"/>
    <col min="3854" max="4096" width="8.88671875" style="45"/>
    <col min="4097" max="4097" width="7" style="45" bestFit="1" customWidth="1"/>
    <col min="4098" max="4098" width="40.5546875" style="45" bestFit="1" customWidth="1"/>
    <col min="4099" max="4101" width="13.6640625" style="45" bestFit="1" customWidth="1"/>
    <col min="4102" max="4102" width="0.5546875" style="45" customWidth="1"/>
    <col min="4103" max="4103" width="12.33203125" style="45" bestFit="1" customWidth="1"/>
    <col min="4104" max="4105" width="13.6640625" style="45" bestFit="1" customWidth="1"/>
    <col min="4106" max="4106" width="0.6640625" style="45" customWidth="1"/>
    <col min="4107" max="4108" width="12.33203125" style="45" bestFit="1" customWidth="1"/>
    <col min="4109" max="4109" width="13.6640625" style="45" bestFit="1" customWidth="1"/>
    <col min="4110" max="4352" width="8.88671875" style="45"/>
    <col min="4353" max="4353" width="7" style="45" bestFit="1" customWidth="1"/>
    <col min="4354" max="4354" width="40.5546875" style="45" bestFit="1" customWidth="1"/>
    <col min="4355" max="4357" width="13.6640625" style="45" bestFit="1" customWidth="1"/>
    <col min="4358" max="4358" width="0.5546875" style="45" customWidth="1"/>
    <col min="4359" max="4359" width="12.33203125" style="45" bestFit="1" customWidth="1"/>
    <col min="4360" max="4361" width="13.6640625" style="45" bestFit="1" customWidth="1"/>
    <col min="4362" max="4362" width="0.6640625" style="45" customWidth="1"/>
    <col min="4363" max="4364" width="12.33203125" style="45" bestFit="1" customWidth="1"/>
    <col min="4365" max="4365" width="13.6640625" style="45" bestFit="1" customWidth="1"/>
    <col min="4366" max="4608" width="8.88671875" style="45"/>
    <col min="4609" max="4609" width="7" style="45" bestFit="1" customWidth="1"/>
    <col min="4610" max="4610" width="40.5546875" style="45" bestFit="1" customWidth="1"/>
    <col min="4611" max="4613" width="13.6640625" style="45" bestFit="1" customWidth="1"/>
    <col min="4614" max="4614" width="0.5546875" style="45" customWidth="1"/>
    <col min="4615" max="4615" width="12.33203125" style="45" bestFit="1" customWidth="1"/>
    <col min="4616" max="4617" width="13.6640625" style="45" bestFit="1" customWidth="1"/>
    <col min="4618" max="4618" width="0.6640625" style="45" customWidth="1"/>
    <col min="4619" max="4620" width="12.33203125" style="45" bestFit="1" customWidth="1"/>
    <col min="4621" max="4621" width="13.6640625" style="45" bestFit="1" customWidth="1"/>
    <col min="4622" max="4864" width="8.88671875" style="45"/>
    <col min="4865" max="4865" width="7" style="45" bestFit="1" customWidth="1"/>
    <col min="4866" max="4866" width="40.5546875" style="45" bestFit="1" customWidth="1"/>
    <col min="4867" max="4869" width="13.6640625" style="45" bestFit="1" customWidth="1"/>
    <col min="4870" max="4870" width="0.5546875" style="45" customWidth="1"/>
    <col min="4871" max="4871" width="12.33203125" style="45" bestFit="1" customWidth="1"/>
    <col min="4872" max="4873" width="13.6640625" style="45" bestFit="1" customWidth="1"/>
    <col min="4874" max="4874" width="0.6640625" style="45" customWidth="1"/>
    <col min="4875" max="4876" width="12.33203125" style="45" bestFit="1" customWidth="1"/>
    <col min="4877" max="4877" width="13.6640625" style="45" bestFit="1" customWidth="1"/>
    <col min="4878" max="5120" width="8.88671875" style="45"/>
    <col min="5121" max="5121" width="7" style="45" bestFit="1" customWidth="1"/>
    <col min="5122" max="5122" width="40.5546875" style="45" bestFit="1" customWidth="1"/>
    <col min="5123" max="5125" width="13.6640625" style="45" bestFit="1" customWidth="1"/>
    <col min="5126" max="5126" width="0.5546875" style="45" customWidth="1"/>
    <col min="5127" max="5127" width="12.33203125" style="45" bestFit="1" customWidth="1"/>
    <col min="5128" max="5129" width="13.6640625" style="45" bestFit="1" customWidth="1"/>
    <col min="5130" max="5130" width="0.6640625" style="45" customWidth="1"/>
    <col min="5131" max="5132" width="12.33203125" style="45" bestFit="1" customWidth="1"/>
    <col min="5133" max="5133" width="13.6640625" style="45" bestFit="1" customWidth="1"/>
    <col min="5134" max="5376" width="8.88671875" style="45"/>
    <col min="5377" max="5377" width="7" style="45" bestFit="1" customWidth="1"/>
    <col min="5378" max="5378" width="40.5546875" style="45" bestFit="1" customWidth="1"/>
    <col min="5379" max="5381" width="13.6640625" style="45" bestFit="1" customWidth="1"/>
    <col min="5382" max="5382" width="0.5546875" style="45" customWidth="1"/>
    <col min="5383" max="5383" width="12.33203125" style="45" bestFit="1" customWidth="1"/>
    <col min="5384" max="5385" width="13.6640625" style="45" bestFit="1" customWidth="1"/>
    <col min="5386" max="5386" width="0.6640625" style="45" customWidth="1"/>
    <col min="5387" max="5388" width="12.33203125" style="45" bestFit="1" customWidth="1"/>
    <col min="5389" max="5389" width="13.6640625" style="45" bestFit="1" customWidth="1"/>
    <col min="5390" max="5632" width="8.88671875" style="45"/>
    <col min="5633" max="5633" width="7" style="45" bestFit="1" customWidth="1"/>
    <col min="5634" max="5634" width="40.5546875" style="45" bestFit="1" customWidth="1"/>
    <col min="5635" max="5637" width="13.6640625" style="45" bestFit="1" customWidth="1"/>
    <col min="5638" max="5638" width="0.5546875" style="45" customWidth="1"/>
    <col min="5639" max="5639" width="12.33203125" style="45" bestFit="1" customWidth="1"/>
    <col min="5640" max="5641" width="13.6640625" style="45" bestFit="1" customWidth="1"/>
    <col min="5642" max="5642" width="0.6640625" style="45" customWidth="1"/>
    <col min="5643" max="5644" width="12.33203125" style="45" bestFit="1" customWidth="1"/>
    <col min="5645" max="5645" width="13.6640625" style="45" bestFit="1" customWidth="1"/>
    <col min="5646" max="5888" width="8.88671875" style="45"/>
    <col min="5889" max="5889" width="7" style="45" bestFit="1" customWidth="1"/>
    <col min="5890" max="5890" width="40.5546875" style="45" bestFit="1" customWidth="1"/>
    <col min="5891" max="5893" width="13.6640625" style="45" bestFit="1" customWidth="1"/>
    <col min="5894" max="5894" width="0.5546875" style="45" customWidth="1"/>
    <col min="5895" max="5895" width="12.33203125" style="45" bestFit="1" customWidth="1"/>
    <col min="5896" max="5897" width="13.6640625" style="45" bestFit="1" customWidth="1"/>
    <col min="5898" max="5898" width="0.6640625" style="45" customWidth="1"/>
    <col min="5899" max="5900" width="12.33203125" style="45" bestFit="1" customWidth="1"/>
    <col min="5901" max="5901" width="13.6640625" style="45" bestFit="1" customWidth="1"/>
    <col min="5902" max="6144" width="8.88671875" style="45"/>
    <col min="6145" max="6145" width="7" style="45" bestFit="1" customWidth="1"/>
    <col min="6146" max="6146" width="40.5546875" style="45" bestFit="1" customWidth="1"/>
    <col min="6147" max="6149" width="13.6640625" style="45" bestFit="1" customWidth="1"/>
    <col min="6150" max="6150" width="0.5546875" style="45" customWidth="1"/>
    <col min="6151" max="6151" width="12.33203125" style="45" bestFit="1" customWidth="1"/>
    <col min="6152" max="6153" width="13.6640625" style="45" bestFit="1" customWidth="1"/>
    <col min="6154" max="6154" width="0.6640625" style="45" customWidth="1"/>
    <col min="6155" max="6156" width="12.33203125" style="45" bestFit="1" customWidth="1"/>
    <col min="6157" max="6157" width="13.6640625" style="45" bestFit="1" customWidth="1"/>
    <col min="6158" max="6400" width="8.88671875" style="45"/>
    <col min="6401" max="6401" width="7" style="45" bestFit="1" customWidth="1"/>
    <col min="6402" max="6402" width="40.5546875" style="45" bestFit="1" customWidth="1"/>
    <col min="6403" max="6405" width="13.6640625" style="45" bestFit="1" customWidth="1"/>
    <col min="6406" max="6406" width="0.5546875" style="45" customWidth="1"/>
    <col min="6407" max="6407" width="12.33203125" style="45" bestFit="1" customWidth="1"/>
    <col min="6408" max="6409" width="13.6640625" style="45" bestFit="1" customWidth="1"/>
    <col min="6410" max="6410" width="0.6640625" style="45" customWidth="1"/>
    <col min="6411" max="6412" width="12.33203125" style="45" bestFit="1" customWidth="1"/>
    <col min="6413" max="6413" width="13.6640625" style="45" bestFit="1" customWidth="1"/>
    <col min="6414" max="6656" width="8.88671875" style="45"/>
    <col min="6657" max="6657" width="7" style="45" bestFit="1" customWidth="1"/>
    <col min="6658" max="6658" width="40.5546875" style="45" bestFit="1" customWidth="1"/>
    <col min="6659" max="6661" width="13.6640625" style="45" bestFit="1" customWidth="1"/>
    <col min="6662" max="6662" width="0.5546875" style="45" customWidth="1"/>
    <col min="6663" max="6663" width="12.33203125" style="45" bestFit="1" customWidth="1"/>
    <col min="6664" max="6665" width="13.6640625" style="45" bestFit="1" customWidth="1"/>
    <col min="6666" max="6666" width="0.6640625" style="45" customWidth="1"/>
    <col min="6667" max="6668" width="12.33203125" style="45" bestFit="1" customWidth="1"/>
    <col min="6669" max="6669" width="13.6640625" style="45" bestFit="1" customWidth="1"/>
    <col min="6670" max="6912" width="8.88671875" style="45"/>
    <col min="6913" max="6913" width="7" style="45" bestFit="1" customWidth="1"/>
    <col min="6914" max="6914" width="40.5546875" style="45" bestFit="1" customWidth="1"/>
    <col min="6915" max="6917" width="13.6640625" style="45" bestFit="1" customWidth="1"/>
    <col min="6918" max="6918" width="0.5546875" style="45" customWidth="1"/>
    <col min="6919" max="6919" width="12.33203125" style="45" bestFit="1" customWidth="1"/>
    <col min="6920" max="6921" width="13.6640625" style="45" bestFit="1" customWidth="1"/>
    <col min="6922" max="6922" width="0.6640625" style="45" customWidth="1"/>
    <col min="6923" max="6924" width="12.33203125" style="45" bestFit="1" customWidth="1"/>
    <col min="6925" max="6925" width="13.6640625" style="45" bestFit="1" customWidth="1"/>
    <col min="6926" max="7168" width="8.88671875" style="45"/>
    <col min="7169" max="7169" width="7" style="45" bestFit="1" customWidth="1"/>
    <col min="7170" max="7170" width="40.5546875" style="45" bestFit="1" customWidth="1"/>
    <col min="7171" max="7173" width="13.6640625" style="45" bestFit="1" customWidth="1"/>
    <col min="7174" max="7174" width="0.5546875" style="45" customWidth="1"/>
    <col min="7175" max="7175" width="12.33203125" style="45" bestFit="1" customWidth="1"/>
    <col min="7176" max="7177" width="13.6640625" style="45" bestFit="1" customWidth="1"/>
    <col min="7178" max="7178" width="0.6640625" style="45" customWidth="1"/>
    <col min="7179" max="7180" width="12.33203125" style="45" bestFit="1" customWidth="1"/>
    <col min="7181" max="7181" width="13.6640625" style="45" bestFit="1" customWidth="1"/>
    <col min="7182" max="7424" width="8.88671875" style="45"/>
    <col min="7425" max="7425" width="7" style="45" bestFit="1" customWidth="1"/>
    <col min="7426" max="7426" width="40.5546875" style="45" bestFit="1" customWidth="1"/>
    <col min="7427" max="7429" width="13.6640625" style="45" bestFit="1" customWidth="1"/>
    <col min="7430" max="7430" width="0.5546875" style="45" customWidth="1"/>
    <col min="7431" max="7431" width="12.33203125" style="45" bestFit="1" customWidth="1"/>
    <col min="7432" max="7433" width="13.6640625" style="45" bestFit="1" customWidth="1"/>
    <col min="7434" max="7434" width="0.6640625" style="45" customWidth="1"/>
    <col min="7435" max="7436" width="12.33203125" style="45" bestFit="1" customWidth="1"/>
    <col min="7437" max="7437" width="13.6640625" style="45" bestFit="1" customWidth="1"/>
    <col min="7438" max="7680" width="8.88671875" style="45"/>
    <col min="7681" max="7681" width="7" style="45" bestFit="1" customWidth="1"/>
    <col min="7682" max="7682" width="40.5546875" style="45" bestFit="1" customWidth="1"/>
    <col min="7683" max="7685" width="13.6640625" style="45" bestFit="1" customWidth="1"/>
    <col min="7686" max="7686" width="0.5546875" style="45" customWidth="1"/>
    <col min="7687" max="7687" width="12.33203125" style="45" bestFit="1" customWidth="1"/>
    <col min="7688" max="7689" width="13.6640625" style="45" bestFit="1" customWidth="1"/>
    <col min="7690" max="7690" width="0.6640625" style="45" customWidth="1"/>
    <col min="7691" max="7692" width="12.33203125" style="45" bestFit="1" customWidth="1"/>
    <col min="7693" max="7693" width="13.6640625" style="45" bestFit="1" customWidth="1"/>
    <col min="7694" max="7936" width="8.88671875" style="45"/>
    <col min="7937" max="7937" width="7" style="45" bestFit="1" customWidth="1"/>
    <col min="7938" max="7938" width="40.5546875" style="45" bestFit="1" customWidth="1"/>
    <col min="7939" max="7941" width="13.6640625" style="45" bestFit="1" customWidth="1"/>
    <col min="7942" max="7942" width="0.5546875" style="45" customWidth="1"/>
    <col min="7943" max="7943" width="12.33203125" style="45" bestFit="1" customWidth="1"/>
    <col min="7944" max="7945" width="13.6640625" style="45" bestFit="1" customWidth="1"/>
    <col min="7946" max="7946" width="0.6640625" style="45" customWidth="1"/>
    <col min="7947" max="7948" width="12.33203125" style="45" bestFit="1" customWidth="1"/>
    <col min="7949" max="7949" width="13.6640625" style="45" bestFit="1" customWidth="1"/>
    <col min="7950" max="8192" width="8.88671875" style="45"/>
    <col min="8193" max="8193" width="7" style="45" bestFit="1" customWidth="1"/>
    <col min="8194" max="8194" width="40.5546875" style="45" bestFit="1" customWidth="1"/>
    <col min="8195" max="8197" width="13.6640625" style="45" bestFit="1" customWidth="1"/>
    <col min="8198" max="8198" width="0.5546875" style="45" customWidth="1"/>
    <col min="8199" max="8199" width="12.33203125" style="45" bestFit="1" customWidth="1"/>
    <col min="8200" max="8201" width="13.6640625" style="45" bestFit="1" customWidth="1"/>
    <col min="8202" max="8202" width="0.6640625" style="45" customWidth="1"/>
    <col min="8203" max="8204" width="12.33203125" style="45" bestFit="1" customWidth="1"/>
    <col min="8205" max="8205" width="13.6640625" style="45" bestFit="1" customWidth="1"/>
    <col min="8206" max="8448" width="8.88671875" style="45"/>
    <col min="8449" max="8449" width="7" style="45" bestFit="1" customWidth="1"/>
    <col min="8450" max="8450" width="40.5546875" style="45" bestFit="1" customWidth="1"/>
    <col min="8451" max="8453" width="13.6640625" style="45" bestFit="1" customWidth="1"/>
    <col min="8454" max="8454" width="0.5546875" style="45" customWidth="1"/>
    <col min="8455" max="8455" width="12.33203125" style="45" bestFit="1" customWidth="1"/>
    <col min="8456" max="8457" width="13.6640625" style="45" bestFit="1" customWidth="1"/>
    <col min="8458" max="8458" width="0.6640625" style="45" customWidth="1"/>
    <col min="8459" max="8460" width="12.33203125" style="45" bestFit="1" customWidth="1"/>
    <col min="8461" max="8461" width="13.6640625" style="45" bestFit="1" customWidth="1"/>
    <col min="8462" max="8704" width="8.88671875" style="45"/>
    <col min="8705" max="8705" width="7" style="45" bestFit="1" customWidth="1"/>
    <col min="8706" max="8706" width="40.5546875" style="45" bestFit="1" customWidth="1"/>
    <col min="8707" max="8709" width="13.6640625" style="45" bestFit="1" customWidth="1"/>
    <col min="8710" max="8710" width="0.5546875" style="45" customWidth="1"/>
    <col min="8711" max="8711" width="12.33203125" style="45" bestFit="1" customWidth="1"/>
    <col min="8712" max="8713" width="13.6640625" style="45" bestFit="1" customWidth="1"/>
    <col min="8714" max="8714" width="0.6640625" style="45" customWidth="1"/>
    <col min="8715" max="8716" width="12.33203125" style="45" bestFit="1" customWidth="1"/>
    <col min="8717" max="8717" width="13.6640625" style="45" bestFit="1" customWidth="1"/>
    <col min="8718" max="8960" width="8.88671875" style="45"/>
    <col min="8961" max="8961" width="7" style="45" bestFit="1" customWidth="1"/>
    <col min="8962" max="8962" width="40.5546875" style="45" bestFit="1" customWidth="1"/>
    <col min="8963" max="8965" width="13.6640625" style="45" bestFit="1" customWidth="1"/>
    <col min="8966" max="8966" width="0.5546875" style="45" customWidth="1"/>
    <col min="8967" max="8967" width="12.33203125" style="45" bestFit="1" customWidth="1"/>
    <col min="8968" max="8969" width="13.6640625" style="45" bestFit="1" customWidth="1"/>
    <col min="8970" max="8970" width="0.6640625" style="45" customWidth="1"/>
    <col min="8971" max="8972" width="12.33203125" style="45" bestFit="1" customWidth="1"/>
    <col min="8973" max="8973" width="13.6640625" style="45" bestFit="1" customWidth="1"/>
    <col min="8974" max="9216" width="8.88671875" style="45"/>
    <col min="9217" max="9217" width="7" style="45" bestFit="1" customWidth="1"/>
    <col min="9218" max="9218" width="40.5546875" style="45" bestFit="1" customWidth="1"/>
    <col min="9219" max="9221" width="13.6640625" style="45" bestFit="1" customWidth="1"/>
    <col min="9222" max="9222" width="0.5546875" style="45" customWidth="1"/>
    <col min="9223" max="9223" width="12.33203125" style="45" bestFit="1" customWidth="1"/>
    <col min="9224" max="9225" width="13.6640625" style="45" bestFit="1" customWidth="1"/>
    <col min="9226" max="9226" width="0.6640625" style="45" customWidth="1"/>
    <col min="9227" max="9228" width="12.33203125" style="45" bestFit="1" customWidth="1"/>
    <col min="9229" max="9229" width="13.6640625" style="45" bestFit="1" customWidth="1"/>
    <col min="9230" max="9472" width="8.88671875" style="45"/>
    <col min="9473" max="9473" width="7" style="45" bestFit="1" customWidth="1"/>
    <col min="9474" max="9474" width="40.5546875" style="45" bestFit="1" customWidth="1"/>
    <col min="9475" max="9477" width="13.6640625" style="45" bestFit="1" customWidth="1"/>
    <col min="9478" max="9478" width="0.5546875" style="45" customWidth="1"/>
    <col min="9479" max="9479" width="12.33203125" style="45" bestFit="1" customWidth="1"/>
    <col min="9480" max="9481" width="13.6640625" style="45" bestFit="1" customWidth="1"/>
    <col min="9482" max="9482" width="0.6640625" style="45" customWidth="1"/>
    <col min="9483" max="9484" width="12.33203125" style="45" bestFit="1" customWidth="1"/>
    <col min="9485" max="9485" width="13.6640625" style="45" bestFit="1" customWidth="1"/>
    <col min="9486" max="9728" width="8.88671875" style="45"/>
    <col min="9729" max="9729" width="7" style="45" bestFit="1" customWidth="1"/>
    <col min="9730" max="9730" width="40.5546875" style="45" bestFit="1" customWidth="1"/>
    <col min="9731" max="9733" width="13.6640625" style="45" bestFit="1" customWidth="1"/>
    <col min="9734" max="9734" width="0.5546875" style="45" customWidth="1"/>
    <col min="9735" max="9735" width="12.33203125" style="45" bestFit="1" customWidth="1"/>
    <col min="9736" max="9737" width="13.6640625" style="45" bestFit="1" customWidth="1"/>
    <col min="9738" max="9738" width="0.6640625" style="45" customWidth="1"/>
    <col min="9739" max="9740" width="12.33203125" style="45" bestFit="1" customWidth="1"/>
    <col min="9741" max="9741" width="13.6640625" style="45" bestFit="1" customWidth="1"/>
    <col min="9742" max="9984" width="8.88671875" style="45"/>
    <col min="9985" max="9985" width="7" style="45" bestFit="1" customWidth="1"/>
    <col min="9986" max="9986" width="40.5546875" style="45" bestFit="1" customWidth="1"/>
    <col min="9987" max="9989" width="13.6640625" style="45" bestFit="1" customWidth="1"/>
    <col min="9990" max="9990" width="0.5546875" style="45" customWidth="1"/>
    <col min="9991" max="9991" width="12.33203125" style="45" bestFit="1" customWidth="1"/>
    <col min="9992" max="9993" width="13.6640625" style="45" bestFit="1" customWidth="1"/>
    <col min="9994" max="9994" width="0.6640625" style="45" customWidth="1"/>
    <col min="9995" max="9996" width="12.33203125" style="45" bestFit="1" customWidth="1"/>
    <col min="9997" max="9997" width="13.6640625" style="45" bestFit="1" customWidth="1"/>
    <col min="9998" max="10240" width="8.88671875" style="45"/>
    <col min="10241" max="10241" width="7" style="45" bestFit="1" customWidth="1"/>
    <col min="10242" max="10242" width="40.5546875" style="45" bestFit="1" customWidth="1"/>
    <col min="10243" max="10245" width="13.6640625" style="45" bestFit="1" customWidth="1"/>
    <col min="10246" max="10246" width="0.5546875" style="45" customWidth="1"/>
    <col min="10247" max="10247" width="12.33203125" style="45" bestFit="1" customWidth="1"/>
    <col min="10248" max="10249" width="13.6640625" style="45" bestFit="1" customWidth="1"/>
    <col min="10250" max="10250" width="0.6640625" style="45" customWidth="1"/>
    <col min="10251" max="10252" width="12.33203125" style="45" bestFit="1" customWidth="1"/>
    <col min="10253" max="10253" width="13.6640625" style="45" bestFit="1" customWidth="1"/>
    <col min="10254" max="10496" width="8.88671875" style="45"/>
    <col min="10497" max="10497" width="7" style="45" bestFit="1" customWidth="1"/>
    <col min="10498" max="10498" width="40.5546875" style="45" bestFit="1" customWidth="1"/>
    <col min="10499" max="10501" width="13.6640625" style="45" bestFit="1" customWidth="1"/>
    <col min="10502" max="10502" width="0.5546875" style="45" customWidth="1"/>
    <col min="10503" max="10503" width="12.33203125" style="45" bestFit="1" customWidth="1"/>
    <col min="10504" max="10505" width="13.6640625" style="45" bestFit="1" customWidth="1"/>
    <col min="10506" max="10506" width="0.6640625" style="45" customWidth="1"/>
    <col min="10507" max="10508" width="12.33203125" style="45" bestFit="1" customWidth="1"/>
    <col min="10509" max="10509" width="13.6640625" style="45" bestFit="1" customWidth="1"/>
    <col min="10510" max="10752" width="8.88671875" style="45"/>
    <col min="10753" max="10753" width="7" style="45" bestFit="1" customWidth="1"/>
    <col min="10754" max="10754" width="40.5546875" style="45" bestFit="1" customWidth="1"/>
    <col min="10755" max="10757" width="13.6640625" style="45" bestFit="1" customWidth="1"/>
    <col min="10758" max="10758" width="0.5546875" style="45" customWidth="1"/>
    <col min="10759" max="10759" width="12.33203125" style="45" bestFit="1" customWidth="1"/>
    <col min="10760" max="10761" width="13.6640625" style="45" bestFit="1" customWidth="1"/>
    <col min="10762" max="10762" width="0.6640625" style="45" customWidth="1"/>
    <col min="10763" max="10764" width="12.33203125" style="45" bestFit="1" customWidth="1"/>
    <col min="10765" max="10765" width="13.6640625" style="45" bestFit="1" customWidth="1"/>
    <col min="10766" max="11008" width="8.88671875" style="45"/>
    <col min="11009" max="11009" width="7" style="45" bestFit="1" customWidth="1"/>
    <col min="11010" max="11010" width="40.5546875" style="45" bestFit="1" customWidth="1"/>
    <col min="11011" max="11013" width="13.6640625" style="45" bestFit="1" customWidth="1"/>
    <col min="11014" max="11014" width="0.5546875" style="45" customWidth="1"/>
    <col min="11015" max="11015" width="12.33203125" style="45" bestFit="1" customWidth="1"/>
    <col min="11016" max="11017" width="13.6640625" style="45" bestFit="1" customWidth="1"/>
    <col min="11018" max="11018" width="0.6640625" style="45" customWidth="1"/>
    <col min="11019" max="11020" width="12.33203125" style="45" bestFit="1" customWidth="1"/>
    <col min="11021" max="11021" width="13.6640625" style="45" bestFit="1" customWidth="1"/>
    <col min="11022" max="11264" width="8.88671875" style="45"/>
    <col min="11265" max="11265" width="7" style="45" bestFit="1" customWidth="1"/>
    <col min="11266" max="11266" width="40.5546875" style="45" bestFit="1" customWidth="1"/>
    <col min="11267" max="11269" width="13.6640625" style="45" bestFit="1" customWidth="1"/>
    <col min="11270" max="11270" width="0.5546875" style="45" customWidth="1"/>
    <col min="11271" max="11271" width="12.33203125" style="45" bestFit="1" customWidth="1"/>
    <col min="11272" max="11273" width="13.6640625" style="45" bestFit="1" customWidth="1"/>
    <col min="11274" max="11274" width="0.6640625" style="45" customWidth="1"/>
    <col min="11275" max="11276" width="12.33203125" style="45" bestFit="1" customWidth="1"/>
    <col min="11277" max="11277" width="13.6640625" style="45" bestFit="1" customWidth="1"/>
    <col min="11278" max="11520" width="8.88671875" style="45"/>
    <col min="11521" max="11521" width="7" style="45" bestFit="1" customWidth="1"/>
    <col min="11522" max="11522" width="40.5546875" style="45" bestFit="1" customWidth="1"/>
    <col min="11523" max="11525" width="13.6640625" style="45" bestFit="1" customWidth="1"/>
    <col min="11526" max="11526" width="0.5546875" style="45" customWidth="1"/>
    <col min="11527" max="11527" width="12.33203125" style="45" bestFit="1" customWidth="1"/>
    <col min="11528" max="11529" width="13.6640625" style="45" bestFit="1" customWidth="1"/>
    <col min="11530" max="11530" width="0.6640625" style="45" customWidth="1"/>
    <col min="11531" max="11532" width="12.33203125" style="45" bestFit="1" customWidth="1"/>
    <col min="11533" max="11533" width="13.6640625" style="45" bestFit="1" customWidth="1"/>
    <col min="11534" max="11776" width="8.88671875" style="45"/>
    <col min="11777" max="11777" width="7" style="45" bestFit="1" customWidth="1"/>
    <col min="11778" max="11778" width="40.5546875" style="45" bestFit="1" customWidth="1"/>
    <col min="11779" max="11781" width="13.6640625" style="45" bestFit="1" customWidth="1"/>
    <col min="11782" max="11782" width="0.5546875" style="45" customWidth="1"/>
    <col min="11783" max="11783" width="12.33203125" style="45" bestFit="1" customWidth="1"/>
    <col min="11784" max="11785" width="13.6640625" style="45" bestFit="1" customWidth="1"/>
    <col min="11786" max="11786" width="0.6640625" style="45" customWidth="1"/>
    <col min="11787" max="11788" width="12.33203125" style="45" bestFit="1" customWidth="1"/>
    <col min="11789" max="11789" width="13.6640625" style="45" bestFit="1" customWidth="1"/>
    <col min="11790" max="12032" width="8.88671875" style="45"/>
    <col min="12033" max="12033" width="7" style="45" bestFit="1" customWidth="1"/>
    <col min="12034" max="12034" width="40.5546875" style="45" bestFit="1" customWidth="1"/>
    <col min="12035" max="12037" width="13.6640625" style="45" bestFit="1" customWidth="1"/>
    <col min="12038" max="12038" width="0.5546875" style="45" customWidth="1"/>
    <col min="12039" max="12039" width="12.33203125" style="45" bestFit="1" customWidth="1"/>
    <col min="12040" max="12041" width="13.6640625" style="45" bestFit="1" customWidth="1"/>
    <col min="12042" max="12042" width="0.6640625" style="45" customWidth="1"/>
    <col min="12043" max="12044" width="12.33203125" style="45" bestFit="1" customWidth="1"/>
    <col min="12045" max="12045" width="13.6640625" style="45" bestFit="1" customWidth="1"/>
    <col min="12046" max="12288" width="8.88671875" style="45"/>
    <col min="12289" max="12289" width="7" style="45" bestFit="1" customWidth="1"/>
    <col min="12290" max="12290" width="40.5546875" style="45" bestFit="1" customWidth="1"/>
    <col min="12291" max="12293" width="13.6640625" style="45" bestFit="1" customWidth="1"/>
    <col min="12294" max="12294" width="0.5546875" style="45" customWidth="1"/>
    <col min="12295" max="12295" width="12.33203125" style="45" bestFit="1" customWidth="1"/>
    <col min="12296" max="12297" width="13.6640625" style="45" bestFit="1" customWidth="1"/>
    <col min="12298" max="12298" width="0.6640625" style="45" customWidth="1"/>
    <col min="12299" max="12300" width="12.33203125" style="45" bestFit="1" customWidth="1"/>
    <col min="12301" max="12301" width="13.6640625" style="45" bestFit="1" customWidth="1"/>
    <col min="12302" max="12544" width="8.88671875" style="45"/>
    <col min="12545" max="12545" width="7" style="45" bestFit="1" customWidth="1"/>
    <col min="12546" max="12546" width="40.5546875" style="45" bestFit="1" customWidth="1"/>
    <col min="12547" max="12549" width="13.6640625" style="45" bestFit="1" customWidth="1"/>
    <col min="12550" max="12550" width="0.5546875" style="45" customWidth="1"/>
    <col min="12551" max="12551" width="12.33203125" style="45" bestFit="1" customWidth="1"/>
    <col min="12552" max="12553" width="13.6640625" style="45" bestFit="1" customWidth="1"/>
    <col min="12554" max="12554" width="0.6640625" style="45" customWidth="1"/>
    <col min="12555" max="12556" width="12.33203125" style="45" bestFit="1" customWidth="1"/>
    <col min="12557" max="12557" width="13.6640625" style="45" bestFit="1" customWidth="1"/>
    <col min="12558" max="12800" width="8.88671875" style="45"/>
    <col min="12801" max="12801" width="7" style="45" bestFit="1" customWidth="1"/>
    <col min="12802" max="12802" width="40.5546875" style="45" bestFit="1" customWidth="1"/>
    <col min="12803" max="12805" width="13.6640625" style="45" bestFit="1" customWidth="1"/>
    <col min="12806" max="12806" width="0.5546875" style="45" customWidth="1"/>
    <col min="12807" max="12807" width="12.33203125" style="45" bestFit="1" customWidth="1"/>
    <col min="12808" max="12809" width="13.6640625" style="45" bestFit="1" customWidth="1"/>
    <col min="12810" max="12810" width="0.6640625" style="45" customWidth="1"/>
    <col min="12811" max="12812" width="12.33203125" style="45" bestFit="1" customWidth="1"/>
    <col min="12813" max="12813" width="13.6640625" style="45" bestFit="1" customWidth="1"/>
    <col min="12814" max="13056" width="8.88671875" style="45"/>
    <col min="13057" max="13057" width="7" style="45" bestFit="1" customWidth="1"/>
    <col min="13058" max="13058" width="40.5546875" style="45" bestFit="1" customWidth="1"/>
    <col min="13059" max="13061" width="13.6640625" style="45" bestFit="1" customWidth="1"/>
    <col min="13062" max="13062" width="0.5546875" style="45" customWidth="1"/>
    <col min="13063" max="13063" width="12.33203125" style="45" bestFit="1" customWidth="1"/>
    <col min="13064" max="13065" width="13.6640625" style="45" bestFit="1" customWidth="1"/>
    <col min="13066" max="13066" width="0.6640625" style="45" customWidth="1"/>
    <col min="13067" max="13068" width="12.33203125" style="45" bestFit="1" customWidth="1"/>
    <col min="13069" max="13069" width="13.6640625" style="45" bestFit="1" customWidth="1"/>
    <col min="13070" max="13312" width="8.88671875" style="45"/>
    <col min="13313" max="13313" width="7" style="45" bestFit="1" customWidth="1"/>
    <col min="13314" max="13314" width="40.5546875" style="45" bestFit="1" customWidth="1"/>
    <col min="13315" max="13317" width="13.6640625" style="45" bestFit="1" customWidth="1"/>
    <col min="13318" max="13318" width="0.5546875" style="45" customWidth="1"/>
    <col min="13319" max="13319" width="12.33203125" style="45" bestFit="1" customWidth="1"/>
    <col min="13320" max="13321" width="13.6640625" style="45" bestFit="1" customWidth="1"/>
    <col min="13322" max="13322" width="0.6640625" style="45" customWidth="1"/>
    <col min="13323" max="13324" width="12.33203125" style="45" bestFit="1" customWidth="1"/>
    <col min="13325" max="13325" width="13.6640625" style="45" bestFit="1" customWidth="1"/>
    <col min="13326" max="13568" width="8.88671875" style="45"/>
    <col min="13569" max="13569" width="7" style="45" bestFit="1" customWidth="1"/>
    <col min="13570" max="13570" width="40.5546875" style="45" bestFit="1" customWidth="1"/>
    <col min="13571" max="13573" width="13.6640625" style="45" bestFit="1" customWidth="1"/>
    <col min="13574" max="13574" width="0.5546875" style="45" customWidth="1"/>
    <col min="13575" max="13575" width="12.33203125" style="45" bestFit="1" customWidth="1"/>
    <col min="13576" max="13577" width="13.6640625" style="45" bestFit="1" customWidth="1"/>
    <col min="13578" max="13578" width="0.6640625" style="45" customWidth="1"/>
    <col min="13579" max="13580" width="12.33203125" style="45" bestFit="1" customWidth="1"/>
    <col min="13581" max="13581" width="13.6640625" style="45" bestFit="1" customWidth="1"/>
    <col min="13582" max="13824" width="8.88671875" style="45"/>
    <col min="13825" max="13825" width="7" style="45" bestFit="1" customWidth="1"/>
    <col min="13826" max="13826" width="40.5546875" style="45" bestFit="1" customWidth="1"/>
    <col min="13827" max="13829" width="13.6640625" style="45" bestFit="1" customWidth="1"/>
    <col min="13830" max="13830" width="0.5546875" style="45" customWidth="1"/>
    <col min="13831" max="13831" width="12.33203125" style="45" bestFit="1" customWidth="1"/>
    <col min="13832" max="13833" width="13.6640625" style="45" bestFit="1" customWidth="1"/>
    <col min="13834" max="13834" width="0.6640625" style="45" customWidth="1"/>
    <col min="13835" max="13836" width="12.33203125" style="45" bestFit="1" customWidth="1"/>
    <col min="13837" max="13837" width="13.6640625" style="45" bestFit="1" customWidth="1"/>
    <col min="13838" max="14080" width="8.88671875" style="45"/>
    <col min="14081" max="14081" width="7" style="45" bestFit="1" customWidth="1"/>
    <col min="14082" max="14082" width="40.5546875" style="45" bestFit="1" customWidth="1"/>
    <col min="14083" max="14085" width="13.6640625" style="45" bestFit="1" customWidth="1"/>
    <col min="14086" max="14086" width="0.5546875" style="45" customWidth="1"/>
    <col min="14087" max="14087" width="12.33203125" style="45" bestFit="1" customWidth="1"/>
    <col min="14088" max="14089" width="13.6640625" style="45" bestFit="1" customWidth="1"/>
    <col min="14090" max="14090" width="0.6640625" style="45" customWidth="1"/>
    <col min="14091" max="14092" width="12.33203125" style="45" bestFit="1" customWidth="1"/>
    <col min="14093" max="14093" width="13.6640625" style="45" bestFit="1" customWidth="1"/>
    <col min="14094" max="14336" width="8.88671875" style="45"/>
    <col min="14337" max="14337" width="7" style="45" bestFit="1" customWidth="1"/>
    <col min="14338" max="14338" width="40.5546875" style="45" bestFit="1" customWidth="1"/>
    <col min="14339" max="14341" width="13.6640625" style="45" bestFit="1" customWidth="1"/>
    <col min="14342" max="14342" width="0.5546875" style="45" customWidth="1"/>
    <col min="14343" max="14343" width="12.33203125" style="45" bestFit="1" customWidth="1"/>
    <col min="14344" max="14345" width="13.6640625" style="45" bestFit="1" customWidth="1"/>
    <col min="14346" max="14346" width="0.6640625" style="45" customWidth="1"/>
    <col min="14347" max="14348" width="12.33203125" style="45" bestFit="1" customWidth="1"/>
    <col min="14349" max="14349" width="13.6640625" style="45" bestFit="1" customWidth="1"/>
    <col min="14350" max="14592" width="8.88671875" style="45"/>
    <col min="14593" max="14593" width="7" style="45" bestFit="1" customWidth="1"/>
    <col min="14594" max="14594" width="40.5546875" style="45" bestFit="1" customWidth="1"/>
    <col min="14595" max="14597" width="13.6640625" style="45" bestFit="1" customWidth="1"/>
    <col min="14598" max="14598" width="0.5546875" style="45" customWidth="1"/>
    <col min="14599" max="14599" width="12.33203125" style="45" bestFit="1" customWidth="1"/>
    <col min="14600" max="14601" width="13.6640625" style="45" bestFit="1" customWidth="1"/>
    <col min="14602" max="14602" width="0.6640625" style="45" customWidth="1"/>
    <col min="14603" max="14604" width="12.33203125" style="45" bestFit="1" customWidth="1"/>
    <col min="14605" max="14605" width="13.6640625" style="45" bestFit="1" customWidth="1"/>
    <col min="14606" max="14848" width="8.88671875" style="45"/>
    <col min="14849" max="14849" width="7" style="45" bestFit="1" customWidth="1"/>
    <col min="14850" max="14850" width="40.5546875" style="45" bestFit="1" customWidth="1"/>
    <col min="14851" max="14853" width="13.6640625" style="45" bestFit="1" customWidth="1"/>
    <col min="14854" max="14854" width="0.5546875" style="45" customWidth="1"/>
    <col min="14855" max="14855" width="12.33203125" style="45" bestFit="1" customWidth="1"/>
    <col min="14856" max="14857" width="13.6640625" style="45" bestFit="1" customWidth="1"/>
    <col min="14858" max="14858" width="0.6640625" style="45" customWidth="1"/>
    <col min="14859" max="14860" width="12.33203125" style="45" bestFit="1" customWidth="1"/>
    <col min="14861" max="14861" width="13.6640625" style="45" bestFit="1" customWidth="1"/>
    <col min="14862" max="15104" width="8.88671875" style="45"/>
    <col min="15105" max="15105" width="7" style="45" bestFit="1" customWidth="1"/>
    <col min="15106" max="15106" width="40.5546875" style="45" bestFit="1" customWidth="1"/>
    <col min="15107" max="15109" width="13.6640625" style="45" bestFit="1" customWidth="1"/>
    <col min="15110" max="15110" width="0.5546875" style="45" customWidth="1"/>
    <col min="15111" max="15111" width="12.33203125" style="45" bestFit="1" customWidth="1"/>
    <col min="15112" max="15113" width="13.6640625" style="45" bestFit="1" customWidth="1"/>
    <col min="15114" max="15114" width="0.6640625" style="45" customWidth="1"/>
    <col min="15115" max="15116" width="12.33203125" style="45" bestFit="1" customWidth="1"/>
    <col min="15117" max="15117" width="13.6640625" style="45" bestFit="1" customWidth="1"/>
    <col min="15118" max="15360" width="8.88671875" style="45"/>
    <col min="15361" max="15361" width="7" style="45" bestFit="1" customWidth="1"/>
    <col min="15362" max="15362" width="40.5546875" style="45" bestFit="1" customWidth="1"/>
    <col min="15363" max="15365" width="13.6640625" style="45" bestFit="1" customWidth="1"/>
    <col min="15366" max="15366" width="0.5546875" style="45" customWidth="1"/>
    <col min="15367" max="15367" width="12.33203125" style="45" bestFit="1" customWidth="1"/>
    <col min="15368" max="15369" width="13.6640625" style="45" bestFit="1" customWidth="1"/>
    <col min="15370" max="15370" width="0.6640625" style="45" customWidth="1"/>
    <col min="15371" max="15372" width="12.33203125" style="45" bestFit="1" customWidth="1"/>
    <col min="15373" max="15373" width="13.6640625" style="45" bestFit="1" customWidth="1"/>
    <col min="15374" max="15616" width="8.88671875" style="45"/>
    <col min="15617" max="15617" width="7" style="45" bestFit="1" customWidth="1"/>
    <col min="15618" max="15618" width="40.5546875" style="45" bestFit="1" customWidth="1"/>
    <col min="15619" max="15621" width="13.6640625" style="45" bestFit="1" customWidth="1"/>
    <col min="15622" max="15622" width="0.5546875" style="45" customWidth="1"/>
    <col min="15623" max="15623" width="12.33203125" style="45" bestFit="1" customWidth="1"/>
    <col min="15624" max="15625" width="13.6640625" style="45" bestFit="1" customWidth="1"/>
    <col min="15626" max="15626" width="0.6640625" style="45" customWidth="1"/>
    <col min="15627" max="15628" width="12.33203125" style="45" bestFit="1" customWidth="1"/>
    <col min="15629" max="15629" width="13.6640625" style="45" bestFit="1" customWidth="1"/>
    <col min="15630" max="15872" width="8.88671875" style="45"/>
    <col min="15873" max="15873" width="7" style="45" bestFit="1" customWidth="1"/>
    <col min="15874" max="15874" width="40.5546875" style="45" bestFit="1" customWidth="1"/>
    <col min="15875" max="15877" width="13.6640625" style="45" bestFit="1" customWidth="1"/>
    <col min="15878" max="15878" width="0.5546875" style="45" customWidth="1"/>
    <col min="15879" max="15879" width="12.33203125" style="45" bestFit="1" customWidth="1"/>
    <col min="15880" max="15881" width="13.6640625" style="45" bestFit="1" customWidth="1"/>
    <col min="15882" max="15882" width="0.6640625" style="45" customWidth="1"/>
    <col min="15883" max="15884" width="12.33203125" style="45" bestFit="1" customWidth="1"/>
    <col min="15885" max="15885" width="13.6640625" style="45" bestFit="1" customWidth="1"/>
    <col min="15886" max="16128" width="8.88671875" style="45"/>
    <col min="16129" max="16129" width="7" style="45" bestFit="1" customWidth="1"/>
    <col min="16130" max="16130" width="40.5546875" style="45" bestFit="1" customWidth="1"/>
    <col min="16131" max="16133" width="13.6640625" style="45" bestFit="1" customWidth="1"/>
    <col min="16134" max="16134" width="0.5546875" style="45" customWidth="1"/>
    <col min="16135" max="16135" width="12.33203125" style="45" bestFit="1" customWidth="1"/>
    <col min="16136" max="16137" width="13.6640625" style="45" bestFit="1" customWidth="1"/>
    <col min="16138" max="16138" width="0.6640625" style="45" customWidth="1"/>
    <col min="16139" max="16140" width="12.33203125" style="45" bestFit="1" customWidth="1"/>
    <col min="16141" max="16141" width="13.6640625" style="45" bestFit="1" customWidth="1"/>
    <col min="16142" max="16384" width="8.88671875" style="45"/>
  </cols>
  <sheetData>
    <row r="1" spans="1:13" ht="13.8" thickBot="1"/>
    <row r="2" spans="1:13" ht="13.8" thickBot="1">
      <c r="C2" s="190" t="s">
        <v>4</v>
      </c>
      <c r="D2" s="191"/>
      <c r="E2" s="192"/>
      <c r="G2" s="190" t="s">
        <v>105</v>
      </c>
      <c r="H2" s="191"/>
      <c r="I2" s="192"/>
      <c r="K2" s="190" t="s">
        <v>152</v>
      </c>
      <c r="L2" s="191"/>
      <c r="M2" s="192"/>
    </row>
    <row r="3" spans="1:13">
      <c r="A3" s="45" t="s">
        <v>194</v>
      </c>
      <c r="C3" s="141" t="s">
        <v>38</v>
      </c>
      <c r="D3" s="141" t="s">
        <v>195</v>
      </c>
      <c r="E3" s="141" t="s">
        <v>70</v>
      </c>
      <c r="F3" s="141"/>
      <c r="G3" s="141" t="s">
        <v>38</v>
      </c>
      <c r="H3" s="141" t="s">
        <v>195</v>
      </c>
      <c r="I3" s="141" t="s">
        <v>70</v>
      </c>
      <c r="J3" s="141"/>
      <c r="K3" s="141" t="s">
        <v>38</v>
      </c>
      <c r="L3" s="141" t="s">
        <v>195</v>
      </c>
      <c r="M3" s="141" t="s">
        <v>70</v>
      </c>
    </row>
    <row r="4" spans="1:13">
      <c r="A4" s="142">
        <v>182324</v>
      </c>
      <c r="B4" s="143" t="s">
        <v>196</v>
      </c>
      <c r="C4" s="144">
        <f>SUM(G4,K4)</f>
        <v>0</v>
      </c>
      <c r="D4" s="144">
        <f>SUM(H4,L4)</f>
        <v>9050000</v>
      </c>
      <c r="E4" s="144">
        <f>SUM(C4:D4)</f>
        <v>9050000</v>
      </c>
      <c r="F4" s="144"/>
      <c r="G4" s="145">
        <v>0</v>
      </c>
      <c r="H4" s="145">
        <v>5856255</v>
      </c>
      <c r="I4" s="144">
        <f>SUM(G4:H4)</f>
        <v>5856255</v>
      </c>
      <c r="J4" s="144"/>
      <c r="K4" s="145">
        <v>0</v>
      </c>
      <c r="L4" s="145">
        <v>3193745</v>
      </c>
      <c r="M4" s="144">
        <f>SUM(K4:L4)</f>
        <v>3193745</v>
      </c>
    </row>
    <row r="5" spans="1:13">
      <c r="A5" s="142">
        <v>182325</v>
      </c>
      <c r="B5" s="143" t="s">
        <v>22</v>
      </c>
      <c r="C5" s="144">
        <f t="shared" ref="C5:D11" si="0">SUM(G5,K5)</f>
        <v>0</v>
      </c>
      <c r="D5" s="144">
        <f t="shared" si="0"/>
        <v>2000000</v>
      </c>
      <c r="E5" s="144">
        <f t="shared" ref="E5:E11" si="1">SUM(C5:D5)</f>
        <v>2000000</v>
      </c>
      <c r="F5" s="144"/>
      <c r="G5" s="145">
        <v>0</v>
      </c>
      <c r="H5" s="145">
        <v>1294200</v>
      </c>
      <c r="I5" s="144">
        <f t="shared" ref="I5:I11" si="2">SUM(G5:H5)</f>
        <v>1294200</v>
      </c>
      <c r="J5" s="144"/>
      <c r="K5" s="145">
        <v>0</v>
      </c>
      <c r="L5" s="145">
        <v>705800</v>
      </c>
      <c r="M5" s="144">
        <f t="shared" ref="M5:M11" si="3">SUM(K5:L5)</f>
        <v>705800</v>
      </c>
    </row>
    <row r="6" spans="1:13">
      <c r="A6" s="142">
        <v>182333</v>
      </c>
      <c r="B6" s="143" t="s">
        <v>197</v>
      </c>
      <c r="C6" s="144">
        <f t="shared" si="0"/>
        <v>0</v>
      </c>
      <c r="D6" s="144">
        <f t="shared" si="0"/>
        <v>1293781</v>
      </c>
      <c r="E6" s="144">
        <f t="shared" si="1"/>
        <v>1293781</v>
      </c>
      <c r="F6" s="144"/>
      <c r="G6" s="145">
        <v>0</v>
      </c>
      <c r="H6" s="145">
        <v>837206</v>
      </c>
      <c r="I6" s="144">
        <f t="shared" si="2"/>
        <v>837206</v>
      </c>
      <c r="J6" s="144"/>
      <c r="K6" s="145">
        <v>0</v>
      </c>
      <c r="L6" s="145">
        <v>456575</v>
      </c>
      <c r="M6" s="144">
        <f t="shared" si="3"/>
        <v>456575</v>
      </c>
    </row>
    <row r="7" spans="1:13">
      <c r="A7" s="142">
        <v>182381</v>
      </c>
      <c r="B7" s="143" t="s">
        <v>198</v>
      </c>
      <c r="C7" s="144">
        <f t="shared" si="0"/>
        <v>0</v>
      </c>
      <c r="D7" s="144">
        <f t="shared" si="0"/>
        <v>34958220</v>
      </c>
      <c r="E7" s="144">
        <f t="shared" si="1"/>
        <v>34958220</v>
      </c>
      <c r="F7" s="144"/>
      <c r="G7" s="145">
        <v>0</v>
      </c>
      <c r="H7" s="145">
        <v>22621464</v>
      </c>
      <c r="I7" s="144">
        <f t="shared" si="2"/>
        <v>22621464</v>
      </c>
      <c r="J7" s="144"/>
      <c r="K7" s="145">
        <v>0</v>
      </c>
      <c r="L7" s="145">
        <v>12336756</v>
      </c>
      <c r="M7" s="144">
        <f t="shared" si="3"/>
        <v>12336756</v>
      </c>
    </row>
    <row r="8" spans="1:13">
      <c r="A8" s="146">
        <v>302000</v>
      </c>
      <c r="B8" s="147" t="s">
        <v>199</v>
      </c>
      <c r="C8" s="144">
        <f t="shared" si="0"/>
        <v>602704</v>
      </c>
      <c r="D8" s="144">
        <f t="shared" si="0"/>
        <v>44049218</v>
      </c>
      <c r="E8" s="144">
        <f t="shared" si="1"/>
        <v>44651922</v>
      </c>
      <c r="F8" s="144"/>
      <c r="G8" s="145">
        <v>602704</v>
      </c>
      <c r="H8" s="145">
        <v>28504249</v>
      </c>
      <c r="I8" s="144">
        <f t="shared" si="2"/>
        <v>29106953</v>
      </c>
      <c r="J8" s="144"/>
      <c r="K8" s="145">
        <v>0</v>
      </c>
      <c r="L8" s="145">
        <v>15544969</v>
      </c>
      <c r="M8" s="144">
        <f t="shared" si="3"/>
        <v>15544969</v>
      </c>
    </row>
    <row r="9" spans="1:13">
      <c r="A9" s="146">
        <v>303000</v>
      </c>
      <c r="B9" s="143" t="s">
        <v>200</v>
      </c>
      <c r="C9" s="144">
        <f t="shared" si="0"/>
        <v>153179</v>
      </c>
      <c r="D9" s="144">
        <f t="shared" si="0"/>
        <v>11952392</v>
      </c>
      <c r="E9" s="144">
        <f t="shared" si="1"/>
        <v>12105571</v>
      </c>
      <c r="F9" s="144"/>
      <c r="G9" s="145">
        <v>153179</v>
      </c>
      <c r="H9" s="145">
        <v>7890551</v>
      </c>
      <c r="I9" s="144">
        <f t="shared" si="2"/>
        <v>8043730</v>
      </c>
      <c r="J9" s="144"/>
      <c r="K9" s="145">
        <v>0</v>
      </c>
      <c r="L9" s="145">
        <v>4061841</v>
      </c>
      <c r="M9" s="144">
        <f t="shared" si="3"/>
        <v>4061841</v>
      </c>
    </row>
    <row r="10" spans="1:13">
      <c r="A10" s="146">
        <v>303100</v>
      </c>
      <c r="B10" s="147" t="s">
        <v>201</v>
      </c>
      <c r="C10" s="144">
        <f t="shared" si="0"/>
        <v>4124367</v>
      </c>
      <c r="D10" s="144">
        <f t="shared" si="0"/>
        <v>42072370</v>
      </c>
      <c r="E10" s="144">
        <f t="shared" si="1"/>
        <v>46196737</v>
      </c>
      <c r="F10" s="144"/>
      <c r="G10" s="145">
        <v>4058654</v>
      </c>
      <c r="H10" s="145">
        <v>28567139</v>
      </c>
      <c r="I10" s="144">
        <f t="shared" si="2"/>
        <v>32625793</v>
      </c>
      <c r="J10" s="144"/>
      <c r="K10" s="145">
        <v>65713</v>
      </c>
      <c r="L10" s="145">
        <v>13505231</v>
      </c>
      <c r="M10" s="144">
        <f t="shared" si="3"/>
        <v>13570944</v>
      </c>
    </row>
    <row r="11" spans="1:13">
      <c r="A11" s="146">
        <v>303110</v>
      </c>
      <c r="B11" s="147" t="s">
        <v>202</v>
      </c>
      <c r="C11" s="144">
        <f t="shared" si="0"/>
        <v>0</v>
      </c>
      <c r="D11" s="144">
        <f t="shared" si="0"/>
        <v>3291239</v>
      </c>
      <c r="E11" s="144">
        <f t="shared" si="1"/>
        <v>3291239</v>
      </c>
      <c r="F11" s="144"/>
      <c r="G11" s="145">
        <v>0</v>
      </c>
      <c r="H11" s="145">
        <v>2234751</v>
      </c>
      <c r="I11" s="144">
        <f t="shared" si="2"/>
        <v>2234751</v>
      </c>
      <c r="J11" s="144"/>
      <c r="K11" s="145">
        <v>0</v>
      </c>
      <c r="L11" s="145">
        <v>1056488</v>
      </c>
      <c r="M11" s="144">
        <f t="shared" si="3"/>
        <v>1056488</v>
      </c>
    </row>
    <row r="12" spans="1:13">
      <c r="A12" s="148"/>
      <c r="B12" s="147" t="s">
        <v>203</v>
      </c>
      <c r="C12" s="149">
        <f>SUM(C4:C11)</f>
        <v>4880250</v>
      </c>
      <c r="D12" s="149">
        <f>SUM(D4:D11)</f>
        <v>148667220</v>
      </c>
      <c r="E12" s="149">
        <f>SUM(E4:E11)</f>
        <v>153547470</v>
      </c>
      <c r="F12" s="144"/>
      <c r="G12" s="149">
        <f>SUM(G4:G11)</f>
        <v>4814537</v>
      </c>
      <c r="H12" s="149">
        <f>SUM(H4:H11)</f>
        <v>97805815</v>
      </c>
      <c r="I12" s="149">
        <f>SUM(I4:I11)</f>
        <v>102620352</v>
      </c>
      <c r="J12" s="144"/>
      <c r="K12" s="149">
        <f>SUM(K4:K11)</f>
        <v>65713</v>
      </c>
      <c r="L12" s="149">
        <f>SUM(L4:L11)</f>
        <v>50861405</v>
      </c>
      <c r="M12" s="149">
        <f>SUM(M4:M11)</f>
        <v>50927118</v>
      </c>
    </row>
    <row r="13" spans="1:13">
      <c r="C13" s="144"/>
      <c r="D13" s="144"/>
      <c r="E13" s="144"/>
      <c r="F13" s="144"/>
      <c r="G13" s="144"/>
      <c r="H13" s="144"/>
      <c r="I13" s="144"/>
      <c r="J13" s="144"/>
      <c r="K13" s="144"/>
      <c r="L13" s="144"/>
      <c r="M13" s="144"/>
    </row>
    <row r="14" spans="1:13">
      <c r="B14" s="45" t="s">
        <v>11</v>
      </c>
      <c r="C14" s="144">
        <f t="shared" ref="C14:D17" si="4">SUM(G14,K14)</f>
        <v>0</v>
      </c>
      <c r="D14" s="144">
        <f t="shared" si="4"/>
        <v>1152991783</v>
      </c>
      <c r="E14" s="144">
        <f>SUM(C14:D14)</f>
        <v>1152991783</v>
      </c>
      <c r="F14" s="144"/>
      <c r="G14" s="145">
        <v>0</v>
      </c>
      <c r="H14" s="145">
        <v>746100982</v>
      </c>
      <c r="I14" s="144">
        <f>SUM(G14:H14)</f>
        <v>746100982</v>
      </c>
      <c r="J14" s="144"/>
      <c r="K14" s="145"/>
      <c r="L14" s="145">
        <v>406890801</v>
      </c>
      <c r="M14" s="144">
        <f>SUM(K14:L14)</f>
        <v>406890801</v>
      </c>
    </row>
    <row r="15" spans="1:13">
      <c r="B15" s="45" t="s">
        <v>12</v>
      </c>
      <c r="C15" s="144">
        <f t="shared" si="4"/>
        <v>0</v>
      </c>
      <c r="D15" s="144">
        <f t="shared" si="4"/>
        <v>574827535</v>
      </c>
      <c r="E15" s="144">
        <f>SUM(C15:D15)</f>
        <v>574827535</v>
      </c>
      <c r="F15" s="144"/>
      <c r="G15" s="145">
        <v>0</v>
      </c>
      <c r="H15" s="145">
        <v>371970898</v>
      </c>
      <c r="I15" s="144">
        <f>SUM(G15:H15)</f>
        <v>371970898</v>
      </c>
      <c r="J15" s="144"/>
      <c r="K15" s="145"/>
      <c r="L15" s="145">
        <v>202856637</v>
      </c>
      <c r="M15" s="144">
        <f>SUM(K15:L15)</f>
        <v>202856637</v>
      </c>
    </row>
    <row r="16" spans="1:13">
      <c r="B16" s="45" t="s">
        <v>13</v>
      </c>
      <c r="C16" s="144">
        <f t="shared" si="4"/>
        <v>1317390768</v>
      </c>
      <c r="D16" s="144">
        <f t="shared" si="4"/>
        <v>24705</v>
      </c>
      <c r="E16" s="144">
        <f>SUM(C16:D16)</f>
        <v>1317415473</v>
      </c>
      <c r="F16" s="144"/>
      <c r="G16" s="145">
        <v>842778604</v>
      </c>
      <c r="H16" s="145">
        <v>16116</v>
      </c>
      <c r="I16" s="144">
        <f>SUM(G16:H16)</f>
        <v>842794720</v>
      </c>
      <c r="J16" s="144"/>
      <c r="K16" s="145">
        <v>474612164</v>
      </c>
      <c r="L16" s="145">
        <v>8589</v>
      </c>
      <c r="M16" s="144">
        <f>SUM(K16:L16)</f>
        <v>474620753</v>
      </c>
    </row>
    <row r="17" spans="1:13">
      <c r="B17" s="45" t="s">
        <v>204</v>
      </c>
      <c r="C17" s="144">
        <f t="shared" si="4"/>
        <v>84157370</v>
      </c>
      <c r="D17" s="144">
        <f t="shared" si="4"/>
        <v>211152574</v>
      </c>
      <c r="E17" s="144">
        <f>SUM(C17:D17)</f>
        <v>295309944</v>
      </c>
      <c r="F17" s="144"/>
      <c r="G17" s="145">
        <v>53494341</v>
      </c>
      <c r="H17" s="145">
        <v>143372598</v>
      </c>
      <c r="I17" s="144">
        <f>SUM(G17:H17)</f>
        <v>196866939</v>
      </c>
      <c r="J17" s="144"/>
      <c r="K17" s="145">
        <v>30663029</v>
      </c>
      <c r="L17" s="145">
        <v>67779976</v>
      </c>
      <c r="M17" s="144">
        <f>SUM(K17:L17)</f>
        <v>98443005</v>
      </c>
    </row>
    <row r="18" spans="1:13">
      <c r="C18" s="144"/>
      <c r="D18" s="144"/>
      <c r="E18" s="144"/>
      <c r="F18" s="144"/>
      <c r="G18" s="145"/>
      <c r="H18" s="145"/>
      <c r="I18" s="144"/>
      <c r="J18" s="144"/>
      <c r="K18" s="145"/>
      <c r="L18" s="145"/>
      <c r="M18" s="144">
        <f>SUM(K18:L18)</f>
        <v>0</v>
      </c>
    </row>
    <row r="19" spans="1:13" ht="13.8" thickBot="1">
      <c r="B19" s="45" t="s">
        <v>205</v>
      </c>
      <c r="C19" s="150">
        <f t="shared" ref="C19:I19" si="5">SUM(C12:C18)</f>
        <v>1406428388</v>
      </c>
      <c r="D19" s="150">
        <f t="shared" si="5"/>
        <v>2087663817</v>
      </c>
      <c r="E19" s="150">
        <f t="shared" si="5"/>
        <v>3494092205</v>
      </c>
      <c r="F19" s="144">
        <f t="shared" si="5"/>
        <v>0</v>
      </c>
      <c r="G19" s="150">
        <f t="shared" si="5"/>
        <v>901087482</v>
      </c>
      <c r="H19" s="150">
        <f t="shared" si="5"/>
        <v>1359266409</v>
      </c>
      <c r="I19" s="150">
        <f t="shared" si="5"/>
        <v>2260353891</v>
      </c>
      <c r="J19" s="144"/>
      <c r="K19" s="150">
        <f>SUM(K12:K18)</f>
        <v>505340906</v>
      </c>
      <c r="L19" s="150">
        <f>SUM(L12:L18)</f>
        <v>728397408</v>
      </c>
      <c r="M19" s="150">
        <f>SUM(M12:M18)</f>
        <v>1233738314</v>
      </c>
    </row>
    <row r="20" spans="1:13">
      <c r="C20" s="144"/>
      <c r="D20" s="144"/>
      <c r="E20" s="144"/>
      <c r="F20" s="144"/>
      <c r="G20" s="144"/>
      <c r="H20" s="144"/>
      <c r="I20" s="144"/>
      <c r="J20" s="144"/>
      <c r="K20" s="144"/>
      <c r="L20" s="144"/>
      <c r="M20" s="144"/>
    </row>
    <row r="21" spans="1:13">
      <c r="C21" s="144"/>
      <c r="D21" s="144"/>
      <c r="E21" s="144"/>
      <c r="F21" s="144"/>
      <c r="G21" s="144"/>
      <c r="H21" s="144"/>
      <c r="I21" s="144"/>
      <c r="J21" s="144"/>
      <c r="K21" s="144"/>
      <c r="L21" s="144"/>
      <c r="M21" s="144"/>
    </row>
    <row r="22" spans="1:13">
      <c r="C22" s="144"/>
      <c r="D22" s="144"/>
      <c r="E22" s="144"/>
      <c r="F22" s="144"/>
      <c r="G22" s="144"/>
      <c r="H22" s="144"/>
      <c r="I22" s="144"/>
      <c r="J22" s="144"/>
      <c r="K22" s="144"/>
      <c r="L22" s="144"/>
      <c r="M22" s="144"/>
    </row>
    <row r="23" spans="1:13">
      <c r="A23" s="45" t="s">
        <v>206</v>
      </c>
      <c r="C23" s="144"/>
      <c r="D23" s="144"/>
      <c r="E23" s="144"/>
      <c r="F23" s="144"/>
      <c r="G23" s="144"/>
      <c r="H23" s="144"/>
      <c r="I23" s="144"/>
      <c r="J23" s="144"/>
      <c r="K23" s="144"/>
      <c r="L23" s="144"/>
      <c r="M23" s="144"/>
    </row>
    <row r="24" spans="1:13">
      <c r="A24" s="45">
        <v>303000</v>
      </c>
      <c r="B24" s="45" t="s">
        <v>17</v>
      </c>
      <c r="C24" s="144">
        <f t="shared" ref="C24:C29" si="6">SUM(G24,K24)</f>
        <v>0</v>
      </c>
      <c r="D24" s="145">
        <v>4895246</v>
      </c>
      <c r="E24" s="144">
        <f t="shared" ref="E24:E29" si="7">SUM(C24:D24)</f>
        <v>4895246</v>
      </c>
      <c r="F24" s="144"/>
      <c r="G24" s="145">
        <v>0</v>
      </c>
      <c r="H24" s="144">
        <f>D24*H34</f>
        <v>3167713.6866000001</v>
      </c>
      <c r="I24" s="144">
        <f t="shared" ref="I24:I29" si="8">SUM(G24:H24)</f>
        <v>3167713.6866000001</v>
      </c>
      <c r="J24" s="144"/>
      <c r="K24" s="145">
        <v>0</v>
      </c>
      <c r="L24" s="144">
        <f t="shared" ref="L24:L29" si="9">D24-H24</f>
        <v>1727532.3133999999</v>
      </c>
      <c r="M24" s="144">
        <f t="shared" ref="M24:M29" si="10">SUM(K24:L24)</f>
        <v>1727532.3133999999</v>
      </c>
    </row>
    <row r="25" spans="1:13">
      <c r="B25" s="45" t="s">
        <v>19</v>
      </c>
      <c r="C25" s="144">
        <f t="shared" si="6"/>
        <v>0</v>
      </c>
      <c r="D25" s="145">
        <v>152609</v>
      </c>
      <c r="E25" s="144">
        <f t="shared" si="7"/>
        <v>152609</v>
      </c>
      <c r="F25" s="144"/>
      <c r="G25" s="145">
        <v>0</v>
      </c>
      <c r="H25" s="144">
        <f>D25*H34</f>
        <v>98753.283899999995</v>
      </c>
      <c r="I25" s="144">
        <f t="shared" si="8"/>
        <v>98753.283899999995</v>
      </c>
      <c r="J25" s="144"/>
      <c r="K25" s="145">
        <v>0</v>
      </c>
      <c r="L25" s="144">
        <f t="shared" si="9"/>
        <v>53855.716100000005</v>
      </c>
      <c r="M25" s="144">
        <f t="shared" si="10"/>
        <v>53855.716100000005</v>
      </c>
    </row>
    <row r="26" spans="1:13">
      <c r="A26" s="45">
        <v>303100</v>
      </c>
      <c r="B26" s="45" t="s">
        <v>17</v>
      </c>
      <c r="C26" s="144">
        <f t="shared" si="6"/>
        <v>0</v>
      </c>
      <c r="D26" s="145">
        <v>40830132</v>
      </c>
      <c r="E26" s="144">
        <f t="shared" si="7"/>
        <v>40830132</v>
      </c>
      <c r="F26" s="144"/>
      <c r="G26" s="145">
        <v>0</v>
      </c>
      <c r="H26" s="144">
        <f>D26*H35</f>
        <v>27723659.628000002</v>
      </c>
      <c r="I26" s="144">
        <f t="shared" si="8"/>
        <v>27723659.628000002</v>
      </c>
      <c r="J26" s="144"/>
      <c r="K26" s="145">
        <v>0</v>
      </c>
      <c r="L26" s="144">
        <f t="shared" si="9"/>
        <v>13106472.371999998</v>
      </c>
      <c r="M26" s="144">
        <f t="shared" si="10"/>
        <v>13106472.371999998</v>
      </c>
    </row>
    <row r="27" spans="1:13">
      <c r="B27" s="45" t="s">
        <v>19</v>
      </c>
      <c r="C27" s="144">
        <f t="shared" si="6"/>
        <v>0</v>
      </c>
      <c r="D27" s="145">
        <v>39412</v>
      </c>
      <c r="E27" s="144">
        <f t="shared" si="7"/>
        <v>39412</v>
      </c>
      <c r="F27" s="144"/>
      <c r="G27" s="145">
        <v>0</v>
      </c>
      <c r="H27" s="144">
        <f>D27*H35</f>
        <v>26760.748000000003</v>
      </c>
      <c r="I27" s="144">
        <f t="shared" si="8"/>
        <v>26760.748000000003</v>
      </c>
      <c r="J27" s="144"/>
      <c r="K27" s="145">
        <v>0</v>
      </c>
      <c r="L27" s="144">
        <f t="shared" si="9"/>
        <v>12651.251999999997</v>
      </c>
      <c r="M27" s="144">
        <f t="shared" si="10"/>
        <v>12651.251999999997</v>
      </c>
    </row>
    <row r="28" spans="1:13">
      <c r="A28" s="45">
        <v>303110</v>
      </c>
      <c r="B28" s="45" t="s">
        <v>17</v>
      </c>
      <c r="C28" s="144">
        <f t="shared" si="6"/>
        <v>0</v>
      </c>
      <c r="D28" s="145">
        <v>3279368</v>
      </c>
      <c r="E28" s="144">
        <f t="shared" si="7"/>
        <v>3279368</v>
      </c>
      <c r="F28" s="144"/>
      <c r="G28" s="145">
        <v>0</v>
      </c>
      <c r="H28" s="144">
        <f>D28*H36</f>
        <v>2226690.872</v>
      </c>
      <c r="I28" s="144">
        <f t="shared" si="8"/>
        <v>2226690.872</v>
      </c>
      <c r="J28" s="144"/>
      <c r="K28" s="145">
        <v>0</v>
      </c>
      <c r="L28" s="144">
        <f t="shared" si="9"/>
        <v>1052677.128</v>
      </c>
      <c r="M28" s="144">
        <f t="shared" si="10"/>
        <v>1052677.128</v>
      </c>
    </row>
    <row r="29" spans="1:13">
      <c r="B29" s="45" t="s">
        <v>19</v>
      </c>
      <c r="C29" s="144">
        <f t="shared" si="6"/>
        <v>0</v>
      </c>
      <c r="D29" s="145">
        <v>0</v>
      </c>
      <c r="E29" s="144">
        <f t="shared" si="7"/>
        <v>0</v>
      </c>
      <c r="F29" s="144"/>
      <c r="G29" s="145">
        <v>0</v>
      </c>
      <c r="H29" s="144"/>
      <c r="I29" s="144">
        <f t="shared" si="8"/>
        <v>0</v>
      </c>
      <c r="J29" s="144"/>
      <c r="K29" s="145">
        <v>0</v>
      </c>
      <c r="L29" s="144">
        <f t="shared" si="9"/>
        <v>0</v>
      </c>
      <c r="M29" s="144">
        <f t="shared" si="10"/>
        <v>0</v>
      </c>
    </row>
    <row r="30" spans="1:13" ht="13.8" thickBot="1">
      <c r="C30" s="150">
        <f>SUM(C24:C29)</f>
        <v>0</v>
      </c>
      <c r="D30" s="151">
        <f>SUM(D24:D29)</f>
        <v>49196767</v>
      </c>
      <c r="E30" s="150">
        <f>SUM(E24:E29)</f>
        <v>49196767</v>
      </c>
      <c r="F30" s="144"/>
      <c r="G30" s="150">
        <f>SUM(G24:G29)</f>
        <v>0</v>
      </c>
      <c r="H30" s="150">
        <f>SUM(H24:H29)</f>
        <v>33243578.218500003</v>
      </c>
      <c r="I30" s="150">
        <f>SUM(I24:I29)</f>
        <v>33243578.218500003</v>
      </c>
      <c r="J30" s="144"/>
      <c r="K30" s="150">
        <f>SUM(K24:K29)</f>
        <v>0</v>
      </c>
      <c r="L30" s="150">
        <f>SUM(L24:L29)</f>
        <v>15953188.781499999</v>
      </c>
      <c r="M30" s="150">
        <f>SUM(M24:M29)</f>
        <v>15953188.781499999</v>
      </c>
    </row>
    <row r="31" spans="1:13">
      <c r="C31" s="144"/>
      <c r="D31" s="144"/>
      <c r="E31" s="144"/>
      <c r="F31" s="144"/>
      <c r="G31" s="144"/>
      <c r="H31" s="144"/>
      <c r="I31" s="144"/>
      <c r="J31" s="144"/>
      <c r="K31" s="144"/>
      <c r="L31" s="144"/>
      <c r="M31" s="144"/>
    </row>
    <row r="32" spans="1:13">
      <c r="C32" s="144"/>
      <c r="D32" s="144"/>
      <c r="E32" s="144"/>
      <c r="F32" s="144"/>
      <c r="G32" s="144"/>
      <c r="H32" s="144"/>
      <c r="I32" s="144"/>
      <c r="J32" s="144"/>
      <c r="K32" s="144"/>
      <c r="L32" s="144"/>
      <c r="M32" s="144"/>
    </row>
    <row r="33" spans="1:13">
      <c r="A33" s="45" t="s">
        <v>207</v>
      </c>
      <c r="C33" s="144"/>
      <c r="D33" s="144"/>
      <c r="E33" s="144"/>
      <c r="F33" s="144"/>
      <c r="G33" s="144"/>
      <c r="H33" s="144"/>
      <c r="I33" s="144"/>
      <c r="J33" s="144"/>
      <c r="K33" s="144"/>
      <c r="L33" s="144"/>
      <c r="M33" s="144"/>
    </row>
    <row r="34" spans="1:13">
      <c r="A34" s="45">
        <v>1</v>
      </c>
      <c r="B34" s="45">
        <v>303000</v>
      </c>
      <c r="C34" s="144"/>
      <c r="D34" s="144"/>
      <c r="E34" s="144"/>
      <c r="F34" s="144"/>
      <c r="G34" s="144"/>
      <c r="H34" s="152">
        <v>0.64710000000000001</v>
      </c>
      <c r="I34" s="144"/>
      <c r="J34" s="144"/>
      <c r="K34" s="144"/>
      <c r="L34" s="153">
        <f>1-H34</f>
        <v>0.35289999999999999</v>
      </c>
      <c r="M34" s="144"/>
    </row>
    <row r="35" spans="1:13">
      <c r="A35" s="45">
        <v>4</v>
      </c>
      <c r="B35" s="45">
        <v>303100</v>
      </c>
      <c r="H35" s="154">
        <v>0.67900000000000005</v>
      </c>
      <c r="L35" s="153">
        <f>1-H35</f>
        <v>0.32099999999999995</v>
      </c>
    </row>
    <row r="36" spans="1:13">
      <c r="A36" s="45">
        <v>4</v>
      </c>
      <c r="B36" s="45">
        <v>303110</v>
      </c>
      <c r="H36" s="154">
        <v>0.67900000000000005</v>
      </c>
      <c r="L36" s="153">
        <f>1-H36</f>
        <v>0.32099999999999995</v>
      </c>
    </row>
  </sheetData>
  <mergeCells count="3">
    <mergeCell ref="C2:E2"/>
    <mergeCell ref="G2:I2"/>
    <mergeCell ref="K2:M2"/>
  </mergeCells>
  <pageMargins left="0.2" right="0.2" top="0.75" bottom="0.75" header="0.3" footer="0.3"/>
  <pageSetup scale="80" orientation="landscape" r:id="rId1"/>
  <headerFooter>
    <oddFooter>&amp;L&amp;F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workbookViewId="0">
      <pane xSplit="2" ySplit="3" topLeftCell="C4" activePane="bottomRight" state="frozen"/>
      <selection pane="topRight" activeCell="C1" sqref="C1"/>
      <selection pane="bottomLeft" activeCell="A4" sqref="A4"/>
      <selection pane="bottomRight" activeCell="C4" sqref="C4"/>
    </sheetView>
  </sheetViews>
  <sheetFormatPr defaultRowHeight="13.2"/>
  <cols>
    <col min="1" max="1" width="7" style="45" bestFit="1" customWidth="1"/>
    <col min="2" max="2" width="40.5546875" style="45" bestFit="1" customWidth="1"/>
    <col min="3" max="5" width="13.6640625" style="45" bestFit="1" customWidth="1"/>
    <col min="6" max="6" width="0.5546875" style="45" customWidth="1"/>
    <col min="7" max="7" width="12.33203125" style="45" bestFit="1" customWidth="1"/>
    <col min="8" max="9" width="13.6640625" style="45" bestFit="1" customWidth="1"/>
    <col min="10" max="10" width="0.6640625" style="45" customWidth="1"/>
    <col min="11" max="12" width="12.33203125" style="45" bestFit="1" customWidth="1"/>
    <col min="13" max="13" width="13.6640625" style="45" bestFit="1" customWidth="1"/>
    <col min="14" max="256" width="8.88671875" style="45"/>
    <col min="257" max="257" width="7" style="45" bestFit="1" customWidth="1"/>
    <col min="258" max="258" width="40.5546875" style="45" bestFit="1" customWidth="1"/>
    <col min="259" max="261" width="13.6640625" style="45" bestFit="1" customWidth="1"/>
    <col min="262" max="262" width="0.5546875" style="45" customWidth="1"/>
    <col min="263" max="263" width="12.33203125" style="45" bestFit="1" customWidth="1"/>
    <col min="264" max="265" width="13.6640625" style="45" bestFit="1" customWidth="1"/>
    <col min="266" max="266" width="0.6640625" style="45" customWidth="1"/>
    <col min="267" max="268" width="12.33203125" style="45" bestFit="1" customWidth="1"/>
    <col min="269" max="269" width="13.6640625" style="45" bestFit="1" customWidth="1"/>
    <col min="270" max="512" width="8.88671875" style="45"/>
    <col min="513" max="513" width="7" style="45" bestFit="1" customWidth="1"/>
    <col min="514" max="514" width="40.5546875" style="45" bestFit="1" customWidth="1"/>
    <col min="515" max="517" width="13.6640625" style="45" bestFit="1" customWidth="1"/>
    <col min="518" max="518" width="0.5546875" style="45" customWidth="1"/>
    <col min="519" max="519" width="12.33203125" style="45" bestFit="1" customWidth="1"/>
    <col min="520" max="521" width="13.6640625" style="45" bestFit="1" customWidth="1"/>
    <col min="522" max="522" width="0.6640625" style="45" customWidth="1"/>
    <col min="523" max="524" width="12.33203125" style="45" bestFit="1" customWidth="1"/>
    <col min="525" max="525" width="13.6640625" style="45" bestFit="1" customWidth="1"/>
    <col min="526" max="768" width="8.88671875" style="45"/>
    <col min="769" max="769" width="7" style="45" bestFit="1" customWidth="1"/>
    <col min="770" max="770" width="40.5546875" style="45" bestFit="1" customWidth="1"/>
    <col min="771" max="773" width="13.6640625" style="45" bestFit="1" customWidth="1"/>
    <col min="774" max="774" width="0.5546875" style="45" customWidth="1"/>
    <col min="775" max="775" width="12.33203125" style="45" bestFit="1" customWidth="1"/>
    <col min="776" max="777" width="13.6640625" style="45" bestFit="1" customWidth="1"/>
    <col min="778" max="778" width="0.6640625" style="45" customWidth="1"/>
    <col min="779" max="780" width="12.33203125" style="45" bestFit="1" customWidth="1"/>
    <col min="781" max="781" width="13.6640625" style="45" bestFit="1" customWidth="1"/>
    <col min="782" max="1024" width="8.88671875" style="45"/>
    <col min="1025" max="1025" width="7" style="45" bestFit="1" customWidth="1"/>
    <col min="1026" max="1026" width="40.5546875" style="45" bestFit="1" customWidth="1"/>
    <col min="1027" max="1029" width="13.6640625" style="45" bestFit="1" customWidth="1"/>
    <col min="1030" max="1030" width="0.5546875" style="45" customWidth="1"/>
    <col min="1031" max="1031" width="12.33203125" style="45" bestFit="1" customWidth="1"/>
    <col min="1032" max="1033" width="13.6640625" style="45" bestFit="1" customWidth="1"/>
    <col min="1034" max="1034" width="0.6640625" style="45" customWidth="1"/>
    <col min="1035" max="1036" width="12.33203125" style="45" bestFit="1" customWidth="1"/>
    <col min="1037" max="1037" width="13.6640625" style="45" bestFit="1" customWidth="1"/>
    <col min="1038" max="1280" width="8.88671875" style="45"/>
    <col min="1281" max="1281" width="7" style="45" bestFit="1" customWidth="1"/>
    <col min="1282" max="1282" width="40.5546875" style="45" bestFit="1" customWidth="1"/>
    <col min="1283" max="1285" width="13.6640625" style="45" bestFit="1" customWidth="1"/>
    <col min="1286" max="1286" width="0.5546875" style="45" customWidth="1"/>
    <col min="1287" max="1287" width="12.33203125" style="45" bestFit="1" customWidth="1"/>
    <col min="1288" max="1289" width="13.6640625" style="45" bestFit="1" customWidth="1"/>
    <col min="1290" max="1290" width="0.6640625" style="45" customWidth="1"/>
    <col min="1291" max="1292" width="12.33203125" style="45" bestFit="1" customWidth="1"/>
    <col min="1293" max="1293" width="13.6640625" style="45" bestFit="1" customWidth="1"/>
    <col min="1294" max="1536" width="8.88671875" style="45"/>
    <col min="1537" max="1537" width="7" style="45" bestFit="1" customWidth="1"/>
    <col min="1538" max="1538" width="40.5546875" style="45" bestFit="1" customWidth="1"/>
    <col min="1539" max="1541" width="13.6640625" style="45" bestFit="1" customWidth="1"/>
    <col min="1542" max="1542" width="0.5546875" style="45" customWidth="1"/>
    <col min="1543" max="1543" width="12.33203125" style="45" bestFit="1" customWidth="1"/>
    <col min="1544" max="1545" width="13.6640625" style="45" bestFit="1" customWidth="1"/>
    <col min="1546" max="1546" width="0.6640625" style="45" customWidth="1"/>
    <col min="1547" max="1548" width="12.33203125" style="45" bestFit="1" customWidth="1"/>
    <col min="1549" max="1549" width="13.6640625" style="45" bestFit="1" customWidth="1"/>
    <col min="1550" max="1792" width="8.88671875" style="45"/>
    <col min="1793" max="1793" width="7" style="45" bestFit="1" customWidth="1"/>
    <col min="1794" max="1794" width="40.5546875" style="45" bestFit="1" customWidth="1"/>
    <col min="1795" max="1797" width="13.6640625" style="45" bestFit="1" customWidth="1"/>
    <col min="1798" max="1798" width="0.5546875" style="45" customWidth="1"/>
    <col min="1799" max="1799" width="12.33203125" style="45" bestFit="1" customWidth="1"/>
    <col min="1800" max="1801" width="13.6640625" style="45" bestFit="1" customWidth="1"/>
    <col min="1802" max="1802" width="0.6640625" style="45" customWidth="1"/>
    <col min="1803" max="1804" width="12.33203125" style="45" bestFit="1" customWidth="1"/>
    <col min="1805" max="1805" width="13.6640625" style="45" bestFit="1" customWidth="1"/>
    <col min="1806" max="2048" width="8.88671875" style="45"/>
    <col min="2049" max="2049" width="7" style="45" bestFit="1" customWidth="1"/>
    <col min="2050" max="2050" width="40.5546875" style="45" bestFit="1" customWidth="1"/>
    <col min="2051" max="2053" width="13.6640625" style="45" bestFit="1" customWidth="1"/>
    <col min="2054" max="2054" width="0.5546875" style="45" customWidth="1"/>
    <col min="2055" max="2055" width="12.33203125" style="45" bestFit="1" customWidth="1"/>
    <col min="2056" max="2057" width="13.6640625" style="45" bestFit="1" customWidth="1"/>
    <col min="2058" max="2058" width="0.6640625" style="45" customWidth="1"/>
    <col min="2059" max="2060" width="12.33203125" style="45" bestFit="1" customWidth="1"/>
    <col min="2061" max="2061" width="13.6640625" style="45" bestFit="1" customWidth="1"/>
    <col min="2062" max="2304" width="8.88671875" style="45"/>
    <col min="2305" max="2305" width="7" style="45" bestFit="1" customWidth="1"/>
    <col min="2306" max="2306" width="40.5546875" style="45" bestFit="1" customWidth="1"/>
    <col min="2307" max="2309" width="13.6640625" style="45" bestFit="1" customWidth="1"/>
    <col min="2310" max="2310" width="0.5546875" style="45" customWidth="1"/>
    <col min="2311" max="2311" width="12.33203125" style="45" bestFit="1" customWidth="1"/>
    <col min="2312" max="2313" width="13.6640625" style="45" bestFit="1" customWidth="1"/>
    <col min="2314" max="2314" width="0.6640625" style="45" customWidth="1"/>
    <col min="2315" max="2316" width="12.33203125" style="45" bestFit="1" customWidth="1"/>
    <col min="2317" max="2317" width="13.6640625" style="45" bestFit="1" customWidth="1"/>
    <col min="2318" max="2560" width="8.88671875" style="45"/>
    <col min="2561" max="2561" width="7" style="45" bestFit="1" customWidth="1"/>
    <col min="2562" max="2562" width="40.5546875" style="45" bestFit="1" customWidth="1"/>
    <col min="2563" max="2565" width="13.6640625" style="45" bestFit="1" customWidth="1"/>
    <col min="2566" max="2566" width="0.5546875" style="45" customWidth="1"/>
    <col min="2567" max="2567" width="12.33203125" style="45" bestFit="1" customWidth="1"/>
    <col min="2568" max="2569" width="13.6640625" style="45" bestFit="1" customWidth="1"/>
    <col min="2570" max="2570" width="0.6640625" style="45" customWidth="1"/>
    <col min="2571" max="2572" width="12.33203125" style="45" bestFit="1" customWidth="1"/>
    <col min="2573" max="2573" width="13.6640625" style="45" bestFit="1" customWidth="1"/>
    <col min="2574" max="2816" width="8.88671875" style="45"/>
    <col min="2817" max="2817" width="7" style="45" bestFit="1" customWidth="1"/>
    <col min="2818" max="2818" width="40.5546875" style="45" bestFit="1" customWidth="1"/>
    <col min="2819" max="2821" width="13.6640625" style="45" bestFit="1" customWidth="1"/>
    <col min="2822" max="2822" width="0.5546875" style="45" customWidth="1"/>
    <col min="2823" max="2823" width="12.33203125" style="45" bestFit="1" customWidth="1"/>
    <col min="2824" max="2825" width="13.6640625" style="45" bestFit="1" customWidth="1"/>
    <col min="2826" max="2826" width="0.6640625" style="45" customWidth="1"/>
    <col min="2827" max="2828" width="12.33203125" style="45" bestFit="1" customWidth="1"/>
    <col min="2829" max="2829" width="13.6640625" style="45" bestFit="1" customWidth="1"/>
    <col min="2830" max="3072" width="8.88671875" style="45"/>
    <col min="3073" max="3073" width="7" style="45" bestFit="1" customWidth="1"/>
    <col min="3074" max="3074" width="40.5546875" style="45" bestFit="1" customWidth="1"/>
    <col min="3075" max="3077" width="13.6640625" style="45" bestFit="1" customWidth="1"/>
    <col min="3078" max="3078" width="0.5546875" style="45" customWidth="1"/>
    <col min="3079" max="3079" width="12.33203125" style="45" bestFit="1" customWidth="1"/>
    <col min="3080" max="3081" width="13.6640625" style="45" bestFit="1" customWidth="1"/>
    <col min="3082" max="3082" width="0.6640625" style="45" customWidth="1"/>
    <col min="3083" max="3084" width="12.33203125" style="45" bestFit="1" customWidth="1"/>
    <col min="3085" max="3085" width="13.6640625" style="45" bestFit="1" customWidth="1"/>
    <col min="3086" max="3328" width="8.88671875" style="45"/>
    <col min="3329" max="3329" width="7" style="45" bestFit="1" customWidth="1"/>
    <col min="3330" max="3330" width="40.5546875" style="45" bestFit="1" customWidth="1"/>
    <col min="3331" max="3333" width="13.6640625" style="45" bestFit="1" customWidth="1"/>
    <col min="3334" max="3334" width="0.5546875" style="45" customWidth="1"/>
    <col min="3335" max="3335" width="12.33203125" style="45" bestFit="1" customWidth="1"/>
    <col min="3336" max="3337" width="13.6640625" style="45" bestFit="1" customWidth="1"/>
    <col min="3338" max="3338" width="0.6640625" style="45" customWidth="1"/>
    <col min="3339" max="3340" width="12.33203125" style="45" bestFit="1" customWidth="1"/>
    <col min="3341" max="3341" width="13.6640625" style="45" bestFit="1" customWidth="1"/>
    <col min="3342" max="3584" width="8.88671875" style="45"/>
    <col min="3585" max="3585" width="7" style="45" bestFit="1" customWidth="1"/>
    <col min="3586" max="3586" width="40.5546875" style="45" bestFit="1" customWidth="1"/>
    <col min="3587" max="3589" width="13.6640625" style="45" bestFit="1" customWidth="1"/>
    <col min="3590" max="3590" width="0.5546875" style="45" customWidth="1"/>
    <col min="3591" max="3591" width="12.33203125" style="45" bestFit="1" customWidth="1"/>
    <col min="3592" max="3593" width="13.6640625" style="45" bestFit="1" customWidth="1"/>
    <col min="3594" max="3594" width="0.6640625" style="45" customWidth="1"/>
    <col min="3595" max="3596" width="12.33203125" style="45" bestFit="1" customWidth="1"/>
    <col min="3597" max="3597" width="13.6640625" style="45" bestFit="1" customWidth="1"/>
    <col min="3598" max="3840" width="8.88671875" style="45"/>
    <col min="3841" max="3841" width="7" style="45" bestFit="1" customWidth="1"/>
    <col min="3842" max="3842" width="40.5546875" style="45" bestFit="1" customWidth="1"/>
    <col min="3843" max="3845" width="13.6640625" style="45" bestFit="1" customWidth="1"/>
    <col min="3846" max="3846" width="0.5546875" style="45" customWidth="1"/>
    <col min="3847" max="3847" width="12.33203125" style="45" bestFit="1" customWidth="1"/>
    <col min="3848" max="3849" width="13.6640625" style="45" bestFit="1" customWidth="1"/>
    <col min="3850" max="3850" width="0.6640625" style="45" customWidth="1"/>
    <col min="3851" max="3852" width="12.33203125" style="45" bestFit="1" customWidth="1"/>
    <col min="3853" max="3853" width="13.6640625" style="45" bestFit="1" customWidth="1"/>
    <col min="3854" max="4096" width="8.88671875" style="45"/>
    <col min="4097" max="4097" width="7" style="45" bestFit="1" customWidth="1"/>
    <col min="4098" max="4098" width="40.5546875" style="45" bestFit="1" customWidth="1"/>
    <col min="4099" max="4101" width="13.6640625" style="45" bestFit="1" customWidth="1"/>
    <col min="4102" max="4102" width="0.5546875" style="45" customWidth="1"/>
    <col min="4103" max="4103" width="12.33203125" style="45" bestFit="1" customWidth="1"/>
    <col min="4104" max="4105" width="13.6640625" style="45" bestFit="1" customWidth="1"/>
    <col min="4106" max="4106" width="0.6640625" style="45" customWidth="1"/>
    <col min="4107" max="4108" width="12.33203125" style="45" bestFit="1" customWidth="1"/>
    <col min="4109" max="4109" width="13.6640625" style="45" bestFit="1" customWidth="1"/>
    <col min="4110" max="4352" width="8.88671875" style="45"/>
    <col min="4353" max="4353" width="7" style="45" bestFit="1" customWidth="1"/>
    <col min="4354" max="4354" width="40.5546875" style="45" bestFit="1" customWidth="1"/>
    <col min="4355" max="4357" width="13.6640625" style="45" bestFit="1" customWidth="1"/>
    <col min="4358" max="4358" width="0.5546875" style="45" customWidth="1"/>
    <col min="4359" max="4359" width="12.33203125" style="45" bestFit="1" customWidth="1"/>
    <col min="4360" max="4361" width="13.6640625" style="45" bestFit="1" customWidth="1"/>
    <col min="4362" max="4362" width="0.6640625" style="45" customWidth="1"/>
    <col min="4363" max="4364" width="12.33203125" style="45" bestFit="1" customWidth="1"/>
    <col min="4365" max="4365" width="13.6640625" style="45" bestFit="1" customWidth="1"/>
    <col min="4366" max="4608" width="8.88671875" style="45"/>
    <col min="4609" max="4609" width="7" style="45" bestFit="1" customWidth="1"/>
    <col min="4610" max="4610" width="40.5546875" style="45" bestFit="1" customWidth="1"/>
    <col min="4611" max="4613" width="13.6640625" style="45" bestFit="1" customWidth="1"/>
    <col min="4614" max="4614" width="0.5546875" style="45" customWidth="1"/>
    <col min="4615" max="4615" width="12.33203125" style="45" bestFit="1" customWidth="1"/>
    <col min="4616" max="4617" width="13.6640625" style="45" bestFit="1" customWidth="1"/>
    <col min="4618" max="4618" width="0.6640625" style="45" customWidth="1"/>
    <col min="4619" max="4620" width="12.33203125" style="45" bestFit="1" customWidth="1"/>
    <col min="4621" max="4621" width="13.6640625" style="45" bestFit="1" customWidth="1"/>
    <col min="4622" max="4864" width="8.88671875" style="45"/>
    <col min="4865" max="4865" width="7" style="45" bestFit="1" customWidth="1"/>
    <col min="4866" max="4866" width="40.5546875" style="45" bestFit="1" customWidth="1"/>
    <col min="4867" max="4869" width="13.6640625" style="45" bestFit="1" customWidth="1"/>
    <col min="4870" max="4870" width="0.5546875" style="45" customWidth="1"/>
    <col min="4871" max="4871" width="12.33203125" style="45" bestFit="1" customWidth="1"/>
    <col min="4872" max="4873" width="13.6640625" style="45" bestFit="1" customWidth="1"/>
    <col min="4874" max="4874" width="0.6640625" style="45" customWidth="1"/>
    <col min="4875" max="4876" width="12.33203125" style="45" bestFit="1" customWidth="1"/>
    <col min="4877" max="4877" width="13.6640625" style="45" bestFit="1" customWidth="1"/>
    <col min="4878" max="5120" width="8.88671875" style="45"/>
    <col min="5121" max="5121" width="7" style="45" bestFit="1" customWidth="1"/>
    <col min="5122" max="5122" width="40.5546875" style="45" bestFit="1" customWidth="1"/>
    <col min="5123" max="5125" width="13.6640625" style="45" bestFit="1" customWidth="1"/>
    <col min="5126" max="5126" width="0.5546875" style="45" customWidth="1"/>
    <col min="5127" max="5127" width="12.33203125" style="45" bestFit="1" customWidth="1"/>
    <col min="5128" max="5129" width="13.6640625" style="45" bestFit="1" customWidth="1"/>
    <col min="5130" max="5130" width="0.6640625" style="45" customWidth="1"/>
    <col min="5131" max="5132" width="12.33203125" style="45" bestFit="1" customWidth="1"/>
    <col min="5133" max="5133" width="13.6640625" style="45" bestFit="1" customWidth="1"/>
    <col min="5134" max="5376" width="8.88671875" style="45"/>
    <col min="5377" max="5377" width="7" style="45" bestFit="1" customWidth="1"/>
    <col min="5378" max="5378" width="40.5546875" style="45" bestFit="1" customWidth="1"/>
    <col min="5379" max="5381" width="13.6640625" style="45" bestFit="1" customWidth="1"/>
    <col min="5382" max="5382" width="0.5546875" style="45" customWidth="1"/>
    <col min="5383" max="5383" width="12.33203125" style="45" bestFit="1" customWidth="1"/>
    <col min="5384" max="5385" width="13.6640625" style="45" bestFit="1" customWidth="1"/>
    <col min="5386" max="5386" width="0.6640625" style="45" customWidth="1"/>
    <col min="5387" max="5388" width="12.33203125" style="45" bestFit="1" customWidth="1"/>
    <col min="5389" max="5389" width="13.6640625" style="45" bestFit="1" customWidth="1"/>
    <col min="5390" max="5632" width="8.88671875" style="45"/>
    <col min="5633" max="5633" width="7" style="45" bestFit="1" customWidth="1"/>
    <col min="5634" max="5634" width="40.5546875" style="45" bestFit="1" customWidth="1"/>
    <col min="5635" max="5637" width="13.6640625" style="45" bestFit="1" customWidth="1"/>
    <col min="5638" max="5638" width="0.5546875" style="45" customWidth="1"/>
    <col min="5639" max="5639" width="12.33203125" style="45" bestFit="1" customWidth="1"/>
    <col min="5640" max="5641" width="13.6640625" style="45" bestFit="1" customWidth="1"/>
    <col min="5642" max="5642" width="0.6640625" style="45" customWidth="1"/>
    <col min="5643" max="5644" width="12.33203125" style="45" bestFit="1" customWidth="1"/>
    <col min="5645" max="5645" width="13.6640625" style="45" bestFit="1" customWidth="1"/>
    <col min="5646" max="5888" width="8.88671875" style="45"/>
    <col min="5889" max="5889" width="7" style="45" bestFit="1" customWidth="1"/>
    <col min="5890" max="5890" width="40.5546875" style="45" bestFit="1" customWidth="1"/>
    <col min="5891" max="5893" width="13.6640625" style="45" bestFit="1" customWidth="1"/>
    <col min="5894" max="5894" width="0.5546875" style="45" customWidth="1"/>
    <col min="5895" max="5895" width="12.33203125" style="45" bestFit="1" customWidth="1"/>
    <col min="5896" max="5897" width="13.6640625" style="45" bestFit="1" customWidth="1"/>
    <col min="5898" max="5898" width="0.6640625" style="45" customWidth="1"/>
    <col min="5899" max="5900" width="12.33203125" style="45" bestFit="1" customWidth="1"/>
    <col min="5901" max="5901" width="13.6640625" style="45" bestFit="1" customWidth="1"/>
    <col min="5902" max="6144" width="8.88671875" style="45"/>
    <col min="6145" max="6145" width="7" style="45" bestFit="1" customWidth="1"/>
    <col min="6146" max="6146" width="40.5546875" style="45" bestFit="1" customWidth="1"/>
    <col min="6147" max="6149" width="13.6640625" style="45" bestFit="1" customWidth="1"/>
    <col min="6150" max="6150" width="0.5546875" style="45" customWidth="1"/>
    <col min="6151" max="6151" width="12.33203125" style="45" bestFit="1" customWidth="1"/>
    <col min="6152" max="6153" width="13.6640625" style="45" bestFit="1" customWidth="1"/>
    <col min="6154" max="6154" width="0.6640625" style="45" customWidth="1"/>
    <col min="6155" max="6156" width="12.33203125" style="45" bestFit="1" customWidth="1"/>
    <col min="6157" max="6157" width="13.6640625" style="45" bestFit="1" customWidth="1"/>
    <col min="6158" max="6400" width="8.88671875" style="45"/>
    <col min="6401" max="6401" width="7" style="45" bestFit="1" customWidth="1"/>
    <col min="6402" max="6402" width="40.5546875" style="45" bestFit="1" customWidth="1"/>
    <col min="6403" max="6405" width="13.6640625" style="45" bestFit="1" customWidth="1"/>
    <col min="6406" max="6406" width="0.5546875" style="45" customWidth="1"/>
    <col min="6407" max="6407" width="12.33203125" style="45" bestFit="1" customWidth="1"/>
    <col min="6408" max="6409" width="13.6640625" style="45" bestFit="1" customWidth="1"/>
    <col min="6410" max="6410" width="0.6640625" style="45" customWidth="1"/>
    <col min="6411" max="6412" width="12.33203125" style="45" bestFit="1" customWidth="1"/>
    <col min="6413" max="6413" width="13.6640625" style="45" bestFit="1" customWidth="1"/>
    <col min="6414" max="6656" width="8.88671875" style="45"/>
    <col min="6657" max="6657" width="7" style="45" bestFit="1" customWidth="1"/>
    <col min="6658" max="6658" width="40.5546875" style="45" bestFit="1" customWidth="1"/>
    <col min="6659" max="6661" width="13.6640625" style="45" bestFit="1" customWidth="1"/>
    <col min="6662" max="6662" width="0.5546875" style="45" customWidth="1"/>
    <col min="6663" max="6663" width="12.33203125" style="45" bestFit="1" customWidth="1"/>
    <col min="6664" max="6665" width="13.6640625" style="45" bestFit="1" customWidth="1"/>
    <col min="6666" max="6666" width="0.6640625" style="45" customWidth="1"/>
    <col min="6667" max="6668" width="12.33203125" style="45" bestFit="1" customWidth="1"/>
    <col min="6669" max="6669" width="13.6640625" style="45" bestFit="1" customWidth="1"/>
    <col min="6670" max="6912" width="8.88671875" style="45"/>
    <col min="6913" max="6913" width="7" style="45" bestFit="1" customWidth="1"/>
    <col min="6914" max="6914" width="40.5546875" style="45" bestFit="1" customWidth="1"/>
    <col min="6915" max="6917" width="13.6640625" style="45" bestFit="1" customWidth="1"/>
    <col min="6918" max="6918" width="0.5546875" style="45" customWidth="1"/>
    <col min="6919" max="6919" width="12.33203125" style="45" bestFit="1" customWidth="1"/>
    <col min="6920" max="6921" width="13.6640625" style="45" bestFit="1" customWidth="1"/>
    <col min="6922" max="6922" width="0.6640625" style="45" customWidth="1"/>
    <col min="6923" max="6924" width="12.33203125" style="45" bestFit="1" customWidth="1"/>
    <col min="6925" max="6925" width="13.6640625" style="45" bestFit="1" customWidth="1"/>
    <col min="6926" max="7168" width="8.88671875" style="45"/>
    <col min="7169" max="7169" width="7" style="45" bestFit="1" customWidth="1"/>
    <col min="7170" max="7170" width="40.5546875" style="45" bestFit="1" customWidth="1"/>
    <col min="7171" max="7173" width="13.6640625" style="45" bestFit="1" customWidth="1"/>
    <col min="7174" max="7174" width="0.5546875" style="45" customWidth="1"/>
    <col min="7175" max="7175" width="12.33203125" style="45" bestFit="1" customWidth="1"/>
    <col min="7176" max="7177" width="13.6640625" style="45" bestFit="1" customWidth="1"/>
    <col min="7178" max="7178" width="0.6640625" style="45" customWidth="1"/>
    <col min="7179" max="7180" width="12.33203125" style="45" bestFit="1" customWidth="1"/>
    <col min="7181" max="7181" width="13.6640625" style="45" bestFit="1" customWidth="1"/>
    <col min="7182" max="7424" width="8.88671875" style="45"/>
    <col min="7425" max="7425" width="7" style="45" bestFit="1" customWidth="1"/>
    <col min="7426" max="7426" width="40.5546875" style="45" bestFit="1" customWidth="1"/>
    <col min="7427" max="7429" width="13.6640625" style="45" bestFit="1" customWidth="1"/>
    <col min="7430" max="7430" width="0.5546875" style="45" customWidth="1"/>
    <col min="7431" max="7431" width="12.33203125" style="45" bestFit="1" customWidth="1"/>
    <col min="7432" max="7433" width="13.6640625" style="45" bestFit="1" customWidth="1"/>
    <col min="7434" max="7434" width="0.6640625" style="45" customWidth="1"/>
    <col min="7435" max="7436" width="12.33203125" style="45" bestFit="1" customWidth="1"/>
    <col min="7437" max="7437" width="13.6640625" style="45" bestFit="1" customWidth="1"/>
    <col min="7438" max="7680" width="8.88671875" style="45"/>
    <col min="7681" max="7681" width="7" style="45" bestFit="1" customWidth="1"/>
    <col min="7682" max="7682" width="40.5546875" style="45" bestFit="1" customWidth="1"/>
    <col min="7683" max="7685" width="13.6640625" style="45" bestFit="1" customWidth="1"/>
    <col min="7686" max="7686" width="0.5546875" style="45" customWidth="1"/>
    <col min="7687" max="7687" width="12.33203125" style="45" bestFit="1" customWidth="1"/>
    <col min="7688" max="7689" width="13.6640625" style="45" bestFit="1" customWidth="1"/>
    <col min="7690" max="7690" width="0.6640625" style="45" customWidth="1"/>
    <col min="7691" max="7692" width="12.33203125" style="45" bestFit="1" customWidth="1"/>
    <col min="7693" max="7693" width="13.6640625" style="45" bestFit="1" customWidth="1"/>
    <col min="7694" max="7936" width="8.88671875" style="45"/>
    <col min="7937" max="7937" width="7" style="45" bestFit="1" customWidth="1"/>
    <col min="7938" max="7938" width="40.5546875" style="45" bestFit="1" customWidth="1"/>
    <col min="7939" max="7941" width="13.6640625" style="45" bestFit="1" customWidth="1"/>
    <col min="7942" max="7942" width="0.5546875" style="45" customWidth="1"/>
    <col min="7943" max="7943" width="12.33203125" style="45" bestFit="1" customWidth="1"/>
    <col min="7944" max="7945" width="13.6640625" style="45" bestFit="1" customWidth="1"/>
    <col min="7946" max="7946" width="0.6640625" style="45" customWidth="1"/>
    <col min="7947" max="7948" width="12.33203125" style="45" bestFit="1" customWidth="1"/>
    <col min="7949" max="7949" width="13.6640625" style="45" bestFit="1" customWidth="1"/>
    <col min="7950" max="8192" width="8.88671875" style="45"/>
    <col min="8193" max="8193" width="7" style="45" bestFit="1" customWidth="1"/>
    <col min="8194" max="8194" width="40.5546875" style="45" bestFit="1" customWidth="1"/>
    <col min="8195" max="8197" width="13.6640625" style="45" bestFit="1" customWidth="1"/>
    <col min="8198" max="8198" width="0.5546875" style="45" customWidth="1"/>
    <col min="8199" max="8199" width="12.33203125" style="45" bestFit="1" customWidth="1"/>
    <col min="8200" max="8201" width="13.6640625" style="45" bestFit="1" customWidth="1"/>
    <col min="8202" max="8202" width="0.6640625" style="45" customWidth="1"/>
    <col min="8203" max="8204" width="12.33203125" style="45" bestFit="1" customWidth="1"/>
    <col min="8205" max="8205" width="13.6640625" style="45" bestFit="1" customWidth="1"/>
    <col min="8206" max="8448" width="8.88671875" style="45"/>
    <col min="8449" max="8449" width="7" style="45" bestFit="1" customWidth="1"/>
    <col min="8450" max="8450" width="40.5546875" style="45" bestFit="1" customWidth="1"/>
    <col min="8451" max="8453" width="13.6640625" style="45" bestFit="1" customWidth="1"/>
    <col min="8454" max="8454" width="0.5546875" style="45" customWidth="1"/>
    <col min="8455" max="8455" width="12.33203125" style="45" bestFit="1" customWidth="1"/>
    <col min="8456" max="8457" width="13.6640625" style="45" bestFit="1" customWidth="1"/>
    <col min="8458" max="8458" width="0.6640625" style="45" customWidth="1"/>
    <col min="8459" max="8460" width="12.33203125" style="45" bestFit="1" customWidth="1"/>
    <col min="8461" max="8461" width="13.6640625" style="45" bestFit="1" customWidth="1"/>
    <col min="8462" max="8704" width="8.88671875" style="45"/>
    <col min="8705" max="8705" width="7" style="45" bestFit="1" customWidth="1"/>
    <col min="8706" max="8706" width="40.5546875" style="45" bestFit="1" customWidth="1"/>
    <col min="8707" max="8709" width="13.6640625" style="45" bestFit="1" customWidth="1"/>
    <col min="8710" max="8710" width="0.5546875" style="45" customWidth="1"/>
    <col min="8711" max="8711" width="12.33203125" style="45" bestFit="1" customWidth="1"/>
    <col min="8712" max="8713" width="13.6640625" style="45" bestFit="1" customWidth="1"/>
    <col min="8714" max="8714" width="0.6640625" style="45" customWidth="1"/>
    <col min="8715" max="8716" width="12.33203125" style="45" bestFit="1" customWidth="1"/>
    <col min="8717" max="8717" width="13.6640625" style="45" bestFit="1" customWidth="1"/>
    <col min="8718" max="8960" width="8.88671875" style="45"/>
    <col min="8961" max="8961" width="7" style="45" bestFit="1" customWidth="1"/>
    <col min="8962" max="8962" width="40.5546875" style="45" bestFit="1" customWidth="1"/>
    <col min="8963" max="8965" width="13.6640625" style="45" bestFit="1" customWidth="1"/>
    <col min="8966" max="8966" width="0.5546875" style="45" customWidth="1"/>
    <col min="8967" max="8967" width="12.33203125" style="45" bestFit="1" customWidth="1"/>
    <col min="8968" max="8969" width="13.6640625" style="45" bestFit="1" customWidth="1"/>
    <col min="8970" max="8970" width="0.6640625" style="45" customWidth="1"/>
    <col min="8971" max="8972" width="12.33203125" style="45" bestFit="1" customWidth="1"/>
    <col min="8973" max="8973" width="13.6640625" style="45" bestFit="1" customWidth="1"/>
    <col min="8974" max="9216" width="8.88671875" style="45"/>
    <col min="9217" max="9217" width="7" style="45" bestFit="1" customWidth="1"/>
    <col min="9218" max="9218" width="40.5546875" style="45" bestFit="1" customWidth="1"/>
    <col min="9219" max="9221" width="13.6640625" style="45" bestFit="1" customWidth="1"/>
    <col min="9222" max="9222" width="0.5546875" style="45" customWidth="1"/>
    <col min="9223" max="9223" width="12.33203125" style="45" bestFit="1" customWidth="1"/>
    <col min="9224" max="9225" width="13.6640625" style="45" bestFit="1" customWidth="1"/>
    <col min="9226" max="9226" width="0.6640625" style="45" customWidth="1"/>
    <col min="9227" max="9228" width="12.33203125" style="45" bestFit="1" customWidth="1"/>
    <col min="9229" max="9229" width="13.6640625" style="45" bestFit="1" customWidth="1"/>
    <col min="9230" max="9472" width="8.88671875" style="45"/>
    <col min="9473" max="9473" width="7" style="45" bestFit="1" customWidth="1"/>
    <col min="9474" max="9474" width="40.5546875" style="45" bestFit="1" customWidth="1"/>
    <col min="9475" max="9477" width="13.6640625" style="45" bestFit="1" customWidth="1"/>
    <col min="9478" max="9478" width="0.5546875" style="45" customWidth="1"/>
    <col min="9479" max="9479" width="12.33203125" style="45" bestFit="1" customWidth="1"/>
    <col min="9480" max="9481" width="13.6640625" style="45" bestFit="1" customWidth="1"/>
    <col min="9482" max="9482" width="0.6640625" style="45" customWidth="1"/>
    <col min="9483" max="9484" width="12.33203125" style="45" bestFit="1" customWidth="1"/>
    <col min="9485" max="9485" width="13.6640625" style="45" bestFit="1" customWidth="1"/>
    <col min="9486" max="9728" width="8.88671875" style="45"/>
    <col min="9729" max="9729" width="7" style="45" bestFit="1" customWidth="1"/>
    <col min="9730" max="9730" width="40.5546875" style="45" bestFit="1" customWidth="1"/>
    <col min="9731" max="9733" width="13.6640625" style="45" bestFit="1" customWidth="1"/>
    <col min="9734" max="9734" width="0.5546875" style="45" customWidth="1"/>
    <col min="9735" max="9735" width="12.33203125" style="45" bestFit="1" customWidth="1"/>
    <col min="9736" max="9737" width="13.6640625" style="45" bestFit="1" customWidth="1"/>
    <col min="9738" max="9738" width="0.6640625" style="45" customWidth="1"/>
    <col min="9739" max="9740" width="12.33203125" style="45" bestFit="1" customWidth="1"/>
    <col min="9741" max="9741" width="13.6640625" style="45" bestFit="1" customWidth="1"/>
    <col min="9742" max="9984" width="8.88671875" style="45"/>
    <col min="9985" max="9985" width="7" style="45" bestFit="1" customWidth="1"/>
    <col min="9986" max="9986" width="40.5546875" style="45" bestFit="1" customWidth="1"/>
    <col min="9987" max="9989" width="13.6640625" style="45" bestFit="1" customWidth="1"/>
    <col min="9990" max="9990" width="0.5546875" style="45" customWidth="1"/>
    <col min="9991" max="9991" width="12.33203125" style="45" bestFit="1" customWidth="1"/>
    <col min="9992" max="9993" width="13.6640625" style="45" bestFit="1" customWidth="1"/>
    <col min="9994" max="9994" width="0.6640625" style="45" customWidth="1"/>
    <col min="9995" max="9996" width="12.33203125" style="45" bestFit="1" customWidth="1"/>
    <col min="9997" max="9997" width="13.6640625" style="45" bestFit="1" customWidth="1"/>
    <col min="9998" max="10240" width="8.88671875" style="45"/>
    <col min="10241" max="10241" width="7" style="45" bestFit="1" customWidth="1"/>
    <col min="10242" max="10242" width="40.5546875" style="45" bestFit="1" customWidth="1"/>
    <col min="10243" max="10245" width="13.6640625" style="45" bestFit="1" customWidth="1"/>
    <col min="10246" max="10246" width="0.5546875" style="45" customWidth="1"/>
    <col min="10247" max="10247" width="12.33203125" style="45" bestFit="1" customWidth="1"/>
    <col min="10248" max="10249" width="13.6640625" style="45" bestFit="1" customWidth="1"/>
    <col min="10250" max="10250" width="0.6640625" style="45" customWidth="1"/>
    <col min="10251" max="10252" width="12.33203125" style="45" bestFit="1" customWidth="1"/>
    <col min="10253" max="10253" width="13.6640625" style="45" bestFit="1" customWidth="1"/>
    <col min="10254" max="10496" width="8.88671875" style="45"/>
    <col min="10497" max="10497" width="7" style="45" bestFit="1" customWidth="1"/>
    <col min="10498" max="10498" width="40.5546875" style="45" bestFit="1" customWidth="1"/>
    <col min="10499" max="10501" width="13.6640625" style="45" bestFit="1" customWidth="1"/>
    <col min="10502" max="10502" width="0.5546875" style="45" customWidth="1"/>
    <col min="10503" max="10503" width="12.33203125" style="45" bestFit="1" customWidth="1"/>
    <col min="10504" max="10505" width="13.6640625" style="45" bestFit="1" customWidth="1"/>
    <col min="10506" max="10506" width="0.6640625" style="45" customWidth="1"/>
    <col min="10507" max="10508" width="12.33203125" style="45" bestFit="1" customWidth="1"/>
    <col min="10509" max="10509" width="13.6640625" style="45" bestFit="1" customWidth="1"/>
    <col min="10510" max="10752" width="8.88671875" style="45"/>
    <col min="10753" max="10753" width="7" style="45" bestFit="1" customWidth="1"/>
    <col min="10754" max="10754" width="40.5546875" style="45" bestFit="1" customWidth="1"/>
    <col min="10755" max="10757" width="13.6640625" style="45" bestFit="1" customWidth="1"/>
    <col min="10758" max="10758" width="0.5546875" style="45" customWidth="1"/>
    <col min="10759" max="10759" width="12.33203125" style="45" bestFit="1" customWidth="1"/>
    <col min="10760" max="10761" width="13.6640625" style="45" bestFit="1" customWidth="1"/>
    <col min="10762" max="10762" width="0.6640625" style="45" customWidth="1"/>
    <col min="10763" max="10764" width="12.33203125" style="45" bestFit="1" customWidth="1"/>
    <col min="10765" max="10765" width="13.6640625" style="45" bestFit="1" customWidth="1"/>
    <col min="10766" max="11008" width="8.88671875" style="45"/>
    <col min="11009" max="11009" width="7" style="45" bestFit="1" customWidth="1"/>
    <col min="11010" max="11010" width="40.5546875" style="45" bestFit="1" customWidth="1"/>
    <col min="11011" max="11013" width="13.6640625" style="45" bestFit="1" customWidth="1"/>
    <col min="11014" max="11014" width="0.5546875" style="45" customWidth="1"/>
    <col min="11015" max="11015" width="12.33203125" style="45" bestFit="1" customWidth="1"/>
    <col min="11016" max="11017" width="13.6640625" style="45" bestFit="1" customWidth="1"/>
    <col min="11018" max="11018" width="0.6640625" style="45" customWidth="1"/>
    <col min="11019" max="11020" width="12.33203125" style="45" bestFit="1" customWidth="1"/>
    <col min="11021" max="11021" width="13.6640625" style="45" bestFit="1" customWidth="1"/>
    <col min="11022" max="11264" width="8.88671875" style="45"/>
    <col min="11265" max="11265" width="7" style="45" bestFit="1" customWidth="1"/>
    <col min="11266" max="11266" width="40.5546875" style="45" bestFit="1" customWidth="1"/>
    <col min="11267" max="11269" width="13.6640625" style="45" bestFit="1" customWidth="1"/>
    <col min="11270" max="11270" width="0.5546875" style="45" customWidth="1"/>
    <col min="11271" max="11271" width="12.33203125" style="45" bestFit="1" customWidth="1"/>
    <col min="11272" max="11273" width="13.6640625" style="45" bestFit="1" customWidth="1"/>
    <col min="11274" max="11274" width="0.6640625" style="45" customWidth="1"/>
    <col min="11275" max="11276" width="12.33203125" style="45" bestFit="1" customWidth="1"/>
    <col min="11277" max="11277" width="13.6640625" style="45" bestFit="1" customWidth="1"/>
    <col min="11278" max="11520" width="8.88671875" style="45"/>
    <col min="11521" max="11521" width="7" style="45" bestFit="1" customWidth="1"/>
    <col min="11522" max="11522" width="40.5546875" style="45" bestFit="1" customWidth="1"/>
    <col min="11523" max="11525" width="13.6640625" style="45" bestFit="1" customWidth="1"/>
    <col min="11526" max="11526" width="0.5546875" style="45" customWidth="1"/>
    <col min="11527" max="11527" width="12.33203125" style="45" bestFit="1" customWidth="1"/>
    <col min="11528" max="11529" width="13.6640625" style="45" bestFit="1" customWidth="1"/>
    <col min="11530" max="11530" width="0.6640625" style="45" customWidth="1"/>
    <col min="11531" max="11532" width="12.33203125" style="45" bestFit="1" customWidth="1"/>
    <col min="11533" max="11533" width="13.6640625" style="45" bestFit="1" customWidth="1"/>
    <col min="11534" max="11776" width="8.88671875" style="45"/>
    <col min="11777" max="11777" width="7" style="45" bestFit="1" customWidth="1"/>
    <col min="11778" max="11778" width="40.5546875" style="45" bestFit="1" customWidth="1"/>
    <col min="11779" max="11781" width="13.6640625" style="45" bestFit="1" customWidth="1"/>
    <col min="11782" max="11782" width="0.5546875" style="45" customWidth="1"/>
    <col min="11783" max="11783" width="12.33203125" style="45" bestFit="1" customWidth="1"/>
    <col min="11784" max="11785" width="13.6640625" style="45" bestFit="1" customWidth="1"/>
    <col min="11786" max="11786" width="0.6640625" style="45" customWidth="1"/>
    <col min="11787" max="11788" width="12.33203125" style="45" bestFit="1" customWidth="1"/>
    <col min="11789" max="11789" width="13.6640625" style="45" bestFit="1" customWidth="1"/>
    <col min="11790" max="12032" width="8.88671875" style="45"/>
    <col min="12033" max="12033" width="7" style="45" bestFit="1" customWidth="1"/>
    <col min="12034" max="12034" width="40.5546875" style="45" bestFit="1" customWidth="1"/>
    <col min="12035" max="12037" width="13.6640625" style="45" bestFit="1" customWidth="1"/>
    <col min="12038" max="12038" width="0.5546875" style="45" customWidth="1"/>
    <col min="12039" max="12039" width="12.33203125" style="45" bestFit="1" customWidth="1"/>
    <col min="12040" max="12041" width="13.6640625" style="45" bestFit="1" customWidth="1"/>
    <col min="12042" max="12042" width="0.6640625" style="45" customWidth="1"/>
    <col min="12043" max="12044" width="12.33203125" style="45" bestFit="1" customWidth="1"/>
    <col min="12045" max="12045" width="13.6640625" style="45" bestFit="1" customWidth="1"/>
    <col min="12046" max="12288" width="8.88671875" style="45"/>
    <col min="12289" max="12289" width="7" style="45" bestFit="1" customWidth="1"/>
    <col min="12290" max="12290" width="40.5546875" style="45" bestFit="1" customWidth="1"/>
    <col min="12291" max="12293" width="13.6640625" style="45" bestFit="1" customWidth="1"/>
    <col min="12294" max="12294" width="0.5546875" style="45" customWidth="1"/>
    <col min="12295" max="12295" width="12.33203125" style="45" bestFit="1" customWidth="1"/>
    <col min="12296" max="12297" width="13.6640625" style="45" bestFit="1" customWidth="1"/>
    <col min="12298" max="12298" width="0.6640625" style="45" customWidth="1"/>
    <col min="12299" max="12300" width="12.33203125" style="45" bestFit="1" customWidth="1"/>
    <col min="12301" max="12301" width="13.6640625" style="45" bestFit="1" customWidth="1"/>
    <col min="12302" max="12544" width="8.88671875" style="45"/>
    <col min="12545" max="12545" width="7" style="45" bestFit="1" customWidth="1"/>
    <col min="12546" max="12546" width="40.5546875" style="45" bestFit="1" customWidth="1"/>
    <col min="12547" max="12549" width="13.6640625" style="45" bestFit="1" customWidth="1"/>
    <col min="12550" max="12550" width="0.5546875" style="45" customWidth="1"/>
    <col min="12551" max="12551" width="12.33203125" style="45" bestFit="1" customWidth="1"/>
    <col min="12552" max="12553" width="13.6640625" style="45" bestFit="1" customWidth="1"/>
    <col min="12554" max="12554" width="0.6640625" style="45" customWidth="1"/>
    <col min="12555" max="12556" width="12.33203125" style="45" bestFit="1" customWidth="1"/>
    <col min="12557" max="12557" width="13.6640625" style="45" bestFit="1" customWidth="1"/>
    <col min="12558" max="12800" width="8.88671875" style="45"/>
    <col min="12801" max="12801" width="7" style="45" bestFit="1" customWidth="1"/>
    <col min="12802" max="12802" width="40.5546875" style="45" bestFit="1" customWidth="1"/>
    <col min="12803" max="12805" width="13.6640625" style="45" bestFit="1" customWidth="1"/>
    <col min="12806" max="12806" width="0.5546875" style="45" customWidth="1"/>
    <col min="12807" max="12807" width="12.33203125" style="45" bestFit="1" customWidth="1"/>
    <col min="12808" max="12809" width="13.6640625" style="45" bestFit="1" customWidth="1"/>
    <col min="12810" max="12810" width="0.6640625" style="45" customWidth="1"/>
    <col min="12811" max="12812" width="12.33203125" style="45" bestFit="1" customWidth="1"/>
    <col min="12813" max="12813" width="13.6640625" style="45" bestFit="1" customWidth="1"/>
    <col min="12814" max="13056" width="8.88671875" style="45"/>
    <col min="13057" max="13057" width="7" style="45" bestFit="1" customWidth="1"/>
    <col min="13058" max="13058" width="40.5546875" style="45" bestFit="1" customWidth="1"/>
    <col min="13059" max="13061" width="13.6640625" style="45" bestFit="1" customWidth="1"/>
    <col min="13062" max="13062" width="0.5546875" style="45" customWidth="1"/>
    <col min="13063" max="13063" width="12.33203125" style="45" bestFit="1" customWidth="1"/>
    <col min="13064" max="13065" width="13.6640625" style="45" bestFit="1" customWidth="1"/>
    <col min="13066" max="13066" width="0.6640625" style="45" customWidth="1"/>
    <col min="13067" max="13068" width="12.33203125" style="45" bestFit="1" customWidth="1"/>
    <col min="13069" max="13069" width="13.6640625" style="45" bestFit="1" customWidth="1"/>
    <col min="13070" max="13312" width="8.88671875" style="45"/>
    <col min="13313" max="13313" width="7" style="45" bestFit="1" customWidth="1"/>
    <col min="13314" max="13314" width="40.5546875" style="45" bestFit="1" customWidth="1"/>
    <col min="13315" max="13317" width="13.6640625" style="45" bestFit="1" customWidth="1"/>
    <col min="13318" max="13318" width="0.5546875" style="45" customWidth="1"/>
    <col min="13319" max="13319" width="12.33203125" style="45" bestFit="1" customWidth="1"/>
    <col min="13320" max="13321" width="13.6640625" style="45" bestFit="1" customWidth="1"/>
    <col min="13322" max="13322" width="0.6640625" style="45" customWidth="1"/>
    <col min="13323" max="13324" width="12.33203125" style="45" bestFit="1" customWidth="1"/>
    <col min="13325" max="13325" width="13.6640625" style="45" bestFit="1" customWidth="1"/>
    <col min="13326" max="13568" width="8.88671875" style="45"/>
    <col min="13569" max="13569" width="7" style="45" bestFit="1" customWidth="1"/>
    <col min="13570" max="13570" width="40.5546875" style="45" bestFit="1" customWidth="1"/>
    <col min="13571" max="13573" width="13.6640625" style="45" bestFit="1" customWidth="1"/>
    <col min="13574" max="13574" width="0.5546875" style="45" customWidth="1"/>
    <col min="13575" max="13575" width="12.33203125" style="45" bestFit="1" customWidth="1"/>
    <col min="13576" max="13577" width="13.6640625" style="45" bestFit="1" customWidth="1"/>
    <col min="13578" max="13578" width="0.6640625" style="45" customWidth="1"/>
    <col min="13579" max="13580" width="12.33203125" style="45" bestFit="1" customWidth="1"/>
    <col min="13581" max="13581" width="13.6640625" style="45" bestFit="1" customWidth="1"/>
    <col min="13582" max="13824" width="8.88671875" style="45"/>
    <col min="13825" max="13825" width="7" style="45" bestFit="1" customWidth="1"/>
    <col min="13826" max="13826" width="40.5546875" style="45" bestFit="1" customWidth="1"/>
    <col min="13827" max="13829" width="13.6640625" style="45" bestFit="1" customWidth="1"/>
    <col min="13830" max="13830" width="0.5546875" style="45" customWidth="1"/>
    <col min="13831" max="13831" width="12.33203125" style="45" bestFit="1" customWidth="1"/>
    <col min="13832" max="13833" width="13.6640625" style="45" bestFit="1" customWidth="1"/>
    <col min="13834" max="13834" width="0.6640625" style="45" customWidth="1"/>
    <col min="13835" max="13836" width="12.33203125" style="45" bestFit="1" customWidth="1"/>
    <col min="13837" max="13837" width="13.6640625" style="45" bestFit="1" customWidth="1"/>
    <col min="13838" max="14080" width="8.88671875" style="45"/>
    <col min="14081" max="14081" width="7" style="45" bestFit="1" customWidth="1"/>
    <col min="14082" max="14082" width="40.5546875" style="45" bestFit="1" customWidth="1"/>
    <col min="14083" max="14085" width="13.6640625" style="45" bestFit="1" customWidth="1"/>
    <col min="14086" max="14086" width="0.5546875" style="45" customWidth="1"/>
    <col min="14087" max="14087" width="12.33203125" style="45" bestFit="1" customWidth="1"/>
    <col min="14088" max="14089" width="13.6640625" style="45" bestFit="1" customWidth="1"/>
    <col min="14090" max="14090" width="0.6640625" style="45" customWidth="1"/>
    <col min="14091" max="14092" width="12.33203125" style="45" bestFit="1" customWidth="1"/>
    <col min="14093" max="14093" width="13.6640625" style="45" bestFit="1" customWidth="1"/>
    <col min="14094" max="14336" width="8.88671875" style="45"/>
    <col min="14337" max="14337" width="7" style="45" bestFit="1" customWidth="1"/>
    <col min="14338" max="14338" width="40.5546875" style="45" bestFit="1" customWidth="1"/>
    <col min="14339" max="14341" width="13.6640625" style="45" bestFit="1" customWidth="1"/>
    <col min="14342" max="14342" width="0.5546875" style="45" customWidth="1"/>
    <col min="14343" max="14343" width="12.33203125" style="45" bestFit="1" customWidth="1"/>
    <col min="14344" max="14345" width="13.6640625" style="45" bestFit="1" customWidth="1"/>
    <col min="14346" max="14346" width="0.6640625" style="45" customWidth="1"/>
    <col min="14347" max="14348" width="12.33203125" style="45" bestFit="1" customWidth="1"/>
    <col min="14349" max="14349" width="13.6640625" style="45" bestFit="1" customWidth="1"/>
    <col min="14350" max="14592" width="8.88671875" style="45"/>
    <col min="14593" max="14593" width="7" style="45" bestFit="1" customWidth="1"/>
    <col min="14594" max="14594" width="40.5546875" style="45" bestFit="1" customWidth="1"/>
    <col min="14595" max="14597" width="13.6640625" style="45" bestFit="1" customWidth="1"/>
    <col min="14598" max="14598" width="0.5546875" style="45" customWidth="1"/>
    <col min="14599" max="14599" width="12.33203125" style="45" bestFit="1" customWidth="1"/>
    <col min="14600" max="14601" width="13.6640625" style="45" bestFit="1" customWidth="1"/>
    <col min="14602" max="14602" width="0.6640625" style="45" customWidth="1"/>
    <col min="14603" max="14604" width="12.33203125" style="45" bestFit="1" customWidth="1"/>
    <col min="14605" max="14605" width="13.6640625" style="45" bestFit="1" customWidth="1"/>
    <col min="14606" max="14848" width="8.88671875" style="45"/>
    <col min="14849" max="14849" width="7" style="45" bestFit="1" customWidth="1"/>
    <col min="14850" max="14850" width="40.5546875" style="45" bestFit="1" customWidth="1"/>
    <col min="14851" max="14853" width="13.6640625" style="45" bestFit="1" customWidth="1"/>
    <col min="14854" max="14854" width="0.5546875" style="45" customWidth="1"/>
    <col min="14855" max="14855" width="12.33203125" style="45" bestFit="1" customWidth="1"/>
    <col min="14856" max="14857" width="13.6640625" style="45" bestFit="1" customWidth="1"/>
    <col min="14858" max="14858" width="0.6640625" style="45" customWidth="1"/>
    <col min="14859" max="14860" width="12.33203125" style="45" bestFit="1" customWidth="1"/>
    <col min="14861" max="14861" width="13.6640625" style="45" bestFit="1" customWidth="1"/>
    <col min="14862" max="15104" width="8.88671875" style="45"/>
    <col min="15105" max="15105" width="7" style="45" bestFit="1" customWidth="1"/>
    <col min="15106" max="15106" width="40.5546875" style="45" bestFit="1" customWidth="1"/>
    <col min="15107" max="15109" width="13.6640625" style="45" bestFit="1" customWidth="1"/>
    <col min="15110" max="15110" width="0.5546875" style="45" customWidth="1"/>
    <col min="15111" max="15111" width="12.33203125" style="45" bestFit="1" customWidth="1"/>
    <col min="15112" max="15113" width="13.6640625" style="45" bestFit="1" customWidth="1"/>
    <col min="15114" max="15114" width="0.6640625" style="45" customWidth="1"/>
    <col min="15115" max="15116" width="12.33203125" style="45" bestFit="1" customWidth="1"/>
    <col min="15117" max="15117" width="13.6640625" style="45" bestFit="1" customWidth="1"/>
    <col min="15118" max="15360" width="8.88671875" style="45"/>
    <col min="15361" max="15361" width="7" style="45" bestFit="1" customWidth="1"/>
    <col min="15362" max="15362" width="40.5546875" style="45" bestFit="1" customWidth="1"/>
    <col min="15363" max="15365" width="13.6640625" style="45" bestFit="1" customWidth="1"/>
    <col min="15366" max="15366" width="0.5546875" style="45" customWidth="1"/>
    <col min="15367" max="15367" width="12.33203125" style="45" bestFit="1" customWidth="1"/>
    <col min="15368" max="15369" width="13.6640625" style="45" bestFit="1" customWidth="1"/>
    <col min="15370" max="15370" width="0.6640625" style="45" customWidth="1"/>
    <col min="15371" max="15372" width="12.33203125" style="45" bestFit="1" customWidth="1"/>
    <col min="15373" max="15373" width="13.6640625" style="45" bestFit="1" customWidth="1"/>
    <col min="15374" max="15616" width="8.88671875" style="45"/>
    <col min="15617" max="15617" width="7" style="45" bestFit="1" customWidth="1"/>
    <col min="15618" max="15618" width="40.5546875" style="45" bestFit="1" customWidth="1"/>
    <col min="15619" max="15621" width="13.6640625" style="45" bestFit="1" customWidth="1"/>
    <col min="15622" max="15622" width="0.5546875" style="45" customWidth="1"/>
    <col min="15623" max="15623" width="12.33203125" style="45" bestFit="1" customWidth="1"/>
    <col min="15624" max="15625" width="13.6640625" style="45" bestFit="1" customWidth="1"/>
    <col min="15626" max="15626" width="0.6640625" style="45" customWidth="1"/>
    <col min="15627" max="15628" width="12.33203125" style="45" bestFit="1" customWidth="1"/>
    <col min="15629" max="15629" width="13.6640625" style="45" bestFit="1" customWidth="1"/>
    <col min="15630" max="15872" width="8.88671875" style="45"/>
    <col min="15873" max="15873" width="7" style="45" bestFit="1" customWidth="1"/>
    <col min="15874" max="15874" width="40.5546875" style="45" bestFit="1" customWidth="1"/>
    <col min="15875" max="15877" width="13.6640625" style="45" bestFit="1" customWidth="1"/>
    <col min="15878" max="15878" width="0.5546875" style="45" customWidth="1"/>
    <col min="15879" max="15879" width="12.33203125" style="45" bestFit="1" customWidth="1"/>
    <col min="15880" max="15881" width="13.6640625" style="45" bestFit="1" customWidth="1"/>
    <col min="15882" max="15882" width="0.6640625" style="45" customWidth="1"/>
    <col min="15883" max="15884" width="12.33203125" style="45" bestFit="1" customWidth="1"/>
    <col min="15885" max="15885" width="13.6640625" style="45" bestFit="1" customWidth="1"/>
    <col min="15886" max="16128" width="8.88671875" style="45"/>
    <col min="16129" max="16129" width="7" style="45" bestFit="1" customWidth="1"/>
    <col min="16130" max="16130" width="40.5546875" style="45" bestFit="1" customWidth="1"/>
    <col min="16131" max="16133" width="13.6640625" style="45" bestFit="1" customWidth="1"/>
    <col min="16134" max="16134" width="0.5546875" style="45" customWidth="1"/>
    <col min="16135" max="16135" width="12.33203125" style="45" bestFit="1" customWidth="1"/>
    <col min="16136" max="16137" width="13.6640625" style="45" bestFit="1" customWidth="1"/>
    <col min="16138" max="16138" width="0.6640625" style="45" customWidth="1"/>
    <col min="16139" max="16140" width="12.33203125" style="45" bestFit="1" customWidth="1"/>
    <col min="16141" max="16141" width="13.6640625" style="45" bestFit="1" customWidth="1"/>
    <col min="16142" max="16384" width="8.88671875" style="45"/>
  </cols>
  <sheetData>
    <row r="1" spans="1:13" ht="13.8" thickBot="1"/>
    <row r="2" spans="1:13" ht="13.8" thickBot="1">
      <c r="C2" s="190" t="s">
        <v>4</v>
      </c>
      <c r="D2" s="191"/>
      <c r="E2" s="192"/>
      <c r="G2" s="190" t="s">
        <v>105</v>
      </c>
      <c r="H2" s="191"/>
      <c r="I2" s="192"/>
      <c r="K2" s="190" t="s">
        <v>152</v>
      </c>
      <c r="L2" s="191"/>
      <c r="M2" s="192"/>
    </row>
    <row r="3" spans="1:13">
      <c r="A3" s="45" t="s">
        <v>194</v>
      </c>
      <c r="C3" s="141" t="s">
        <v>38</v>
      </c>
      <c r="D3" s="141" t="s">
        <v>195</v>
      </c>
      <c r="E3" s="141" t="s">
        <v>70</v>
      </c>
      <c r="F3" s="141"/>
      <c r="G3" s="141" t="s">
        <v>38</v>
      </c>
      <c r="H3" s="141" t="s">
        <v>195</v>
      </c>
      <c r="I3" s="141" t="s">
        <v>70</v>
      </c>
      <c r="J3" s="141"/>
      <c r="K3" s="141" t="s">
        <v>38</v>
      </c>
      <c r="L3" s="141" t="s">
        <v>195</v>
      </c>
      <c r="M3" s="141" t="s">
        <v>70</v>
      </c>
    </row>
    <row r="4" spans="1:13">
      <c r="A4" s="146">
        <v>302000</v>
      </c>
      <c r="B4" s="147" t="s">
        <v>199</v>
      </c>
      <c r="C4" s="144">
        <f t="shared" ref="C4:D7" si="0">SUM(G4,K4)</f>
        <v>0</v>
      </c>
      <c r="D4" s="144">
        <f t="shared" si="0"/>
        <v>0</v>
      </c>
      <c r="E4" s="144">
        <f>SUM(C4:D4)</f>
        <v>0</v>
      </c>
      <c r="F4" s="144"/>
      <c r="G4" s="145">
        <v>0</v>
      </c>
      <c r="H4" s="145">
        <v>0</v>
      </c>
      <c r="I4" s="144">
        <f>SUM(G4:H4)</f>
        <v>0</v>
      </c>
      <c r="J4" s="144"/>
      <c r="K4" s="145">
        <v>0</v>
      </c>
      <c r="L4" s="145">
        <v>0</v>
      </c>
      <c r="M4" s="144">
        <f>SUM(K4:L4)</f>
        <v>0</v>
      </c>
    </row>
    <row r="5" spans="1:13">
      <c r="A5" s="146">
        <v>303000</v>
      </c>
      <c r="B5" s="143" t="s">
        <v>200</v>
      </c>
      <c r="C5" s="144">
        <f t="shared" si="0"/>
        <v>1186305</v>
      </c>
      <c r="D5" s="144">
        <f t="shared" si="0"/>
        <v>1402559</v>
      </c>
      <c r="E5" s="144">
        <f>SUM(C5:D5)</f>
        <v>2588864</v>
      </c>
      <c r="F5" s="144"/>
      <c r="G5" s="145">
        <v>1005268</v>
      </c>
      <c r="H5" s="145">
        <v>992423</v>
      </c>
      <c r="I5" s="144">
        <f>SUM(G5:H5)</f>
        <v>1997691</v>
      </c>
      <c r="J5" s="144"/>
      <c r="K5" s="145">
        <v>181037</v>
      </c>
      <c r="L5" s="145">
        <v>410136</v>
      </c>
      <c r="M5" s="144">
        <f>SUM(K5:L5)</f>
        <v>591173</v>
      </c>
    </row>
    <row r="6" spans="1:13">
      <c r="A6" s="146" t="s">
        <v>208</v>
      </c>
      <c r="B6" s="147" t="s">
        <v>201</v>
      </c>
      <c r="C6" s="144">
        <f t="shared" si="0"/>
        <v>11459</v>
      </c>
      <c r="D6" s="144">
        <f t="shared" si="0"/>
        <v>13825540</v>
      </c>
      <c r="E6" s="144">
        <f>SUM(C6:D6)</f>
        <v>13836999</v>
      </c>
      <c r="F6" s="144"/>
      <c r="G6" s="145">
        <v>0</v>
      </c>
      <c r="H6" s="145">
        <v>9782675</v>
      </c>
      <c r="I6" s="144">
        <f>SUM(G6:H6)</f>
        <v>9782675</v>
      </c>
      <c r="J6" s="144"/>
      <c r="K6" s="145">
        <v>11459</v>
      </c>
      <c r="L6" s="145">
        <v>4042865</v>
      </c>
      <c r="M6" s="144">
        <f>SUM(K6:L6)</f>
        <v>4054324</v>
      </c>
    </row>
    <row r="7" spans="1:13">
      <c r="A7" s="146">
        <v>303110</v>
      </c>
      <c r="B7" s="147" t="s">
        <v>202</v>
      </c>
      <c r="C7" s="144">
        <f t="shared" si="0"/>
        <v>0</v>
      </c>
      <c r="D7" s="144">
        <f t="shared" si="0"/>
        <v>0</v>
      </c>
      <c r="E7" s="144">
        <f>SUM(C7:D7)</f>
        <v>0</v>
      </c>
      <c r="F7" s="144"/>
      <c r="G7" s="145">
        <v>0</v>
      </c>
      <c r="H7" s="145">
        <v>0</v>
      </c>
      <c r="I7" s="144">
        <f>SUM(G7:H7)</f>
        <v>0</v>
      </c>
      <c r="J7" s="144"/>
      <c r="K7" s="145">
        <v>0</v>
      </c>
      <c r="L7" s="145">
        <v>0</v>
      </c>
      <c r="M7" s="144">
        <f>SUM(K7:L7)</f>
        <v>0</v>
      </c>
    </row>
    <row r="8" spans="1:13">
      <c r="A8" s="148"/>
      <c r="B8" s="147" t="s">
        <v>203</v>
      </c>
      <c r="C8" s="149">
        <f>SUM(C4:C7)</f>
        <v>1197764</v>
      </c>
      <c r="D8" s="149">
        <f>SUM(D4:D7)</f>
        <v>15228099</v>
      </c>
      <c r="E8" s="149">
        <f>SUM(E4:E7)</f>
        <v>16425863</v>
      </c>
      <c r="F8" s="144"/>
      <c r="G8" s="149">
        <f>SUM(G4:G7)</f>
        <v>1005268</v>
      </c>
      <c r="H8" s="149">
        <f>SUM(H4:H7)</f>
        <v>10775098</v>
      </c>
      <c r="I8" s="149">
        <f>SUM(I4:I7)</f>
        <v>11780366</v>
      </c>
      <c r="J8" s="144"/>
      <c r="K8" s="149">
        <f>SUM(K4:K7)</f>
        <v>192496</v>
      </c>
      <c r="L8" s="149">
        <f>SUM(L4:L7)</f>
        <v>4453001</v>
      </c>
      <c r="M8" s="149">
        <f>SUM(M4:M7)</f>
        <v>4645497</v>
      </c>
    </row>
    <row r="9" spans="1:13">
      <c r="C9" s="144"/>
      <c r="D9" s="144"/>
      <c r="E9" s="144"/>
      <c r="F9" s="144"/>
      <c r="G9" s="144"/>
      <c r="H9" s="144"/>
      <c r="I9" s="144"/>
      <c r="J9" s="144"/>
      <c r="K9" s="144"/>
      <c r="L9" s="144"/>
      <c r="M9" s="144"/>
    </row>
    <row r="10" spans="1:13">
      <c r="B10" s="45" t="s">
        <v>45</v>
      </c>
      <c r="C10" s="144">
        <f t="shared" ref="C10:D12" si="1">SUM(G10,K10)</f>
        <v>0</v>
      </c>
      <c r="D10" s="144">
        <f t="shared" si="1"/>
        <v>35622060</v>
      </c>
      <c r="E10" s="144">
        <f>SUM(C10:D10)</f>
        <v>35622060</v>
      </c>
      <c r="F10" s="144"/>
      <c r="G10" s="145">
        <v>0</v>
      </c>
      <c r="H10" s="145">
        <v>25234666</v>
      </c>
      <c r="I10" s="144">
        <f>SUM(G10:H10)</f>
        <v>25234666</v>
      </c>
      <c r="J10" s="144"/>
      <c r="K10" s="145"/>
      <c r="L10" s="145">
        <v>10387394</v>
      </c>
      <c r="M10" s="144">
        <f>SUM(K10:L10)</f>
        <v>10387394</v>
      </c>
    </row>
    <row r="11" spans="1:13">
      <c r="B11" s="45" t="s">
        <v>13</v>
      </c>
      <c r="C11" s="144">
        <f t="shared" si="1"/>
        <v>505439142</v>
      </c>
      <c r="D11" s="144">
        <f t="shared" si="1"/>
        <v>2615959</v>
      </c>
      <c r="E11" s="144">
        <f>SUM(C11:D11)</f>
        <v>508055101</v>
      </c>
      <c r="F11" s="144"/>
      <c r="G11" s="145">
        <v>336093724</v>
      </c>
      <c r="H11" s="145">
        <v>1800381</v>
      </c>
      <c r="I11" s="144">
        <f>SUM(G11:H11)</f>
        <v>337894105</v>
      </c>
      <c r="J11" s="144"/>
      <c r="K11" s="145">
        <v>169345418</v>
      </c>
      <c r="L11" s="145">
        <v>815578</v>
      </c>
      <c r="M11" s="144">
        <f>SUM(K11:L11)</f>
        <v>170160996</v>
      </c>
    </row>
    <row r="12" spans="1:13">
      <c r="B12" s="45" t="s">
        <v>204</v>
      </c>
      <c r="C12" s="144">
        <f t="shared" si="1"/>
        <v>22550127</v>
      </c>
      <c r="D12" s="144">
        <f t="shared" si="1"/>
        <v>43812430</v>
      </c>
      <c r="E12" s="144">
        <f>SUM(C12:D12)</f>
        <v>66362557</v>
      </c>
      <c r="F12" s="144"/>
      <c r="G12" s="145">
        <v>16388201</v>
      </c>
      <c r="H12" s="145">
        <v>31000799</v>
      </c>
      <c r="I12" s="144">
        <f>SUM(G12:H12)</f>
        <v>47389000</v>
      </c>
      <c r="J12" s="144"/>
      <c r="K12" s="145">
        <v>6161926</v>
      </c>
      <c r="L12" s="145">
        <v>12811631</v>
      </c>
      <c r="M12" s="144">
        <f>SUM(K12:L12)</f>
        <v>18973557</v>
      </c>
    </row>
    <row r="13" spans="1:13">
      <c r="C13" s="144"/>
      <c r="D13" s="144"/>
      <c r="E13" s="144"/>
      <c r="F13" s="144"/>
      <c r="G13" s="145"/>
      <c r="H13" s="145"/>
      <c r="I13" s="144"/>
      <c r="J13" s="144"/>
      <c r="K13" s="145"/>
      <c r="L13" s="145"/>
      <c r="M13" s="144">
        <f>SUM(K13:L13)</f>
        <v>0</v>
      </c>
    </row>
    <row r="14" spans="1:13" ht="13.8" thickBot="1">
      <c r="B14" s="45" t="s">
        <v>205</v>
      </c>
      <c r="C14" s="150">
        <f t="shared" ref="C14:I14" si="2">SUM(C8:C13)</f>
        <v>529187033</v>
      </c>
      <c r="D14" s="150">
        <f t="shared" si="2"/>
        <v>97278548</v>
      </c>
      <c r="E14" s="150">
        <f t="shared" si="2"/>
        <v>626465581</v>
      </c>
      <c r="F14" s="144">
        <f t="shared" si="2"/>
        <v>0</v>
      </c>
      <c r="G14" s="150">
        <f t="shared" si="2"/>
        <v>353487193</v>
      </c>
      <c r="H14" s="150">
        <f t="shared" si="2"/>
        <v>68810944</v>
      </c>
      <c r="I14" s="150">
        <f t="shared" si="2"/>
        <v>422298137</v>
      </c>
      <c r="J14" s="144"/>
      <c r="K14" s="150">
        <f>SUM(K8:K13)</f>
        <v>175699840</v>
      </c>
      <c r="L14" s="150">
        <f>SUM(L8:L13)</f>
        <v>28467604</v>
      </c>
      <c r="M14" s="150">
        <f>SUM(M8:M13)</f>
        <v>204167444</v>
      </c>
    </row>
    <row r="15" spans="1:13">
      <c r="C15" s="144"/>
      <c r="D15" s="144"/>
      <c r="E15" s="144"/>
      <c r="F15" s="144"/>
      <c r="G15" s="144"/>
      <c r="H15" s="144"/>
      <c r="I15" s="144"/>
      <c r="J15" s="144"/>
      <c r="K15" s="144"/>
      <c r="L15" s="144"/>
      <c r="M15" s="144"/>
    </row>
    <row r="16" spans="1:13">
      <c r="C16" s="144"/>
      <c r="D16" s="144"/>
      <c r="E16" s="144"/>
      <c r="F16" s="144"/>
      <c r="G16" s="144"/>
      <c r="H16" s="144"/>
      <c r="I16" s="144"/>
      <c r="J16" s="144"/>
      <c r="K16" s="144"/>
      <c r="L16" s="144"/>
      <c r="M16" s="144"/>
    </row>
    <row r="17" spans="1:13">
      <c r="C17" s="144"/>
      <c r="D17" s="144"/>
      <c r="E17" s="144"/>
      <c r="F17" s="144"/>
      <c r="G17" s="144"/>
      <c r="H17" s="144"/>
      <c r="I17" s="144"/>
      <c r="J17" s="144"/>
      <c r="K17" s="144"/>
      <c r="L17" s="144"/>
      <c r="M17" s="144"/>
    </row>
    <row r="18" spans="1:13">
      <c r="A18" s="45" t="s">
        <v>209</v>
      </c>
      <c r="C18" s="144"/>
      <c r="D18" s="144"/>
      <c r="E18" s="144"/>
      <c r="F18" s="144"/>
      <c r="G18" s="144"/>
      <c r="H18" s="144"/>
      <c r="I18" s="144"/>
      <c r="J18" s="144"/>
      <c r="K18" s="144"/>
      <c r="L18" s="144"/>
      <c r="M18" s="144"/>
    </row>
    <row r="19" spans="1:13">
      <c r="A19" s="45">
        <v>303000</v>
      </c>
      <c r="B19" s="45" t="s">
        <v>17</v>
      </c>
      <c r="C19" s="144">
        <f t="shared" ref="C19:C24" si="3">SUM(G19,K19)</f>
        <v>0</v>
      </c>
      <c r="D19" s="145">
        <v>1361111</v>
      </c>
      <c r="E19" s="144">
        <f t="shared" ref="E19:E24" si="4">SUM(C19:D19)</f>
        <v>1361111</v>
      </c>
      <c r="F19" s="144"/>
      <c r="G19" s="145">
        <v>0</v>
      </c>
      <c r="H19" s="144">
        <f>D19*H29</f>
        <v>982517.97534999996</v>
      </c>
      <c r="I19" s="144">
        <f t="shared" ref="I19:I24" si="5">SUM(G19:H19)</f>
        <v>982517.97534999996</v>
      </c>
      <c r="J19" s="144"/>
      <c r="K19" s="145">
        <v>0</v>
      </c>
      <c r="L19" s="144">
        <f t="shared" ref="L19:L24" si="6">D19-H19</f>
        <v>378593.02465000004</v>
      </c>
      <c r="M19" s="144">
        <f t="shared" ref="M19:M24" si="7">SUM(K19:L19)</f>
        <v>378593.02465000004</v>
      </c>
    </row>
    <row r="20" spans="1:13">
      <c r="B20" s="45" t="s">
        <v>19</v>
      </c>
      <c r="C20" s="144">
        <f t="shared" si="3"/>
        <v>0</v>
      </c>
      <c r="D20" s="145">
        <v>41449</v>
      </c>
      <c r="E20" s="144">
        <f t="shared" si="4"/>
        <v>41449</v>
      </c>
      <c r="F20" s="144"/>
      <c r="G20" s="145">
        <v>0</v>
      </c>
      <c r="H20" s="144">
        <f>D20*H29</f>
        <v>29919.960650000001</v>
      </c>
      <c r="I20" s="144">
        <f t="shared" si="5"/>
        <v>29919.960650000001</v>
      </c>
      <c r="J20" s="144"/>
      <c r="K20" s="145">
        <v>0</v>
      </c>
      <c r="L20" s="144">
        <f t="shared" si="6"/>
        <v>11529.039349999999</v>
      </c>
      <c r="M20" s="144">
        <f t="shared" si="7"/>
        <v>11529.039349999999</v>
      </c>
    </row>
    <row r="21" spans="1:13">
      <c r="A21" s="45">
        <v>303100</v>
      </c>
      <c r="B21" s="45" t="s">
        <v>17</v>
      </c>
      <c r="C21" s="144">
        <f t="shared" si="3"/>
        <v>0</v>
      </c>
      <c r="D21" s="145">
        <v>11352712</v>
      </c>
      <c r="E21" s="144">
        <f t="shared" si="4"/>
        <v>11352712</v>
      </c>
      <c r="F21" s="144"/>
      <c r="G21" s="145">
        <v>0</v>
      </c>
      <c r="H21" s="144">
        <f>D21*H30</f>
        <v>8194955.1572000002</v>
      </c>
      <c r="I21" s="144">
        <f t="shared" si="5"/>
        <v>8194955.1572000002</v>
      </c>
      <c r="J21" s="144"/>
      <c r="K21" s="145">
        <v>0</v>
      </c>
      <c r="L21" s="144">
        <f t="shared" si="6"/>
        <v>3157756.8427999998</v>
      </c>
      <c r="M21" s="144">
        <f t="shared" si="7"/>
        <v>3157756.8427999998</v>
      </c>
    </row>
    <row r="22" spans="1:13">
      <c r="B22" s="45" t="s">
        <v>19</v>
      </c>
      <c r="C22" s="144">
        <f t="shared" si="3"/>
        <v>0</v>
      </c>
      <c r="D22" s="145">
        <v>10704</v>
      </c>
      <c r="E22" s="144">
        <f t="shared" si="4"/>
        <v>10704</v>
      </c>
      <c r="F22" s="144"/>
      <c r="G22" s="145">
        <v>0</v>
      </c>
      <c r="H22" s="144"/>
      <c r="I22" s="144">
        <f t="shared" si="5"/>
        <v>0</v>
      </c>
      <c r="J22" s="144"/>
      <c r="K22" s="145">
        <v>0</v>
      </c>
      <c r="L22" s="144">
        <f t="shared" si="6"/>
        <v>10704</v>
      </c>
      <c r="M22" s="144">
        <f t="shared" si="7"/>
        <v>10704</v>
      </c>
    </row>
    <row r="23" spans="1:13">
      <c r="A23" s="45">
        <v>303110</v>
      </c>
      <c r="B23" s="45" t="s">
        <v>17</v>
      </c>
      <c r="C23" s="144">
        <f t="shared" si="3"/>
        <v>0</v>
      </c>
      <c r="D23" s="145">
        <v>911820</v>
      </c>
      <c r="E23" s="144">
        <f t="shared" si="4"/>
        <v>911820</v>
      </c>
      <c r="F23" s="144"/>
      <c r="G23" s="145">
        <v>0</v>
      </c>
      <c r="H23" s="144">
        <f>D23*H31</f>
        <v>658197.26699999999</v>
      </c>
      <c r="I23" s="144">
        <f t="shared" si="5"/>
        <v>658197.26699999999</v>
      </c>
      <c r="J23" s="144"/>
      <c r="K23" s="145">
        <v>0</v>
      </c>
      <c r="L23" s="144">
        <f t="shared" si="6"/>
        <v>253622.73300000001</v>
      </c>
      <c r="M23" s="144">
        <f t="shared" si="7"/>
        <v>253622.73300000001</v>
      </c>
    </row>
    <row r="24" spans="1:13">
      <c r="B24" s="45" t="s">
        <v>19</v>
      </c>
      <c r="C24" s="144">
        <f t="shared" si="3"/>
        <v>0</v>
      </c>
      <c r="D24" s="145">
        <v>0</v>
      </c>
      <c r="E24" s="144">
        <f t="shared" si="4"/>
        <v>0</v>
      </c>
      <c r="F24" s="144"/>
      <c r="G24" s="145">
        <v>0</v>
      </c>
      <c r="H24" s="144"/>
      <c r="I24" s="144">
        <f t="shared" si="5"/>
        <v>0</v>
      </c>
      <c r="J24" s="144"/>
      <c r="K24" s="145">
        <v>0</v>
      </c>
      <c r="L24" s="144">
        <f t="shared" si="6"/>
        <v>0</v>
      </c>
      <c r="M24" s="144">
        <f t="shared" si="7"/>
        <v>0</v>
      </c>
    </row>
    <row r="25" spans="1:13" ht="13.8" thickBot="1">
      <c r="C25" s="150">
        <f>SUM(C19:C24)</f>
        <v>0</v>
      </c>
      <c r="D25" s="151">
        <f>SUM(D19:D24)</f>
        <v>13677796</v>
      </c>
      <c r="E25" s="150">
        <f>SUM(E19:E24)</f>
        <v>13677796</v>
      </c>
      <c r="F25" s="144"/>
      <c r="G25" s="150">
        <f>SUM(G19:G24)</f>
        <v>0</v>
      </c>
      <c r="H25" s="150">
        <f>SUM(H19:H24)</f>
        <v>9865590.3601999991</v>
      </c>
      <c r="I25" s="150">
        <f>SUM(I19:I24)</f>
        <v>9865590.3601999991</v>
      </c>
      <c r="J25" s="144"/>
      <c r="K25" s="150">
        <f>SUM(K19:K24)</f>
        <v>0</v>
      </c>
      <c r="L25" s="150">
        <f>SUM(L19:L24)</f>
        <v>3812205.6398</v>
      </c>
      <c r="M25" s="150">
        <f>SUM(M19:M24)</f>
        <v>3812205.6398</v>
      </c>
    </row>
    <row r="26" spans="1:13">
      <c r="C26" s="144"/>
      <c r="D26" s="144"/>
      <c r="E26" s="144"/>
      <c r="F26" s="144"/>
      <c r="G26" s="144"/>
      <c r="H26" s="144"/>
      <c r="I26" s="144"/>
      <c r="J26" s="144"/>
      <c r="K26" s="144"/>
      <c r="L26" s="144"/>
      <c r="M26" s="144"/>
    </row>
    <row r="27" spans="1:13">
      <c r="C27" s="144"/>
      <c r="D27" s="144"/>
      <c r="E27" s="144"/>
      <c r="F27" s="144"/>
      <c r="G27" s="144"/>
      <c r="H27" s="144"/>
      <c r="I27" s="144"/>
      <c r="J27" s="144"/>
      <c r="K27" s="144"/>
      <c r="L27" s="144"/>
      <c r="M27" s="144"/>
    </row>
    <row r="28" spans="1:13">
      <c r="A28" s="45" t="s">
        <v>207</v>
      </c>
      <c r="C28" s="144"/>
      <c r="D28" s="144"/>
      <c r="E28" s="144"/>
      <c r="F28" s="144"/>
      <c r="G28" s="144"/>
      <c r="H28" s="144"/>
      <c r="I28" s="144"/>
      <c r="J28" s="144"/>
      <c r="K28" s="144"/>
      <c r="L28" s="144"/>
      <c r="M28" s="144"/>
    </row>
    <row r="29" spans="1:13">
      <c r="A29" s="45">
        <v>4</v>
      </c>
      <c r="B29" s="45">
        <v>303000</v>
      </c>
      <c r="C29" s="144"/>
      <c r="D29" s="144"/>
      <c r="E29" s="144"/>
      <c r="F29" s="144"/>
      <c r="G29" s="144"/>
      <c r="H29" s="152">
        <v>0.72184999999999999</v>
      </c>
      <c r="I29" s="144"/>
      <c r="J29" s="144"/>
      <c r="K29" s="144"/>
      <c r="L29" s="153">
        <f>1-H29</f>
        <v>0.27815000000000001</v>
      </c>
      <c r="M29" s="144"/>
    </row>
    <row r="30" spans="1:13">
      <c r="A30" s="45">
        <v>4</v>
      </c>
      <c r="B30" s="45">
        <v>303100</v>
      </c>
      <c r="H30" s="152">
        <v>0.72184999999999999</v>
      </c>
      <c r="L30" s="153">
        <f>1-H30</f>
        <v>0.27815000000000001</v>
      </c>
    </row>
    <row r="31" spans="1:13">
      <c r="A31" s="45">
        <v>4</v>
      </c>
      <c r="B31" s="45">
        <v>303110</v>
      </c>
      <c r="H31" s="152">
        <v>0.72184999999999999</v>
      </c>
      <c r="L31" s="153">
        <f>1-H31</f>
        <v>0.27815000000000001</v>
      </c>
    </row>
  </sheetData>
  <mergeCells count="3">
    <mergeCell ref="C2:E2"/>
    <mergeCell ref="G2:I2"/>
    <mergeCell ref="K2:M2"/>
  </mergeCells>
  <pageMargins left="0.2" right="0.2" top="0.75" bottom="0.75" header="0.3" footer="0.3"/>
  <pageSetup scale="80" orientation="landscape" r:id="rId1"/>
  <headerFooter>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workbookViewId="0">
      <pane ySplit="7" topLeftCell="A17" activePane="bottomLeft" state="frozenSplit"/>
      <selection activeCell="B2" sqref="B2"/>
      <selection pane="bottomLeft" activeCell="B2" sqref="B2"/>
    </sheetView>
  </sheetViews>
  <sheetFormatPr defaultColWidth="11.44140625" defaultRowHeight="13.2"/>
  <cols>
    <col min="1" max="1" width="23.44140625" customWidth="1"/>
    <col min="2" max="2" width="19.88671875" customWidth="1"/>
    <col min="3" max="3" width="6" customWidth="1"/>
    <col min="4" max="6" width="13.6640625" customWidth="1"/>
    <col min="7" max="7" width="3" customWidth="1"/>
    <col min="8" max="8" width="30.88671875" style="1" customWidth="1"/>
    <col min="9" max="9" width="15.88671875" style="1" bestFit="1" customWidth="1"/>
    <col min="10" max="10" width="11.44140625" style="1"/>
    <col min="12" max="12" width="11.6640625" bestFit="1" customWidth="1"/>
  </cols>
  <sheetData>
    <row r="1" spans="1:12">
      <c r="C1" s="28" t="str">
        <f>EOPbalances!E1</f>
        <v>AVISTA UTILITIES</v>
      </c>
    </row>
    <row r="2" spans="1:12">
      <c r="C2" s="28" t="s">
        <v>42</v>
      </c>
    </row>
    <row r="3" spans="1:12">
      <c r="C3" s="29" t="str">
        <f>'SYS-Dec14'!D3</f>
        <v>EOP - Twelve Months Ended December 31, 2014</v>
      </c>
    </row>
    <row r="6" spans="1:12">
      <c r="C6" s="28" t="s">
        <v>1</v>
      </c>
      <c r="D6" s="28" t="s">
        <v>43</v>
      </c>
      <c r="E6" s="28"/>
      <c r="F6" s="28"/>
    </row>
    <row r="7" spans="1:12">
      <c r="C7" s="29" t="s">
        <v>3</v>
      </c>
      <c r="D7" s="29" t="s">
        <v>4</v>
      </c>
      <c r="E7" s="29" t="s">
        <v>5</v>
      </c>
      <c r="F7" s="29" t="s">
        <v>6</v>
      </c>
    </row>
    <row r="8" spans="1:12">
      <c r="A8" t="s">
        <v>7</v>
      </c>
      <c r="H8" s="2"/>
      <c r="I8" s="2" t="s">
        <v>8</v>
      </c>
    </row>
    <row r="9" spans="1:12">
      <c r="I9" s="5" t="s">
        <v>9</v>
      </c>
    </row>
    <row r="10" spans="1:12">
      <c r="A10" t="s">
        <v>44</v>
      </c>
      <c r="B10" t="s">
        <v>10</v>
      </c>
      <c r="C10" s="28">
        <v>4</v>
      </c>
      <c r="D10" s="23">
        <f>ROUND('SYS-Dec14'!$F$10*J10,0)</f>
        <v>-366940</v>
      </c>
      <c r="E10" s="23">
        <f>D10*E33</f>
        <v>-259639.40520000001</v>
      </c>
      <c r="F10" s="23">
        <f>D10*F33</f>
        <v>-107300.59480000001</v>
      </c>
      <c r="H10" s="6" t="s">
        <v>10</v>
      </c>
      <c r="I10" s="155">
        <f>'G-PLT'!E8-'G-PLT'!E25</f>
        <v>2748067</v>
      </c>
      <c r="J10" s="30">
        <f>ROUND(I10/$I$14,8)</f>
        <v>4.8298500000000001E-3</v>
      </c>
      <c r="L10" s="110"/>
    </row>
    <row r="11" spans="1:12">
      <c r="B11" t="s">
        <v>45</v>
      </c>
      <c r="C11" s="28">
        <v>1</v>
      </c>
      <c r="D11" s="23">
        <f>ROUND('SYS-Dec14'!$F$10*J11,0)</f>
        <v>-4756497</v>
      </c>
      <c r="E11" s="23">
        <f>D11*E32</f>
        <v>-3369502.4748</v>
      </c>
      <c r="F11" s="23">
        <f>D11*F32</f>
        <v>-1386994.5251999998</v>
      </c>
      <c r="H11" s="6" t="s">
        <v>45</v>
      </c>
      <c r="I11" s="155">
        <f>'G-PLT'!E10</f>
        <v>35622060</v>
      </c>
      <c r="J11" s="30">
        <f>ROUND(I11/$I$14,8)</f>
        <v>6.2607389999999999E-2</v>
      </c>
      <c r="L11" s="23"/>
    </row>
    <row r="12" spans="1:12">
      <c r="B12" t="s">
        <v>13</v>
      </c>
      <c r="C12" s="28">
        <v>12</v>
      </c>
      <c r="D12" s="23">
        <f>ROUND('SYS-Dec14'!$F$10*J12,0)</f>
        <v>-67838923</v>
      </c>
      <c r="E12" s="23">
        <f>D12*E34</f>
        <v>-45857755.169540003</v>
      </c>
      <c r="F12" s="23">
        <f>D12*F34</f>
        <v>-21981167.830459997</v>
      </c>
      <c r="H12" s="6" t="s">
        <v>13</v>
      </c>
      <c r="I12" s="155">
        <f>'G-PLT'!E11</f>
        <v>508055101</v>
      </c>
      <c r="J12" s="30">
        <f>ROUND(I12/$I$14,8)</f>
        <v>0.89292989</v>
      </c>
      <c r="L12" s="23"/>
    </row>
    <row r="13" spans="1:12">
      <c r="B13" t="s">
        <v>46</v>
      </c>
      <c r="C13" s="28">
        <v>13</v>
      </c>
      <c r="D13" s="23">
        <f>ROUND('SYS-Dec14'!$F$10*J13,0)</f>
        <v>-3011044</v>
      </c>
      <c r="E13" s="23">
        <f>D13*E35</f>
        <v>-2191769.03804</v>
      </c>
      <c r="F13" s="23">
        <f>D13*F35</f>
        <v>-819274.96196000022</v>
      </c>
      <c r="H13" s="6" t="s">
        <v>15</v>
      </c>
      <c r="I13" s="156">
        <f>'G-PLT'!C12</f>
        <v>22550127</v>
      </c>
      <c r="J13" s="31">
        <f>ROUND(I13/$I$14,8)</f>
        <v>3.9632870000000001E-2</v>
      </c>
      <c r="L13" s="23"/>
    </row>
    <row r="14" spans="1:12">
      <c r="C14" s="28"/>
      <c r="D14" s="23"/>
      <c r="E14" s="23"/>
      <c r="F14" s="23"/>
      <c r="H14" s="6"/>
      <c r="I14" s="138">
        <f>SUM(I10:I13)</f>
        <v>568975355</v>
      </c>
      <c r="J14" s="8">
        <f>SUM(J10:J13)</f>
        <v>1</v>
      </c>
    </row>
    <row r="15" spans="1:12">
      <c r="A15" t="s">
        <v>47</v>
      </c>
      <c r="B15" t="s">
        <v>17</v>
      </c>
      <c r="C15" s="28">
        <v>4</v>
      </c>
      <c r="D15" s="24">
        <f>'SYS-Dec14'!F14</f>
        <v>-12637378.2756518</v>
      </c>
      <c r="E15" s="24">
        <f>D15*E33</f>
        <v>-8941956.120285701</v>
      </c>
      <c r="F15" s="24">
        <f>D15*F33</f>
        <v>-3695422.1553660994</v>
      </c>
      <c r="H15" s="13" t="s">
        <v>18</v>
      </c>
      <c r="I15" s="157">
        <f>'G-PLT'!D12</f>
        <v>43812430</v>
      </c>
      <c r="K15" s="110"/>
    </row>
    <row r="16" spans="1:12">
      <c r="A16" t="s">
        <v>47</v>
      </c>
      <c r="B16" t="s">
        <v>19</v>
      </c>
      <c r="C16" s="28">
        <v>12</v>
      </c>
      <c r="D16" s="32">
        <f>'SYS-Dec14'!F16</f>
        <v>-121937.42460380001</v>
      </c>
      <c r="E16" s="32">
        <f>D16*E34</f>
        <v>-82427.260283676733</v>
      </c>
      <c r="F16" s="32">
        <f>D16*F34</f>
        <v>-39510.16432012328</v>
      </c>
      <c r="H16" s="13" t="s">
        <v>20</v>
      </c>
      <c r="I16" s="157">
        <f>'G-PLT'!E25</f>
        <v>13677796</v>
      </c>
    </row>
    <row r="17" spans="1:9">
      <c r="A17" t="s">
        <v>48</v>
      </c>
      <c r="C17" s="28"/>
      <c r="D17" s="4">
        <f>SUM(D10:D16)</f>
        <v>-88732719.700255603</v>
      </c>
      <c r="E17" s="4">
        <f>SUM(E10:E16)</f>
        <v>-60703049.468149379</v>
      </c>
      <c r="F17" s="4">
        <f>SUM(F10:F16)</f>
        <v>-28029670.23210622</v>
      </c>
      <c r="H17" s="13"/>
      <c r="I17" s="14"/>
    </row>
    <row r="18" spans="1:9">
      <c r="C18" s="28"/>
      <c r="D18" s="23"/>
      <c r="E18" s="23"/>
      <c r="F18" s="23"/>
      <c r="H18" s="13"/>
      <c r="I18" s="7"/>
    </row>
    <row r="19" spans="1:9">
      <c r="A19" s="134" t="s">
        <v>164</v>
      </c>
      <c r="C19" s="133">
        <v>4</v>
      </c>
      <c r="D19" s="23">
        <f>'SYS-Dec14'!F23</f>
        <v>-108306.36932720001</v>
      </c>
      <c r="E19" s="24">
        <f>D19*E33</f>
        <v>-76635.420808540177</v>
      </c>
      <c r="F19" s="24">
        <f>D19*F33</f>
        <v>-31670.948518659829</v>
      </c>
      <c r="H19" s="13"/>
      <c r="I19" s="7"/>
    </row>
    <row r="20" spans="1:9">
      <c r="A20" t="str">
        <f>'SYS-Dec14'!A24</f>
        <v>FMB &amp; MTN Redeemed</v>
      </c>
      <c r="C20" s="28">
        <v>12</v>
      </c>
      <c r="D20" s="32">
        <f>'SYS-Dec14'!F24</f>
        <v>-1016458.1795434003</v>
      </c>
      <c r="E20" s="32">
        <f>D20*E34</f>
        <v>-687105.40020774771</v>
      </c>
      <c r="F20" s="32">
        <f>D20*F34</f>
        <v>-329352.77933565254</v>
      </c>
      <c r="H20" s="13"/>
      <c r="I20" s="14"/>
    </row>
    <row r="21" spans="1:9">
      <c r="A21" t="str">
        <f>'SYS-Dec14'!A25</f>
        <v xml:space="preserve">   Total Other Deferred FIT</v>
      </c>
      <c r="C21" s="28"/>
      <c r="D21" s="32">
        <f>SUM(D19:D20)</f>
        <v>-1124764.5488706003</v>
      </c>
      <c r="E21" s="32">
        <f t="shared" ref="E21:F21" si="0">SUM(E19:E20)</f>
        <v>-763740.8210162879</v>
      </c>
      <c r="F21" s="32">
        <f t="shared" si="0"/>
        <v>-361023.72785431234</v>
      </c>
      <c r="H21" s="13"/>
      <c r="I21" s="14"/>
    </row>
    <row r="22" spans="1:9">
      <c r="D22" s="23"/>
      <c r="E22" s="23"/>
      <c r="F22" s="23"/>
      <c r="H22" s="13"/>
      <c r="I22" s="14"/>
    </row>
    <row r="23" spans="1:9" ht="13.8" thickBot="1">
      <c r="A23" t="str">
        <f>'SYS-Dec14'!A27</f>
        <v xml:space="preserve">      Total Deferred FIT</v>
      </c>
      <c r="C23" s="162" t="s">
        <v>226</v>
      </c>
      <c r="D23" s="33">
        <f>D17+D21</f>
        <v>-89857484.249126196</v>
      </c>
      <c r="E23" s="33">
        <f>E17+E21</f>
        <v>-61466790.289165668</v>
      </c>
      <c r="F23" s="33">
        <f>F17+F21</f>
        <v>-28390693.959960531</v>
      </c>
      <c r="H23" s="13" t="s">
        <v>26</v>
      </c>
      <c r="I23" s="10">
        <f>SUM(I14:I20)</f>
        <v>626465581</v>
      </c>
    </row>
    <row r="24" spans="1:9" s="1" customFormat="1" ht="13.8" thickTop="1">
      <c r="D24" s="16"/>
      <c r="E24" s="183" t="s">
        <v>249</v>
      </c>
      <c r="F24" s="172" t="s">
        <v>227</v>
      </c>
    </row>
    <row r="25" spans="1:9" s="1" customFormat="1">
      <c r="A25" s="87"/>
      <c r="B25" s="87"/>
      <c r="C25" s="87"/>
      <c r="D25" s="16"/>
      <c r="E25" s="16"/>
      <c r="F25" s="16"/>
      <c r="H25" s="6"/>
      <c r="I25" s="18"/>
    </row>
    <row r="26" spans="1:9">
      <c r="A26" s="180"/>
      <c r="B26" s="180"/>
      <c r="C26" s="180"/>
      <c r="D26" s="24"/>
      <c r="E26" s="24"/>
      <c r="F26" s="24"/>
      <c r="H26" s="6"/>
      <c r="I26" s="18"/>
    </row>
    <row r="27" spans="1:9">
      <c r="A27" s="180"/>
      <c r="B27" s="180"/>
      <c r="C27" s="180"/>
      <c r="D27" s="24"/>
      <c r="E27" s="24"/>
      <c r="F27" s="16"/>
      <c r="H27" s="6"/>
      <c r="I27" s="18"/>
    </row>
    <row r="28" spans="1:9">
      <c r="D28" s="23"/>
      <c r="E28" s="23"/>
      <c r="F28" s="23"/>
      <c r="H28" s="6"/>
      <c r="I28" s="20"/>
    </row>
    <row r="29" spans="1:9">
      <c r="D29" s="23"/>
      <c r="E29" s="23"/>
      <c r="F29" s="23"/>
      <c r="I29" s="21"/>
    </row>
    <row r="30" spans="1:9">
      <c r="H30" s="6"/>
      <c r="I30" s="11"/>
    </row>
    <row r="31" spans="1:9">
      <c r="A31" t="s">
        <v>30</v>
      </c>
      <c r="H31" s="6"/>
      <c r="I31" s="11"/>
    </row>
    <row r="32" spans="1:9">
      <c r="A32" t="s">
        <v>49</v>
      </c>
      <c r="C32" s="28">
        <v>1</v>
      </c>
      <c r="D32" s="34">
        <f>SUM(E32:F32)</f>
        <v>1</v>
      </c>
      <c r="E32" s="25">
        <v>0.70840000000000003</v>
      </c>
      <c r="F32" s="135">
        <f>1-E32</f>
        <v>0.29159999999999997</v>
      </c>
      <c r="G32" t="s">
        <v>33</v>
      </c>
      <c r="H32" s="6"/>
      <c r="I32" s="11"/>
    </row>
    <row r="33" spans="1:10">
      <c r="A33" t="s">
        <v>32</v>
      </c>
      <c r="C33" s="2">
        <v>4</v>
      </c>
      <c r="D33" s="34">
        <f>SUM(E33:F33)</f>
        <v>1</v>
      </c>
      <c r="E33" s="25">
        <v>0.70757999999999999</v>
      </c>
      <c r="F33" s="135">
        <f t="shared" ref="F33:F35" si="1">1-E33</f>
        <v>0.29242000000000001</v>
      </c>
      <c r="G33" t="s">
        <v>33</v>
      </c>
    </row>
    <row r="34" spans="1:10">
      <c r="A34" t="s">
        <v>50</v>
      </c>
      <c r="C34" s="28">
        <v>12</v>
      </c>
      <c r="D34" s="34">
        <f>SUM(E34:F34)</f>
        <v>1</v>
      </c>
      <c r="E34" s="25">
        <v>0.67598000000000003</v>
      </c>
      <c r="F34" s="135">
        <f t="shared" si="1"/>
        <v>0.32401999999999997</v>
      </c>
      <c r="G34" t="s">
        <v>36</v>
      </c>
    </row>
    <row r="35" spans="1:10">
      <c r="A35" t="s">
        <v>51</v>
      </c>
      <c r="C35" s="28">
        <v>13</v>
      </c>
      <c r="D35" s="34">
        <f>SUM(E35:F35)</f>
        <v>1</v>
      </c>
      <c r="E35" s="25">
        <v>0.72790999999999995</v>
      </c>
      <c r="F35" s="135">
        <f t="shared" si="1"/>
        <v>0.27209000000000005</v>
      </c>
      <c r="G35" t="s">
        <v>36</v>
      </c>
    </row>
    <row r="36" spans="1:10" hidden="1">
      <c r="A36" s="35" t="s">
        <v>52</v>
      </c>
      <c r="B36" s="35"/>
      <c r="C36" s="35"/>
      <c r="D36" s="35"/>
      <c r="E36" s="35"/>
      <c r="F36" s="36"/>
      <c r="J36"/>
    </row>
    <row r="37" spans="1:10" hidden="1">
      <c r="A37" s="35"/>
      <c r="B37" s="35" t="s">
        <v>53</v>
      </c>
      <c r="C37" s="35"/>
      <c r="D37" s="37">
        <f>SUM(E37:F37)</f>
        <v>433956075</v>
      </c>
      <c r="E37" s="38">
        <v>281278889</v>
      </c>
      <c r="F37" s="38">
        <v>152677186</v>
      </c>
      <c r="J37"/>
    </row>
    <row r="38" spans="1:10" hidden="1">
      <c r="A38" s="35"/>
      <c r="B38" s="35" t="s">
        <v>54</v>
      </c>
      <c r="C38" s="35"/>
      <c r="D38" s="39">
        <f>SUM(E38:F38)</f>
        <v>146236411</v>
      </c>
      <c r="E38" s="40">
        <v>97488810</v>
      </c>
      <c r="F38" s="40">
        <v>48747601</v>
      </c>
    </row>
    <row r="39" spans="1:10" hidden="1">
      <c r="A39" s="35"/>
      <c r="B39" s="35" t="s">
        <v>55</v>
      </c>
      <c r="C39" s="35"/>
      <c r="D39" s="37">
        <f>SUM(D37:D38)</f>
        <v>580192486</v>
      </c>
      <c r="E39" s="37">
        <f>SUM(E37:E38)</f>
        <v>378767699</v>
      </c>
      <c r="F39" s="37">
        <f>SUM(F37:F38)</f>
        <v>201424787</v>
      </c>
      <c r="H39" s="1" t="s">
        <v>33</v>
      </c>
    </row>
    <row r="40" spans="1:10" hidden="1">
      <c r="A40" s="35"/>
      <c r="B40" s="35" t="s">
        <v>56</v>
      </c>
      <c r="C40" s="41" t="s">
        <v>57</v>
      </c>
      <c r="D40" s="42">
        <f>SUM(E40:F40)</f>
        <v>1</v>
      </c>
      <c r="E40" s="42">
        <f>E39/D39</f>
        <v>0.6528311002635081</v>
      </c>
      <c r="F40" s="42">
        <f>F39/D39</f>
        <v>0.34716889973649195</v>
      </c>
      <c r="H40" s="1" t="s">
        <v>33</v>
      </c>
    </row>
    <row r="41" spans="1:10" hidden="1">
      <c r="A41" t="s">
        <v>38</v>
      </c>
      <c r="C41" s="28" t="s">
        <v>39</v>
      </c>
      <c r="H41" s="1" t="s">
        <v>36</v>
      </c>
    </row>
    <row r="43" spans="1:10">
      <c r="A43" s="1" t="s">
        <v>58</v>
      </c>
      <c r="B43" s="1"/>
      <c r="C43" s="1"/>
      <c r="D43" s="1"/>
      <c r="F43" s="1"/>
      <c r="H43"/>
      <c r="I43"/>
    </row>
    <row r="44" spans="1:10">
      <c r="A44" s="1" t="s">
        <v>59</v>
      </c>
      <c r="B44" s="1"/>
      <c r="C44" s="1"/>
      <c r="D44" s="1"/>
      <c r="H44"/>
      <c r="I44"/>
    </row>
    <row r="45" spans="1:10" ht="24.75" customHeight="1">
      <c r="A45" s="185" t="s">
        <v>250</v>
      </c>
      <c r="B45" s="185"/>
      <c r="C45" s="185"/>
      <c r="D45" s="185"/>
      <c r="E45" s="185"/>
      <c r="F45" s="185"/>
    </row>
    <row r="48" spans="1:10">
      <c r="A48" s="186"/>
      <c r="B48" s="186"/>
      <c r="C48" s="186"/>
      <c r="D48" s="186"/>
      <c r="E48" s="186"/>
    </row>
  </sheetData>
  <mergeCells count="2">
    <mergeCell ref="A48:E48"/>
    <mergeCell ref="A45:F45"/>
  </mergeCells>
  <printOptions horizontalCentered="1"/>
  <pageMargins left="0.75" right="0.75" top="0.75" bottom="0.75" header="0.5" footer="0.5"/>
  <pageSetup orientation="portrait" r:id="rId1"/>
  <headerFooter scaleWithDoc="0" alignWithMargins="0">
    <oddFooter>&amp;LBench_DR_12-Attachment B (Supporting workpaper)&amp;RPage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workbookViewId="0">
      <pane ySplit="7" topLeftCell="A8" activePane="bottomLeft" state="frozenSplit"/>
      <selection activeCell="F50" sqref="F50"/>
      <selection pane="bottomLeft" activeCell="L40" sqref="L40"/>
    </sheetView>
  </sheetViews>
  <sheetFormatPr defaultColWidth="11.44140625" defaultRowHeight="13.2"/>
  <cols>
    <col min="1" max="1" width="25.6640625" customWidth="1"/>
    <col min="2" max="2" width="14.109375" customWidth="1"/>
    <col min="3" max="3" width="2.44140625" customWidth="1"/>
    <col min="4" max="7" width="13.6640625" customWidth="1"/>
  </cols>
  <sheetData>
    <row r="1" spans="1:7">
      <c r="D1" s="28" t="str">
        <f>EOPbalances!E1</f>
        <v>AVISTA UTILITIES</v>
      </c>
    </row>
    <row r="2" spans="1:7">
      <c r="D2" s="28" t="s">
        <v>67</v>
      </c>
    </row>
    <row r="3" spans="1:7">
      <c r="D3" s="53" t="s">
        <v>245</v>
      </c>
    </row>
    <row r="6" spans="1:7">
      <c r="D6" s="28" t="s">
        <v>70</v>
      </c>
      <c r="E6" s="28"/>
      <c r="F6" s="28"/>
      <c r="G6" s="28"/>
    </row>
    <row r="7" spans="1:7">
      <c r="D7" s="29" t="s">
        <v>4</v>
      </c>
      <c r="E7" s="29" t="s">
        <v>2</v>
      </c>
      <c r="F7" s="29" t="s">
        <v>71</v>
      </c>
      <c r="G7" s="3" t="s">
        <v>72</v>
      </c>
    </row>
    <row r="8" spans="1:7">
      <c r="A8" t="s">
        <v>2</v>
      </c>
      <c r="B8" s="54"/>
      <c r="C8" s="54"/>
      <c r="D8" s="23">
        <f>EOPbalances!G26</f>
        <v>-400254878.11000001</v>
      </c>
      <c r="E8" s="4">
        <f>D8</f>
        <v>-400254878.11000001</v>
      </c>
    </row>
    <row r="9" spans="1:7">
      <c r="D9" s="23"/>
      <c r="E9" s="4"/>
      <c r="F9" s="23"/>
      <c r="G9" s="23"/>
    </row>
    <row r="10" spans="1:7">
      <c r="A10" t="s">
        <v>73</v>
      </c>
      <c r="D10" s="23">
        <f>EOPbalances!H26</f>
        <v>-75973403.870000005</v>
      </c>
      <c r="E10" s="4"/>
      <c r="F10" s="23">
        <f>D10</f>
        <v>-75973403.870000005</v>
      </c>
      <c r="G10" s="23"/>
    </row>
    <row r="11" spans="1:7">
      <c r="D11" s="23"/>
      <c r="E11" s="4"/>
      <c r="F11" s="23"/>
      <c r="G11" s="23"/>
    </row>
    <row r="12" spans="1:7">
      <c r="A12" t="s">
        <v>74</v>
      </c>
      <c r="D12" s="23">
        <f>EOPbalances!I26</f>
        <v>-42167744.090000004</v>
      </c>
      <c r="E12" s="4"/>
      <c r="F12" s="23"/>
      <c r="G12" s="23">
        <f>D12</f>
        <v>-42167744.090000004</v>
      </c>
    </row>
    <row r="13" spans="1:7">
      <c r="D13" s="23"/>
      <c r="E13" s="4"/>
      <c r="F13" s="23"/>
      <c r="G13" s="23"/>
    </row>
    <row r="14" spans="1:7">
      <c r="A14" t="s">
        <v>75</v>
      </c>
      <c r="B14" t="s">
        <v>17</v>
      </c>
      <c r="D14" s="23">
        <f>EOPbalances!D26</f>
        <v>-63754304.689999998</v>
      </c>
      <c r="E14" s="4">
        <f>D14*E31</f>
        <v>-45450443.813501</v>
      </c>
      <c r="F14" s="23">
        <f>D14*F31</f>
        <v>-12637378.2756518</v>
      </c>
      <c r="G14" s="23">
        <f>D14*G31</f>
        <v>-5666482.6008471996</v>
      </c>
    </row>
    <row r="15" spans="1:7">
      <c r="D15" s="23"/>
      <c r="E15" s="4"/>
      <c r="F15" s="23"/>
      <c r="G15" s="23"/>
    </row>
    <row r="16" spans="1:7">
      <c r="A16" t="s">
        <v>76</v>
      </c>
      <c r="B16" t="s">
        <v>19</v>
      </c>
      <c r="D16" s="32">
        <f>EOPbalances!F26</f>
        <v>-570894.82000000007</v>
      </c>
      <c r="E16" s="15">
        <f>D16*E32</f>
        <v>-448957.39539620007</v>
      </c>
      <c r="F16" s="32">
        <f>D16*F32</f>
        <v>-121937.42460380001</v>
      </c>
      <c r="G16" s="32"/>
    </row>
    <row r="17" spans="1:8" ht="13.8" thickBot="1">
      <c r="A17" t="s">
        <v>69</v>
      </c>
      <c r="D17" s="33">
        <f>SUM(D8:D16)</f>
        <v>-582721225.58000004</v>
      </c>
      <c r="E17" s="4">
        <f>SUM(E8:E16)</f>
        <v>-446154279.31889719</v>
      </c>
      <c r="F17" s="23">
        <f>SUM(F9:F16)</f>
        <v>-88732719.570255607</v>
      </c>
      <c r="G17" s="23">
        <f>SUM(G9:G16)</f>
        <v>-47834226.690847203</v>
      </c>
      <c r="H17" s="55"/>
    </row>
    <row r="18" spans="1:8" ht="13.8" thickTop="1">
      <c r="D18" s="163" t="s">
        <v>220</v>
      </c>
      <c r="E18" s="4"/>
      <c r="F18" s="23"/>
      <c r="G18" s="23"/>
      <c r="H18" s="55"/>
    </row>
    <row r="19" spans="1:8">
      <c r="A19" s="51" t="s">
        <v>77</v>
      </c>
      <c r="D19" s="23"/>
      <c r="E19" s="4"/>
      <c r="F19" s="23"/>
      <c r="G19" s="23"/>
    </row>
    <row r="20" spans="1:8">
      <c r="A20" t="s">
        <v>23</v>
      </c>
      <c r="B20" t="s">
        <v>78</v>
      </c>
      <c r="C20" s="162" t="s">
        <v>221</v>
      </c>
      <c r="D20" s="23">
        <f>'CDA DFIT'!C27</f>
        <v>-12080661.789999999</v>
      </c>
      <c r="E20" s="4">
        <f>D20</f>
        <v>-12080661.789999999</v>
      </c>
      <c r="F20" s="23"/>
      <c r="G20" s="23"/>
    </row>
    <row r="21" spans="1:8">
      <c r="A21" t="s">
        <v>179</v>
      </c>
      <c r="B21" t="s">
        <v>180</v>
      </c>
      <c r="C21" s="162" t="s">
        <v>222</v>
      </c>
      <c r="D21" s="23">
        <f>'CDA DFIT'!D27</f>
        <v>369587.56000000006</v>
      </c>
      <c r="E21" s="4">
        <f>D21</f>
        <v>369587.56000000006</v>
      </c>
      <c r="F21" s="23"/>
      <c r="G21" s="23"/>
    </row>
    <row r="22" spans="1:8">
      <c r="A22" t="s">
        <v>79</v>
      </c>
      <c r="B22" s="56" t="s">
        <v>80</v>
      </c>
      <c r="C22" s="164" t="s">
        <v>39</v>
      </c>
      <c r="D22" s="23">
        <f>'Other DFIT_AMA'!B26</f>
        <v>-216490.91000000003</v>
      </c>
      <c r="E22" s="4">
        <f>D22</f>
        <v>-216490.91000000003</v>
      </c>
      <c r="F22" s="23"/>
      <c r="G22" s="23"/>
    </row>
    <row r="23" spans="1:8">
      <c r="A23" s="134" t="s">
        <v>164</v>
      </c>
      <c r="B23" s="57" t="s">
        <v>168</v>
      </c>
      <c r="C23" s="165" t="s">
        <v>223</v>
      </c>
      <c r="D23" s="23">
        <f>'Other DFIT_AMA'!E26</f>
        <v>-546394.76</v>
      </c>
      <c r="E23" s="4">
        <f>D23*E31</f>
        <v>-389524.82440400001</v>
      </c>
      <c r="F23" s="4">
        <f>D23*F31</f>
        <v>-108306.36932720001</v>
      </c>
      <c r="G23" s="4">
        <f>D23*G31</f>
        <v>-48563.566268800001</v>
      </c>
    </row>
    <row r="24" spans="1:8">
      <c r="A24" t="s">
        <v>81</v>
      </c>
      <c r="B24" s="57" t="s">
        <v>82</v>
      </c>
      <c r="C24" s="165" t="s">
        <v>224</v>
      </c>
      <c r="D24" s="4">
        <f>'Other DFIT_AMA'!D26</f>
        <v>-5127929.4700000016</v>
      </c>
      <c r="E24" s="4">
        <f>D24*E31</f>
        <v>-3655700.9191630012</v>
      </c>
      <c r="F24" s="4">
        <f>D24*F31</f>
        <v>-1016458.1795434003</v>
      </c>
      <c r="G24" s="4">
        <f>D24*G31</f>
        <v>-455770.37129360012</v>
      </c>
    </row>
    <row r="25" spans="1:8">
      <c r="A25" t="s">
        <v>28</v>
      </c>
      <c r="D25" s="111">
        <f>SUM(D20:D24)</f>
        <v>-17601889.370000001</v>
      </c>
      <c r="E25" s="111">
        <f>SUM(E20:E24)</f>
        <v>-15972790.883567</v>
      </c>
      <c r="F25" s="111">
        <f>SUM(F20:F24)</f>
        <v>-1124764.5488706003</v>
      </c>
      <c r="G25" s="111">
        <f>SUM(G20:G24)</f>
        <v>-504333.93756240013</v>
      </c>
    </row>
    <row r="26" spans="1:8">
      <c r="D26" s="23"/>
      <c r="E26" s="23"/>
      <c r="F26" s="23"/>
      <c r="G26" s="23"/>
    </row>
    <row r="27" spans="1:8" ht="13.8" thickBot="1">
      <c r="A27" t="s">
        <v>29</v>
      </c>
      <c r="D27" s="58">
        <f>D17+D25</f>
        <v>-600323114.95000005</v>
      </c>
      <c r="E27" s="33">
        <f>E17+E25</f>
        <v>-462127070.20246416</v>
      </c>
      <c r="F27" s="33">
        <f>F17+F25</f>
        <v>-89857484.119126201</v>
      </c>
      <c r="G27" s="22">
        <f>G17+G25</f>
        <v>-48338560.628409602</v>
      </c>
      <c r="H27" s="55"/>
    </row>
    <row r="28" spans="1:8" ht="13.8" thickTop="1">
      <c r="E28" s="162" t="s">
        <v>225</v>
      </c>
      <c r="F28" s="162" t="s">
        <v>226</v>
      </c>
    </row>
    <row r="30" spans="1:8">
      <c r="A30" s="1" t="s">
        <v>40</v>
      </c>
      <c r="B30" s="1"/>
      <c r="C30" s="1"/>
      <c r="D30" s="1"/>
      <c r="E30" s="1"/>
      <c r="F30" s="1"/>
    </row>
    <row r="31" spans="1:8">
      <c r="B31" s="1" t="s">
        <v>83</v>
      </c>
      <c r="C31" s="1"/>
      <c r="D31" s="34">
        <f>SUM(E31:G31)</f>
        <v>0.99999999999999989</v>
      </c>
      <c r="E31" s="25">
        <v>0.71289999999999998</v>
      </c>
      <c r="F31" s="25">
        <v>0.19822000000000001</v>
      </c>
      <c r="G31" s="25">
        <v>8.8880000000000001E-2</v>
      </c>
      <c r="H31" t="s">
        <v>84</v>
      </c>
    </row>
    <row r="32" spans="1:8">
      <c r="B32" s="1" t="s">
        <v>85</v>
      </c>
      <c r="C32" s="1"/>
      <c r="D32" s="34">
        <f>SUM(E32:G32)</f>
        <v>1</v>
      </c>
      <c r="E32" s="25">
        <v>0.78641000000000005</v>
      </c>
      <c r="F32" s="25">
        <v>0.21359</v>
      </c>
      <c r="G32" s="25">
        <v>0</v>
      </c>
      <c r="H32" t="s">
        <v>84</v>
      </c>
    </row>
    <row r="37" spans="1:1">
      <c r="A37" s="48"/>
    </row>
    <row r="38" spans="1:1">
      <c r="A38" s="48"/>
    </row>
    <row r="39" spans="1:1">
      <c r="A39" s="48"/>
    </row>
  </sheetData>
  <pageMargins left="0.75" right="0.75" top="0.75" bottom="0.75" header="0.5" footer="0.5"/>
  <pageSetup scale="93" orientation="portrait" r:id="rId1"/>
  <headerFooter alignWithMargins="0">
    <oddFooter>&amp;C&amp;F&amp;A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zoomScaleNormal="100" workbookViewId="0">
      <selection activeCell="A29" sqref="A29:I29"/>
    </sheetView>
  </sheetViews>
  <sheetFormatPr defaultColWidth="11.44140625" defaultRowHeight="13.2"/>
  <cols>
    <col min="1" max="1" width="34" customWidth="1"/>
    <col min="2" max="2" width="13.6640625" bestFit="1" customWidth="1"/>
    <col min="3" max="3" width="12.88671875" bestFit="1" customWidth="1"/>
    <col min="4" max="4" width="14.44140625" customWidth="1"/>
    <col min="5" max="5" width="1.33203125" customWidth="1"/>
    <col min="6" max="6" width="11.6640625" bestFit="1" customWidth="1"/>
    <col min="7" max="8" width="15.88671875" customWidth="1"/>
    <col min="9" max="9" width="14" customWidth="1"/>
    <col min="10" max="10" width="0.88671875" customWidth="1"/>
    <col min="11" max="11" width="13.6640625" bestFit="1" customWidth="1"/>
    <col min="12" max="12" width="11.5546875" bestFit="1" customWidth="1"/>
  </cols>
  <sheetData>
    <row r="1" spans="1:12">
      <c r="E1" s="46" t="s">
        <v>66</v>
      </c>
      <c r="F1" s="46"/>
    </row>
    <row r="2" spans="1:12">
      <c r="E2" s="28" t="s">
        <v>67</v>
      </c>
      <c r="F2" s="28"/>
    </row>
    <row r="3" spans="1:12">
      <c r="E3" s="28" t="s">
        <v>68</v>
      </c>
      <c r="F3" s="28"/>
    </row>
    <row r="4" spans="1:12">
      <c r="E4" s="47"/>
      <c r="F4" s="47"/>
    </row>
    <row r="5" spans="1:12">
      <c r="A5" s="174"/>
      <c r="B5" s="174">
        <v>282900</v>
      </c>
      <c r="C5" s="174">
        <v>283000</v>
      </c>
      <c r="D5" s="174" t="s">
        <v>70</v>
      </c>
      <c r="E5" s="174"/>
      <c r="F5" s="174">
        <v>282900</v>
      </c>
      <c r="G5" s="174">
        <v>282900</v>
      </c>
      <c r="H5" s="174">
        <v>282900</v>
      </c>
      <c r="I5" s="174">
        <v>282900</v>
      </c>
      <c r="J5" s="174"/>
      <c r="K5" s="174"/>
      <c r="L5" s="175">
        <v>282900</v>
      </c>
    </row>
    <row r="6" spans="1:12">
      <c r="B6" s="174" t="s">
        <v>60</v>
      </c>
      <c r="C6" s="174" t="s">
        <v>60</v>
      </c>
      <c r="D6" s="174" t="s">
        <v>60</v>
      </c>
      <c r="E6" s="174"/>
      <c r="F6" s="174" t="s">
        <v>60</v>
      </c>
      <c r="G6" s="174" t="s">
        <v>63</v>
      </c>
      <c r="H6" s="174" t="s">
        <v>64</v>
      </c>
      <c r="I6" s="174" t="s">
        <v>64</v>
      </c>
      <c r="L6" s="175" t="s">
        <v>243</v>
      </c>
    </row>
    <row r="7" spans="1:12">
      <c r="A7" s="179" t="s">
        <v>98</v>
      </c>
      <c r="B7" s="29" t="s">
        <v>61</v>
      </c>
      <c r="C7" s="29" t="s">
        <v>61</v>
      </c>
      <c r="D7" s="29" t="s">
        <v>61</v>
      </c>
      <c r="E7" s="174"/>
      <c r="F7" s="29" t="s">
        <v>62</v>
      </c>
      <c r="G7" s="29" t="s">
        <v>62</v>
      </c>
      <c r="H7" s="29" t="s">
        <v>62</v>
      </c>
      <c r="I7" s="29" t="s">
        <v>65</v>
      </c>
      <c r="J7" s="179"/>
      <c r="K7" s="29" t="s">
        <v>228</v>
      </c>
      <c r="L7" s="29" t="s">
        <v>243</v>
      </c>
    </row>
    <row r="8" spans="1:12">
      <c r="A8" t="s">
        <v>229</v>
      </c>
      <c r="B8" s="52">
        <v>-43057166.530000001</v>
      </c>
      <c r="C8" s="43">
        <v>0</v>
      </c>
      <c r="D8" s="52">
        <f>SUM(B8:C8)</f>
        <v>-43057166.530000001</v>
      </c>
      <c r="E8" s="52"/>
      <c r="F8" s="52">
        <v>-1963033.6600000001</v>
      </c>
      <c r="G8" s="52">
        <v>-298124104.76999998</v>
      </c>
      <c r="H8" s="52">
        <v>-66047311.869999997</v>
      </c>
      <c r="I8" s="52">
        <v>-37336922.25</v>
      </c>
      <c r="K8" s="52">
        <f>SUM(D8:I8)</f>
        <v>-446528539.07999998</v>
      </c>
      <c r="L8" s="52"/>
    </row>
    <row r="9" spans="1:12">
      <c r="A9" t="s">
        <v>230</v>
      </c>
      <c r="B9" s="52">
        <v>-43455066.109999999</v>
      </c>
      <c r="C9" s="52">
        <v>-5555555</v>
      </c>
      <c r="D9" s="52">
        <f t="shared" ref="D9:D20" si="0">SUM(B9:C9)</f>
        <v>-49010621.109999999</v>
      </c>
      <c r="E9" s="52"/>
      <c r="F9" s="52">
        <v>-1968195.24</v>
      </c>
      <c r="G9" s="52">
        <v>-299342392.44</v>
      </c>
      <c r="H9" s="52">
        <v>-66319417.369999997</v>
      </c>
      <c r="I9" s="52">
        <v>-37553111.170000002</v>
      </c>
      <c r="K9" s="52">
        <f t="shared" ref="K9:K20" si="1">SUM(D9:I9)</f>
        <v>-454193737.33000004</v>
      </c>
      <c r="L9" s="52"/>
    </row>
    <row r="10" spans="1:12">
      <c r="A10" t="s">
        <v>231</v>
      </c>
      <c r="B10" s="52">
        <v>-43852965.689999998</v>
      </c>
      <c r="C10" s="52">
        <f>C9-5555555</f>
        <v>-11111110</v>
      </c>
      <c r="D10" s="52">
        <f>SUM(B10:C10)</f>
        <v>-54964075.689999998</v>
      </c>
      <c r="E10" s="52"/>
      <c r="F10" s="52">
        <v>-1973356.82</v>
      </c>
      <c r="G10" s="52">
        <v>-300560680.11000001</v>
      </c>
      <c r="H10" s="52">
        <v>-66591522.869999997</v>
      </c>
      <c r="I10" s="52">
        <v>-37769300.090000004</v>
      </c>
      <c r="K10" s="52">
        <f t="shared" si="1"/>
        <v>-461858935.58000004</v>
      </c>
      <c r="L10" s="52"/>
    </row>
    <row r="11" spans="1:12">
      <c r="A11" t="s">
        <v>232</v>
      </c>
      <c r="B11" s="52">
        <v>-43178038.689999998</v>
      </c>
      <c r="C11" s="52">
        <f>C10-5555555</f>
        <v>-16666665</v>
      </c>
      <c r="D11" s="52">
        <f t="shared" si="0"/>
        <v>-59844703.689999998</v>
      </c>
      <c r="E11" s="52"/>
      <c r="F11" s="52">
        <v>-1977491.82</v>
      </c>
      <c r="G11" s="52">
        <v>-300154026.11000001</v>
      </c>
      <c r="H11" s="52">
        <v>-66891789.869999997</v>
      </c>
      <c r="I11" s="52">
        <v>-37836929.090000004</v>
      </c>
      <c r="K11" s="52">
        <f t="shared" si="1"/>
        <v>-466704940.58000004</v>
      </c>
      <c r="L11" s="52"/>
    </row>
    <row r="12" spans="1:12">
      <c r="A12" t="s">
        <v>233</v>
      </c>
      <c r="B12" s="52">
        <v>-43218329.689999998</v>
      </c>
      <c r="C12" s="52">
        <f t="shared" ref="C12:C15" si="2">C11-5555555</f>
        <v>-22222220</v>
      </c>
      <c r="D12" s="52">
        <f t="shared" si="0"/>
        <v>-65440549.689999998</v>
      </c>
      <c r="E12" s="52"/>
      <c r="F12" s="52">
        <v>-1982310.82</v>
      </c>
      <c r="G12" s="52">
        <v>-300830666.11000001</v>
      </c>
      <c r="H12" s="52">
        <v>-67173282.870000005</v>
      </c>
      <c r="I12" s="52">
        <v>-38003598.090000004</v>
      </c>
      <c r="K12" s="52">
        <f t="shared" si="1"/>
        <v>-473430407.58000004</v>
      </c>
      <c r="L12" s="52"/>
    </row>
    <row r="13" spans="1:12">
      <c r="A13" t="s">
        <v>234</v>
      </c>
      <c r="B13" s="52">
        <v>-43258620.689999998</v>
      </c>
      <c r="C13" s="52">
        <f t="shared" si="2"/>
        <v>-27777775</v>
      </c>
      <c r="D13" s="52">
        <f t="shared" si="0"/>
        <v>-71036395.689999998</v>
      </c>
      <c r="E13" s="52"/>
      <c r="F13" s="52">
        <v>-1987129.82</v>
      </c>
      <c r="G13" s="52">
        <v>-301507306.11000001</v>
      </c>
      <c r="H13" s="52">
        <v>-67454775.870000005</v>
      </c>
      <c r="I13" s="52">
        <v>-38170267.090000004</v>
      </c>
      <c r="K13" s="52">
        <f t="shared" si="1"/>
        <v>-480155874.58000004</v>
      </c>
      <c r="L13" s="52"/>
    </row>
    <row r="14" spans="1:12">
      <c r="A14" t="s">
        <v>235</v>
      </c>
      <c r="B14" s="52">
        <v>-43298911.689999998</v>
      </c>
      <c r="C14" s="52">
        <f t="shared" si="2"/>
        <v>-33333330</v>
      </c>
      <c r="D14" s="52">
        <f t="shared" si="0"/>
        <v>-76632241.689999998</v>
      </c>
      <c r="E14" s="52"/>
      <c r="F14" s="52">
        <v>-1992128.82</v>
      </c>
      <c r="G14" s="52">
        <v>-302097385.11000001</v>
      </c>
      <c r="H14" s="52">
        <v>-67663307.870000005</v>
      </c>
      <c r="I14" s="52">
        <v>-37949521.090000004</v>
      </c>
      <c r="K14" s="52">
        <f t="shared" si="1"/>
        <v>-486334584.58000004</v>
      </c>
      <c r="L14" s="52"/>
    </row>
    <row r="15" spans="1:12">
      <c r="A15" t="s">
        <v>236</v>
      </c>
      <c r="B15" s="52">
        <v>-43339202.689999998</v>
      </c>
      <c r="C15" s="52">
        <f t="shared" si="2"/>
        <v>-38888885</v>
      </c>
      <c r="D15" s="52">
        <f t="shared" si="0"/>
        <v>-82228087.689999998</v>
      </c>
      <c r="E15" s="52"/>
      <c r="F15" s="52">
        <v>-1997127.82</v>
      </c>
      <c r="G15" s="52">
        <v>-302816602.11000001</v>
      </c>
      <c r="H15" s="52">
        <v>-68000977.870000005</v>
      </c>
      <c r="I15" s="52">
        <v>-38116190.090000004</v>
      </c>
      <c r="K15" s="52">
        <f t="shared" si="1"/>
        <v>-493158985.58000004</v>
      </c>
      <c r="L15" s="52"/>
    </row>
    <row r="16" spans="1:12">
      <c r="A16" t="s">
        <v>237</v>
      </c>
      <c r="B16" s="52">
        <v>-43379493.689999998</v>
      </c>
      <c r="C16" s="52">
        <f>C15-5555555</f>
        <v>-44444440</v>
      </c>
      <c r="D16" s="52">
        <f t="shared" si="0"/>
        <v>-87823933.689999998</v>
      </c>
      <c r="E16" s="52"/>
      <c r="F16" s="52">
        <v>-2002126.82</v>
      </c>
      <c r="G16" s="52">
        <v>-303535819.11000001</v>
      </c>
      <c r="H16" s="52">
        <v>-68338647.870000005</v>
      </c>
      <c r="I16" s="52">
        <v>-38282859.090000004</v>
      </c>
      <c r="K16" s="52">
        <f t="shared" si="1"/>
        <v>-499983386.58000004</v>
      </c>
      <c r="L16" s="52"/>
    </row>
    <row r="17" spans="1:12">
      <c r="A17" t="s">
        <v>238</v>
      </c>
      <c r="B17" s="52">
        <v>-45687513.689999998</v>
      </c>
      <c r="C17" s="52">
        <v>-50000000</v>
      </c>
      <c r="D17" s="52">
        <f t="shared" si="0"/>
        <v>-95687513.689999998</v>
      </c>
      <c r="E17" s="52"/>
      <c r="F17" s="52">
        <v>-2007125.82</v>
      </c>
      <c r="G17" s="52">
        <v>-323633554.11000001</v>
      </c>
      <c r="H17" s="52">
        <v>-74874861.870000005</v>
      </c>
      <c r="I17" s="52">
        <v>-42556229.090000004</v>
      </c>
      <c r="K17" s="52">
        <f t="shared" si="1"/>
        <v>-538759284.58000004</v>
      </c>
      <c r="L17" s="52"/>
    </row>
    <row r="18" spans="1:12">
      <c r="A18" t="s">
        <v>239</v>
      </c>
      <c r="B18" s="52">
        <v>-45727804.689999998</v>
      </c>
      <c r="C18" s="52">
        <v>-50000000</v>
      </c>
      <c r="D18" s="52">
        <f t="shared" si="0"/>
        <v>-95727804.689999998</v>
      </c>
      <c r="E18" s="52"/>
      <c r="F18" s="52">
        <v>-2012124.82</v>
      </c>
      <c r="G18" s="52">
        <v>-324352771.11000001</v>
      </c>
      <c r="H18" s="52">
        <v>-75212531.870000005</v>
      </c>
      <c r="I18" s="52">
        <v>-42722898.090000004</v>
      </c>
      <c r="K18" s="52">
        <f t="shared" si="1"/>
        <v>-540028130.58000004</v>
      </c>
      <c r="L18" s="52"/>
    </row>
    <row r="19" spans="1:12">
      <c r="A19" t="s">
        <v>240</v>
      </c>
      <c r="B19" s="52">
        <v>-45768095.689999998</v>
      </c>
      <c r="C19" s="52">
        <v>-50000000</v>
      </c>
      <c r="D19" s="52">
        <f t="shared" si="0"/>
        <v>-95768095.689999998</v>
      </c>
      <c r="E19" s="52"/>
      <c r="F19" s="52">
        <v>-2017123.82</v>
      </c>
      <c r="G19" s="52">
        <v>-325071988.11000001</v>
      </c>
      <c r="H19" s="52">
        <v>-75550201.870000005</v>
      </c>
      <c r="I19" s="52">
        <v>-42889567.090000004</v>
      </c>
      <c r="K19" s="52">
        <f t="shared" si="1"/>
        <v>-541296976.58000004</v>
      </c>
      <c r="L19" s="52"/>
    </row>
    <row r="20" spans="1:12">
      <c r="A20" t="s">
        <v>241</v>
      </c>
      <c r="B20" s="52">
        <v>-49809914.689999998</v>
      </c>
      <c r="C20" s="52">
        <v>0</v>
      </c>
      <c r="D20" s="52">
        <f t="shared" si="0"/>
        <v>-49809914.689999998</v>
      </c>
      <c r="E20" s="52"/>
      <c r="F20" s="52">
        <v>-2020863.82</v>
      </c>
      <c r="G20" s="52">
        <v>-389834133.11000001</v>
      </c>
      <c r="H20" s="52">
        <v>-90260063.870000005</v>
      </c>
      <c r="I20" s="52">
        <v>-50290471.090000004</v>
      </c>
      <c r="K20" s="52">
        <f t="shared" si="1"/>
        <v>-582215446.58000004</v>
      </c>
      <c r="L20" s="52"/>
    </row>
    <row r="21" spans="1:12">
      <c r="B21" s="52"/>
      <c r="C21" s="52"/>
      <c r="D21" s="52"/>
      <c r="E21" s="52"/>
      <c r="F21" s="52"/>
      <c r="G21" s="52"/>
      <c r="H21" s="52"/>
      <c r="I21" s="52"/>
      <c r="K21" s="52"/>
      <c r="L21" s="52"/>
    </row>
    <row r="22" spans="1:12">
      <c r="B22" s="52"/>
      <c r="C22" s="52"/>
      <c r="D22" s="52"/>
      <c r="E22" s="52"/>
      <c r="F22" s="52"/>
      <c r="G22" s="52"/>
      <c r="H22" s="52"/>
      <c r="I22" s="52"/>
      <c r="J22" s="52"/>
      <c r="K22" s="52"/>
      <c r="L22" s="52"/>
    </row>
    <row r="23" spans="1:12">
      <c r="A23" t="s">
        <v>247</v>
      </c>
      <c r="B23" s="52">
        <v>-11879272</v>
      </c>
      <c r="C23" s="52">
        <v>0</v>
      </c>
      <c r="D23" s="52">
        <f>SUM(B23:C23)</f>
        <v>-11879272</v>
      </c>
      <c r="E23" s="52"/>
      <c r="F23" s="52">
        <v>1449969</v>
      </c>
      <c r="G23" s="52">
        <v>-5959526</v>
      </c>
      <c r="H23" s="52">
        <v>8715654</v>
      </c>
      <c r="I23" s="52">
        <v>7167269</v>
      </c>
      <c r="J23" s="52"/>
      <c r="K23" s="52">
        <f>SUM(D23:I23)</f>
        <v>-505906</v>
      </c>
      <c r="L23" s="52">
        <f>54762-407639+858783</f>
        <v>505906</v>
      </c>
    </row>
    <row r="24" spans="1:12">
      <c r="A24" t="s">
        <v>248</v>
      </c>
      <c r="B24" s="181">
        <f>-2065118-6258147+2065118+6258147-2065118</f>
        <v>-2065118</v>
      </c>
      <c r="C24" s="181"/>
      <c r="D24" s="52">
        <f>SUM(B24:C24)</f>
        <v>-2065118</v>
      </c>
      <c r="E24" s="181"/>
      <c r="F24" s="181"/>
      <c r="G24" s="181">
        <f>-38666381+40524918+129138+38666381-45115275</f>
        <v>-4461219</v>
      </c>
      <c r="H24" s="181">
        <f>-1957665+9313955+129138+1957665-3872087</f>
        <v>5571006</v>
      </c>
      <c r="I24" s="181">
        <f>-2097339+4237164+2097339-3281706</f>
        <v>955458</v>
      </c>
      <c r="J24" s="181"/>
      <c r="K24" s="181">
        <f>SUM(D24:I24)</f>
        <v>127</v>
      </c>
      <c r="L24" s="52"/>
    </row>
    <row r="25" spans="1:12">
      <c r="B25" s="52"/>
      <c r="C25" s="52"/>
      <c r="D25" s="52"/>
      <c r="E25" s="52"/>
      <c r="F25" s="52"/>
      <c r="G25" s="52"/>
      <c r="H25" s="52"/>
      <c r="I25" s="52"/>
      <c r="J25" s="52"/>
      <c r="L25" s="52"/>
    </row>
    <row r="26" spans="1:12" ht="13.8" thickBot="1">
      <c r="A26" t="s">
        <v>244</v>
      </c>
      <c r="B26" s="178">
        <f>B20+B23+B24</f>
        <v>-63754304.689999998</v>
      </c>
      <c r="C26" s="178">
        <f t="shared" ref="C26:D26" si="3">C20+C23+C24</f>
        <v>0</v>
      </c>
      <c r="D26" s="178">
        <f t="shared" si="3"/>
        <v>-63754304.689999998</v>
      </c>
      <c r="E26" s="52"/>
      <c r="F26" s="178">
        <f>F20+F23+F24</f>
        <v>-570894.82000000007</v>
      </c>
      <c r="G26" s="178">
        <f t="shared" ref="G26:I26" si="4">G20+G23+G24</f>
        <v>-400254878.11000001</v>
      </c>
      <c r="H26" s="178">
        <f t="shared" si="4"/>
        <v>-75973403.870000005</v>
      </c>
      <c r="I26" s="178">
        <f t="shared" si="4"/>
        <v>-42167744.090000004</v>
      </c>
      <c r="J26" s="52"/>
      <c r="K26" s="178">
        <f>SUM(D26:I26)</f>
        <v>-582721225.58000004</v>
      </c>
      <c r="L26" s="52"/>
    </row>
    <row r="27" spans="1:12">
      <c r="B27" s="52"/>
      <c r="C27" s="52"/>
      <c r="D27" s="52"/>
      <c r="E27" s="52"/>
      <c r="F27" s="52"/>
      <c r="G27" s="52"/>
      <c r="H27" s="52"/>
      <c r="I27" s="52"/>
      <c r="J27" s="52"/>
      <c r="K27" s="176" t="s">
        <v>220</v>
      </c>
      <c r="L27" s="52"/>
    </row>
    <row r="28" spans="1:12">
      <c r="B28" s="52"/>
      <c r="C28" s="52"/>
      <c r="D28" s="52"/>
      <c r="E28" s="52"/>
      <c r="F28" s="52"/>
      <c r="G28" s="52"/>
      <c r="H28" s="52"/>
      <c r="I28" s="52"/>
      <c r="J28" s="52"/>
      <c r="K28" s="52"/>
      <c r="L28" s="52"/>
    </row>
    <row r="29" spans="1:12" ht="64.5" customHeight="1">
      <c r="A29" s="187" t="s">
        <v>251</v>
      </c>
      <c r="B29" s="187"/>
      <c r="C29" s="187"/>
      <c r="D29" s="187"/>
      <c r="E29" s="187"/>
      <c r="F29" s="187"/>
      <c r="G29" s="187"/>
      <c r="H29" s="187"/>
      <c r="I29" s="187"/>
    </row>
  </sheetData>
  <mergeCells count="1">
    <mergeCell ref="A29:I29"/>
  </mergeCells>
  <printOptions horizontalCentered="1"/>
  <pageMargins left="0.75" right="0.75" top="0.75" bottom="0.75" header="0.5" footer="0.5"/>
  <pageSetup scale="86" orientation="landscape" r:id="rId1"/>
  <headerFooter alignWithMargins="0">
    <oddFooter>&amp;C&amp;F&amp;A&amp;RPrepared by: JPluth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topLeftCell="B9" workbookViewId="0">
      <selection activeCell="F50" sqref="F50"/>
    </sheetView>
  </sheetViews>
  <sheetFormatPr defaultColWidth="10.6640625" defaultRowHeight="13.2"/>
  <cols>
    <col min="1" max="1" width="0" style="55" hidden="1" customWidth="1"/>
    <col min="2" max="2" width="27" style="55" customWidth="1"/>
    <col min="3" max="4" width="14" style="55" customWidth="1"/>
    <col min="5" max="5" width="16.6640625" style="55" bestFit="1" customWidth="1"/>
    <col min="6" max="6" width="18.44140625" style="55" bestFit="1" customWidth="1"/>
    <col min="7" max="7" width="9.33203125" style="55" customWidth="1"/>
    <col min="8" max="8" width="13.33203125" style="55" customWidth="1"/>
    <col min="9" max="9" width="13.44140625" style="55" customWidth="1"/>
    <col min="10" max="10" width="11.33203125" style="55" bestFit="1" customWidth="1"/>
    <col min="11" max="12" width="12.88671875" style="55" bestFit="1" customWidth="1"/>
    <col min="13" max="13" width="13.44140625" style="55" customWidth="1"/>
    <col min="14" max="14" width="13.88671875" style="55" customWidth="1"/>
    <col min="15" max="16384" width="10.6640625" style="55"/>
  </cols>
  <sheetData>
    <row r="1" spans="1:9">
      <c r="B1" s="188" t="str">
        <f>EOPbalances!E1</f>
        <v>AVISTA UTILITIES</v>
      </c>
      <c r="C1" s="186"/>
      <c r="D1" s="186"/>
      <c r="E1" s="186"/>
      <c r="G1" s="59"/>
      <c r="H1" s="59" t="s">
        <v>63</v>
      </c>
      <c r="I1" s="55" t="s">
        <v>62</v>
      </c>
    </row>
    <row r="2" spans="1:9">
      <c r="B2" s="188" t="s">
        <v>86</v>
      </c>
      <c r="C2" s="186"/>
      <c r="D2" s="186"/>
      <c r="E2" s="186"/>
      <c r="F2" s="59"/>
      <c r="G2" s="59"/>
    </row>
    <row r="3" spans="1:9">
      <c r="B3" s="189" t="s">
        <v>242</v>
      </c>
      <c r="C3" s="186"/>
      <c r="D3" s="186"/>
      <c r="E3" s="186"/>
      <c r="F3" s="59"/>
      <c r="G3" s="59"/>
    </row>
    <row r="4" spans="1:9">
      <c r="B4" s="60"/>
      <c r="C4" s="61"/>
      <c r="D4" s="61"/>
      <c r="E4" s="60"/>
      <c r="F4" s="60"/>
    </row>
    <row r="5" spans="1:9" s="167" customFormat="1" ht="39.6">
      <c r="A5" s="166"/>
      <c r="C5" s="167" t="s">
        <v>87</v>
      </c>
      <c r="D5" s="170" t="s">
        <v>178</v>
      </c>
      <c r="E5" s="169"/>
    </row>
    <row r="6" spans="1:9" s="63" customFormat="1">
      <c r="A6" s="62"/>
      <c r="C6" s="28" t="s">
        <v>89</v>
      </c>
      <c r="D6" s="133" t="s">
        <v>89</v>
      </c>
      <c r="E6"/>
    </row>
    <row r="7" spans="1:9" s="63" customFormat="1">
      <c r="A7" s="62"/>
      <c r="B7" s="28"/>
      <c r="C7" s="64">
        <v>283382</v>
      </c>
      <c r="D7" s="64">
        <v>283333</v>
      </c>
      <c r="E7"/>
    </row>
    <row r="8" spans="1:9" s="63" customFormat="1">
      <c r="A8" s="62"/>
      <c r="B8" s="28"/>
      <c r="C8" s="65" t="s">
        <v>90</v>
      </c>
      <c r="D8" s="65" t="s">
        <v>90</v>
      </c>
      <c r="E8"/>
    </row>
    <row r="9" spans="1:9" s="63" customFormat="1">
      <c r="A9" s="62"/>
      <c r="B9" s="28"/>
      <c r="C9" s="65"/>
      <c r="D9" s="61"/>
      <c r="E9"/>
    </row>
    <row r="10" spans="1:9">
      <c r="A10" s="66">
        <v>201012</v>
      </c>
      <c r="B10" s="67">
        <v>41609</v>
      </c>
      <c r="C10" s="44">
        <f>'283382 ED AN'!F6</f>
        <v>-12390091.75</v>
      </c>
      <c r="D10" s="44">
        <f>'283333 ED AN'!F6</f>
        <v>358135.72</v>
      </c>
      <c r="E10"/>
    </row>
    <row r="11" spans="1:9">
      <c r="A11" s="66">
        <v>201112</v>
      </c>
      <c r="B11" s="68">
        <v>41974</v>
      </c>
      <c r="C11" s="44">
        <f>'283382 ED AN'!F18</f>
        <v>-12080661.789999999</v>
      </c>
      <c r="D11" s="44">
        <f>'283333 ED AN'!F18</f>
        <v>369587.56000000006</v>
      </c>
      <c r="E11"/>
    </row>
    <row r="12" spans="1:9">
      <c r="A12" s="66"/>
      <c r="B12" s="67" t="s">
        <v>91</v>
      </c>
      <c r="C12" s="69">
        <f>C10+C11</f>
        <v>-24470753.539999999</v>
      </c>
      <c r="D12" s="69">
        <f>D10+D11</f>
        <v>727723.28</v>
      </c>
      <c r="E12"/>
    </row>
    <row r="13" spans="1:9">
      <c r="A13" s="66"/>
      <c r="B13" s="67"/>
      <c r="C13" s="50"/>
      <c r="D13" s="50"/>
      <c r="E13"/>
    </row>
    <row r="14" spans="1:9">
      <c r="A14" s="66"/>
      <c r="B14" s="67" t="s">
        <v>92</v>
      </c>
      <c r="C14" s="50">
        <f>C12/2</f>
        <v>-12235376.77</v>
      </c>
      <c r="D14" s="50">
        <f>D12/2</f>
        <v>363861.64</v>
      </c>
      <c r="E14"/>
    </row>
    <row r="15" spans="1:9">
      <c r="A15" s="66">
        <v>201101</v>
      </c>
      <c r="B15" s="70">
        <v>41640</v>
      </c>
      <c r="C15" s="44">
        <f>'283382 ED AN'!F7</f>
        <v>-12364305.92</v>
      </c>
      <c r="D15" s="44">
        <f>'283333 ED AN'!F7</f>
        <v>359090.04</v>
      </c>
      <c r="E15"/>
    </row>
    <row r="16" spans="1:9">
      <c r="A16" s="66">
        <v>201102</v>
      </c>
      <c r="B16" s="70">
        <v>41671</v>
      </c>
      <c r="C16" s="44">
        <f>'283382 ED AN'!F8</f>
        <v>-12338520.09</v>
      </c>
      <c r="D16" s="44">
        <f>'283333 ED AN'!F8</f>
        <v>360044.36</v>
      </c>
      <c r="E16"/>
    </row>
    <row r="17" spans="1:9">
      <c r="A17" s="66">
        <v>201103</v>
      </c>
      <c r="B17" s="70">
        <v>41699</v>
      </c>
      <c r="C17" s="44">
        <f>'283382 ED AN'!F9</f>
        <v>-12312734.26</v>
      </c>
      <c r="D17" s="44">
        <f>'283333 ED AN'!F9</f>
        <v>360998.68</v>
      </c>
      <c r="E17"/>
    </row>
    <row r="18" spans="1:9">
      <c r="A18" s="66">
        <v>201104</v>
      </c>
      <c r="B18" s="70">
        <v>41730</v>
      </c>
      <c r="C18" s="44">
        <f>'283382 ED AN'!F10</f>
        <v>-12286948.43</v>
      </c>
      <c r="D18" s="44">
        <f>'283333 ED AN'!F10</f>
        <v>361953</v>
      </c>
      <c r="E18"/>
      <c r="F18" s="43"/>
      <c r="G18" s="43"/>
    </row>
    <row r="19" spans="1:9">
      <c r="A19" s="66">
        <v>201105</v>
      </c>
      <c r="B19" s="70">
        <v>41760</v>
      </c>
      <c r="C19" s="44">
        <f>'283382 ED AN'!F11</f>
        <v>-12261162.6</v>
      </c>
      <c r="D19" s="44">
        <f>'283333 ED AN'!F11</f>
        <v>362907.32</v>
      </c>
      <c r="E19"/>
      <c r="G19" s="71"/>
    </row>
    <row r="20" spans="1:9">
      <c r="A20" s="66">
        <v>201106</v>
      </c>
      <c r="B20" s="70">
        <v>41791</v>
      </c>
      <c r="C20" s="44">
        <f>'283382 ED AN'!F12</f>
        <v>-12235376.77</v>
      </c>
      <c r="D20" s="44">
        <f>'283333 ED AN'!F12</f>
        <v>363861.64</v>
      </c>
      <c r="E20" s="71"/>
      <c r="F20" s="71"/>
      <c r="G20" s="71"/>
      <c r="H20" s="43"/>
      <c r="I20" s="43"/>
    </row>
    <row r="21" spans="1:9">
      <c r="A21" s="66">
        <v>201107</v>
      </c>
      <c r="B21" s="70">
        <v>41821</v>
      </c>
      <c r="C21" s="44">
        <f>'283382 ED AN'!F13</f>
        <v>-12209590.939999999</v>
      </c>
      <c r="D21" s="44">
        <f>'283333 ED AN'!F13</f>
        <v>364815.96</v>
      </c>
      <c r="E21" s="71"/>
      <c r="F21" s="71"/>
      <c r="G21" s="71"/>
      <c r="H21" s="43"/>
      <c r="I21" s="43"/>
    </row>
    <row r="22" spans="1:9">
      <c r="A22" s="66">
        <v>201108</v>
      </c>
      <c r="B22" s="70">
        <v>41852</v>
      </c>
      <c r="C22" s="44">
        <f>'283382 ED AN'!F14</f>
        <v>-12183805.109999999</v>
      </c>
      <c r="D22" s="44">
        <f>'283333 ED AN'!F14</f>
        <v>365770.28</v>
      </c>
      <c r="E22" s="71"/>
      <c r="F22" s="71"/>
      <c r="G22" s="71"/>
      <c r="H22" s="43"/>
      <c r="I22" s="43"/>
    </row>
    <row r="23" spans="1:9">
      <c r="A23" s="66">
        <v>201109</v>
      </c>
      <c r="B23" s="70">
        <v>41883</v>
      </c>
      <c r="C23" s="44">
        <f>'283382 ED AN'!F15</f>
        <v>-12158019.279999999</v>
      </c>
      <c r="D23" s="44">
        <f>'283333 ED AN'!F15</f>
        <v>366724.60000000003</v>
      </c>
      <c r="E23" s="71"/>
      <c r="F23" s="71"/>
      <c r="G23" s="71"/>
      <c r="H23" s="43"/>
      <c r="I23" s="43"/>
    </row>
    <row r="24" spans="1:9">
      <c r="A24" s="66">
        <v>201110</v>
      </c>
      <c r="B24" s="70">
        <v>41913</v>
      </c>
      <c r="C24" s="44">
        <f>'283382 ED AN'!F16</f>
        <v>-12132233.449999999</v>
      </c>
      <c r="D24" s="44">
        <f>'283333 ED AN'!F16</f>
        <v>367678.92000000004</v>
      </c>
      <c r="E24" s="71"/>
      <c r="F24" s="71"/>
      <c r="G24" s="71"/>
      <c r="H24" s="43"/>
      <c r="I24" s="43"/>
    </row>
    <row r="25" spans="1:9">
      <c r="A25" s="66">
        <v>201111</v>
      </c>
      <c r="B25" s="70">
        <v>41944</v>
      </c>
      <c r="C25" s="44">
        <f>'283382 ED AN'!F17</f>
        <v>-12106447.619999999</v>
      </c>
      <c r="D25" s="44">
        <f>'283333 ED AN'!F17</f>
        <v>368633.24000000005</v>
      </c>
      <c r="E25"/>
      <c r="G25" s="71"/>
    </row>
    <row r="26" spans="1:9">
      <c r="A26" s="66"/>
      <c r="B26" s="72" t="s">
        <v>91</v>
      </c>
      <c r="C26" s="69">
        <f>SUM(C14:C25)</f>
        <v>-146824521.23999998</v>
      </c>
      <c r="D26" s="69">
        <f>SUM(D14:D25)</f>
        <v>4366339.68</v>
      </c>
      <c r="E26"/>
    </row>
    <row r="27" spans="1:9">
      <c r="A27" s="66"/>
      <c r="B27" s="73" t="s">
        <v>246</v>
      </c>
      <c r="C27" s="23">
        <f>C11</f>
        <v>-12080661.789999999</v>
      </c>
      <c r="D27" s="23">
        <f>D11</f>
        <v>369587.56000000006</v>
      </c>
      <c r="E27"/>
    </row>
    <row r="28" spans="1:9">
      <c r="A28" s="66"/>
      <c r="C28" s="164" t="s">
        <v>221</v>
      </c>
      <c r="D28" s="164" t="s">
        <v>222</v>
      </c>
    </row>
    <row r="29" spans="1:9">
      <c r="A29" s="66"/>
    </row>
    <row r="30" spans="1:9">
      <c r="B30" s="74"/>
    </row>
    <row r="33" spans="2:5" ht="14.4">
      <c r="B33"/>
      <c r="C33"/>
      <c r="D33"/>
      <c r="E33" s="75"/>
    </row>
    <row r="34" spans="2:5" ht="14.4">
      <c r="B34"/>
      <c r="C34"/>
      <c r="D34"/>
      <c r="E34" s="75"/>
    </row>
  </sheetData>
  <mergeCells count="3">
    <mergeCell ref="B1:E1"/>
    <mergeCell ref="B2:E2"/>
    <mergeCell ref="B3:E3"/>
  </mergeCells>
  <pageMargins left="0.7" right="0.7" top="0.75" bottom="0.75" header="0.3" footer="0.3"/>
  <pageSetup orientation="portrait" r:id="rId1"/>
  <headerFooter>
    <oddFooter>&amp;C&amp;F&amp;A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zoomScaleNormal="100" workbookViewId="0">
      <pane xSplit="5" ySplit="4" topLeftCell="F8" activePane="bottomRight" state="frozen"/>
      <selection activeCell="F50" sqref="F50"/>
      <selection pane="topRight" activeCell="F50" sqref="F50"/>
      <selection pane="bottomLeft" activeCell="F50" sqref="F50"/>
      <selection pane="bottomRight" activeCell="F50" sqref="F50"/>
    </sheetView>
  </sheetViews>
  <sheetFormatPr defaultColWidth="10.6640625" defaultRowHeight="13.2"/>
  <cols>
    <col min="1" max="1" width="27" style="55" customWidth="1"/>
    <col min="2" max="2" width="13.109375" style="55" customWidth="1"/>
    <col min="3" max="3" width="3.109375" style="55" customWidth="1"/>
    <col min="4" max="4" width="11.44140625" style="55" customWidth="1"/>
    <col min="5" max="5" width="13.109375" style="55" customWidth="1"/>
    <col min="6" max="7" width="14.5546875" style="55" customWidth="1"/>
    <col min="8" max="8" width="13.33203125" style="55" customWidth="1"/>
    <col min="9" max="9" width="13.44140625" style="55" customWidth="1"/>
    <col min="10" max="10" width="11.33203125" style="55" bestFit="1" customWidth="1"/>
    <col min="11" max="12" width="12.88671875" style="55" bestFit="1" customWidth="1"/>
    <col min="13" max="13" width="13.44140625" style="55" customWidth="1"/>
    <col min="14" max="14" width="13.88671875" style="55" customWidth="1"/>
    <col min="15" max="16384" width="10.6640625" style="55"/>
  </cols>
  <sheetData>
    <row r="1" spans="1:7">
      <c r="A1" s="188" t="str">
        <f>EOPbalances!E1</f>
        <v>AVISTA UTILITIES</v>
      </c>
      <c r="B1" s="186"/>
      <c r="C1" s="186"/>
      <c r="D1" s="186"/>
      <c r="E1" s="186"/>
      <c r="F1" s="59" t="s">
        <v>63</v>
      </c>
      <c r="G1" s="59" t="s">
        <v>62</v>
      </c>
    </row>
    <row r="2" spans="1:7">
      <c r="A2" s="188" t="s">
        <v>86</v>
      </c>
      <c r="B2" s="186"/>
      <c r="C2" s="186"/>
      <c r="D2" s="186"/>
      <c r="E2" s="186"/>
      <c r="F2" s="59" t="s">
        <v>60</v>
      </c>
      <c r="G2" s="59" t="s">
        <v>61</v>
      </c>
    </row>
    <row r="3" spans="1:7">
      <c r="A3" s="189" t="s">
        <v>242</v>
      </c>
      <c r="B3" s="186"/>
      <c r="C3" s="186"/>
      <c r="D3" s="186"/>
      <c r="E3" s="186"/>
      <c r="F3" s="59"/>
      <c r="G3" s="59"/>
    </row>
    <row r="4" spans="1:7">
      <c r="A4" s="60"/>
      <c r="B4" s="61"/>
      <c r="C4" s="61"/>
      <c r="D4" s="60"/>
      <c r="E4" s="60"/>
    </row>
    <row r="5" spans="1:7" s="167" customFormat="1" ht="25.95" customHeight="1">
      <c r="B5" s="168" t="s">
        <v>79</v>
      </c>
      <c r="C5" s="168"/>
      <c r="D5" s="167" t="s">
        <v>93</v>
      </c>
      <c r="E5" s="177" t="s">
        <v>164</v>
      </c>
      <c r="F5" s="169"/>
      <c r="G5" s="169"/>
    </row>
    <row r="6" spans="1:7" s="63" customFormat="1">
      <c r="B6" s="28" t="s">
        <v>88</v>
      </c>
      <c r="C6" s="28"/>
      <c r="D6" s="28"/>
      <c r="E6" s="76"/>
      <c r="F6"/>
      <c r="G6"/>
    </row>
    <row r="7" spans="1:7" s="63" customFormat="1">
      <c r="A7" s="28"/>
      <c r="B7" s="64">
        <v>283200</v>
      </c>
      <c r="C7" s="65"/>
      <c r="D7" s="64">
        <v>283850</v>
      </c>
      <c r="E7" s="128">
        <v>283750</v>
      </c>
      <c r="F7"/>
      <c r="G7"/>
    </row>
    <row r="8" spans="1:7" s="63" customFormat="1">
      <c r="A8" s="28"/>
      <c r="B8" s="65" t="s">
        <v>166</v>
      </c>
      <c r="C8" s="65"/>
      <c r="D8" s="65" t="s">
        <v>165</v>
      </c>
      <c r="E8" s="77" t="s">
        <v>165</v>
      </c>
      <c r="F8"/>
      <c r="G8"/>
    </row>
    <row r="9" spans="1:7">
      <c r="A9" s="67">
        <f>'CDA DFIT'!B10</f>
        <v>41609</v>
      </c>
      <c r="B9" s="49">
        <f>'283200 ED AN'!E6</f>
        <v>-288224.63</v>
      </c>
      <c r="C9" s="49"/>
      <c r="D9" s="126">
        <f>'283850 CD AA'!F6</f>
        <v>-5731970.3899999997</v>
      </c>
      <c r="E9" s="126">
        <f>'283750 CD AA'!H6</f>
        <v>-546394.76</v>
      </c>
      <c r="F9"/>
      <c r="G9"/>
    </row>
    <row r="10" spans="1:7">
      <c r="A10" s="67">
        <f>'CDA DFIT'!B11</f>
        <v>41974</v>
      </c>
      <c r="B10" s="49">
        <f>'283200 ED AN'!E18</f>
        <v>-216490.91000000003</v>
      </c>
      <c r="C10" s="126"/>
      <c r="D10" s="126">
        <f>'283850 CD AA'!F18</f>
        <v>-5127929.4700000016</v>
      </c>
      <c r="E10" s="126">
        <f>'283750 CD AA'!H18</f>
        <v>-546394.76</v>
      </c>
      <c r="F10"/>
      <c r="G10"/>
    </row>
    <row r="11" spans="1:7">
      <c r="A11" s="67" t="s">
        <v>91</v>
      </c>
      <c r="B11" s="127">
        <f>B9+B10</f>
        <v>-504715.54000000004</v>
      </c>
      <c r="C11" s="127"/>
      <c r="D11" s="127">
        <f>D9+D10</f>
        <v>-10859899.860000001</v>
      </c>
      <c r="E11" s="127">
        <f>E9+E10</f>
        <v>-1092789.52</v>
      </c>
      <c r="F11"/>
      <c r="G11"/>
    </row>
    <row r="12" spans="1:7">
      <c r="A12" s="67"/>
      <c r="B12" s="49"/>
      <c r="C12" s="49"/>
      <c r="D12" s="49"/>
      <c r="E12" s="49"/>
      <c r="F12"/>
      <c r="G12"/>
    </row>
    <row r="13" spans="1:7">
      <c r="A13" s="67" t="s">
        <v>92</v>
      </c>
      <c r="B13" s="49">
        <f>B11/2</f>
        <v>-252357.77000000002</v>
      </c>
      <c r="C13" s="49"/>
      <c r="D13" s="49">
        <f>D11/2</f>
        <v>-5429949.9300000006</v>
      </c>
      <c r="E13" s="49">
        <f>E11/2</f>
        <v>-546394.76</v>
      </c>
      <c r="F13"/>
      <c r="G13"/>
    </row>
    <row r="14" spans="1:7">
      <c r="A14" s="123">
        <f>'CDA DFIT'!B15</f>
        <v>41640</v>
      </c>
      <c r="B14" s="49">
        <f>'283200 ED AN'!E7</f>
        <v>-282246.82</v>
      </c>
      <c r="C14" s="126"/>
      <c r="D14" s="126">
        <f>'283850 CD AA'!F7</f>
        <v>-5677025.6200000001</v>
      </c>
      <c r="E14" s="126">
        <f>'283750 CD AA'!H7</f>
        <v>-546394.76</v>
      </c>
      <c r="F14"/>
      <c r="G14"/>
    </row>
    <row r="15" spans="1:7">
      <c r="A15" s="123">
        <f>'CDA DFIT'!B16</f>
        <v>41671</v>
      </c>
      <c r="B15" s="49">
        <f>'283200 ED AN'!E8</f>
        <v>-276269.01</v>
      </c>
      <c r="C15" s="126"/>
      <c r="D15" s="126">
        <f>'283850 CD AA'!F8</f>
        <v>-5622080.8500000006</v>
      </c>
      <c r="E15" s="126">
        <f>'283750 CD AA'!H8</f>
        <v>-546394.76</v>
      </c>
      <c r="F15"/>
      <c r="G15"/>
    </row>
    <row r="16" spans="1:7">
      <c r="A16" s="123">
        <f>'CDA DFIT'!B17</f>
        <v>41699</v>
      </c>
      <c r="B16" s="49">
        <f>'283200 ED AN'!E9</f>
        <v>-270291.20000000001</v>
      </c>
      <c r="C16" s="126"/>
      <c r="D16" s="126">
        <f>'283850 CD AA'!F9</f>
        <v>-5567136.080000001</v>
      </c>
      <c r="E16" s="126">
        <f>'283750 CD AA'!H9</f>
        <v>-546394.76</v>
      </c>
      <c r="F16"/>
      <c r="G16"/>
    </row>
    <row r="17" spans="1:11">
      <c r="A17" s="123">
        <f>'CDA DFIT'!B18</f>
        <v>41730</v>
      </c>
      <c r="B17" s="49">
        <f>'283200 ED AN'!E10</f>
        <v>-264313.39</v>
      </c>
      <c r="C17" s="126"/>
      <c r="D17" s="126">
        <f>'283850 CD AA'!F10</f>
        <v>-5512191.2800000012</v>
      </c>
      <c r="E17" s="126">
        <f>'283750 CD AA'!H10</f>
        <v>-546394.76</v>
      </c>
      <c r="F17"/>
      <c r="G17"/>
      <c r="H17" s="43"/>
      <c r="I17" s="43"/>
    </row>
    <row r="18" spans="1:11">
      <c r="A18" s="123">
        <f>'CDA DFIT'!B19</f>
        <v>41760</v>
      </c>
      <c r="B18" s="49">
        <f>'283200 ED AN'!E11</f>
        <v>-258335.58000000002</v>
      </c>
      <c r="C18" s="126"/>
      <c r="D18" s="126">
        <f>'283850 CD AA'!F11</f>
        <v>-5457866.8400000008</v>
      </c>
      <c r="E18" s="126">
        <f>'283750 CD AA'!H11</f>
        <v>-546394.76</v>
      </c>
      <c r="F18"/>
      <c r="G18"/>
      <c r="I18" s="71"/>
    </row>
    <row r="19" spans="1:11">
      <c r="A19" s="123">
        <f>'CDA DFIT'!B20</f>
        <v>41791</v>
      </c>
      <c r="B19" s="49">
        <f>'283200 ED AN'!E12</f>
        <v>-252357.77000000002</v>
      </c>
      <c r="C19" s="126"/>
      <c r="D19" s="126">
        <f>'283850 CD AA'!F12</f>
        <v>-5405872.4000000004</v>
      </c>
      <c r="E19" s="126">
        <f>'283750 CD AA'!H12</f>
        <v>-546394.76</v>
      </c>
      <c r="F19" s="71"/>
      <c r="G19" s="71"/>
      <c r="H19" s="71"/>
      <c r="I19" s="71"/>
      <c r="J19" s="43"/>
      <c r="K19" s="43"/>
    </row>
    <row r="20" spans="1:11">
      <c r="A20" s="123">
        <f>'CDA DFIT'!B21</f>
        <v>41821</v>
      </c>
      <c r="B20" s="49">
        <f>'283200 ED AN'!E13</f>
        <v>-246379.96000000002</v>
      </c>
      <c r="C20" s="126"/>
      <c r="D20" s="126">
        <f>'283850 CD AA'!F13</f>
        <v>-5357282.7600000007</v>
      </c>
      <c r="E20" s="126">
        <f>'283750 CD AA'!H13</f>
        <v>-546394.76</v>
      </c>
      <c r="F20" s="71"/>
      <c r="G20" s="71"/>
      <c r="H20" s="71"/>
      <c r="I20" s="71"/>
      <c r="J20" s="43"/>
      <c r="K20" s="43"/>
    </row>
    <row r="21" spans="1:11">
      <c r="A21" s="123">
        <f>'CDA DFIT'!B22</f>
        <v>41852</v>
      </c>
      <c r="B21" s="49">
        <f>'283200 ED AN'!E14</f>
        <v>-240402.15000000002</v>
      </c>
      <c r="C21" s="126"/>
      <c r="D21" s="126">
        <f>'283850 CD AA'!F14</f>
        <v>-5310400.5200000005</v>
      </c>
      <c r="E21" s="126">
        <f>'283750 CD AA'!H14</f>
        <v>-546394.76</v>
      </c>
      <c r="F21" s="71"/>
      <c r="G21" s="71"/>
      <c r="H21" s="71"/>
      <c r="I21" s="71"/>
      <c r="J21" s="43"/>
      <c r="K21" s="43"/>
    </row>
    <row r="22" spans="1:11">
      <c r="A22" s="123">
        <f>'CDA DFIT'!B23</f>
        <v>41883</v>
      </c>
      <c r="B22" s="49">
        <f>'283200 ED AN'!E15</f>
        <v>-234424.34000000003</v>
      </c>
      <c r="C22" s="126"/>
      <c r="D22" s="126">
        <f>'283850 CD AA'!F15</f>
        <v>-5263518.28</v>
      </c>
      <c r="E22" s="126">
        <f>'283750 CD AA'!H15</f>
        <v>-546394.76</v>
      </c>
      <c r="F22" s="71"/>
      <c r="G22" s="71"/>
      <c r="H22" s="71"/>
      <c r="I22" s="71"/>
      <c r="J22" s="43"/>
      <c r="K22" s="43"/>
    </row>
    <row r="23" spans="1:11">
      <c r="A23" s="123">
        <f>'CDA DFIT'!B24</f>
        <v>41913</v>
      </c>
      <c r="B23" s="49">
        <f>'283200 ED AN'!E16</f>
        <v>-228446.53000000003</v>
      </c>
      <c r="C23" s="126"/>
      <c r="D23" s="126">
        <f>'283850 CD AA'!F16</f>
        <v>-5218322.0100000007</v>
      </c>
      <c r="E23" s="126">
        <f>'283750 CD AA'!H16</f>
        <v>-546394.76</v>
      </c>
      <c r="F23" s="71"/>
      <c r="G23" s="71"/>
      <c r="H23" s="71"/>
      <c r="I23" s="71"/>
      <c r="J23" s="43"/>
      <c r="K23" s="43"/>
    </row>
    <row r="24" spans="1:11">
      <c r="A24" s="123">
        <f>'CDA DFIT'!B25</f>
        <v>41944</v>
      </c>
      <c r="B24" s="49">
        <f>'283200 ED AN'!E17</f>
        <v>-222468.72000000003</v>
      </c>
      <c r="C24" s="126"/>
      <c r="D24" s="126">
        <f>'283850 CD AA'!F17</f>
        <v>-5173125.7400000012</v>
      </c>
      <c r="E24" s="126">
        <f>'283750 CD AA'!H17</f>
        <v>-546394.76</v>
      </c>
      <c r="F24"/>
      <c r="G24"/>
      <c r="I24" s="71"/>
    </row>
    <row r="25" spans="1:11">
      <c r="A25" s="72" t="s">
        <v>91</v>
      </c>
      <c r="B25" s="69">
        <f>SUM(B13:B24)</f>
        <v>-3028293.2399999998</v>
      </c>
      <c r="C25" s="69"/>
      <c r="D25" s="69">
        <f>SUM(D13:D24)</f>
        <v>-64994772.31000001</v>
      </c>
      <c r="E25" s="69">
        <f>SUM(E13:E24)</f>
        <v>-6556737.1199999982</v>
      </c>
      <c r="F25"/>
      <c r="G25"/>
    </row>
    <row r="26" spans="1:11">
      <c r="A26" s="73" t="s">
        <v>246</v>
      </c>
      <c r="B26" s="23">
        <f>B10</f>
        <v>-216490.91000000003</v>
      </c>
      <c r="C26" s="23"/>
      <c r="D26" s="23">
        <f t="shared" ref="D26:E26" si="0">D10</f>
        <v>-5127929.4700000016</v>
      </c>
      <c r="E26" s="23">
        <f t="shared" si="0"/>
        <v>-546394.76</v>
      </c>
      <c r="F26"/>
      <c r="G26"/>
    </row>
    <row r="27" spans="1:11">
      <c r="B27" s="164" t="s">
        <v>39</v>
      </c>
      <c r="C27" s="164"/>
      <c r="D27" s="164" t="s">
        <v>224</v>
      </c>
      <c r="E27" s="164" t="s">
        <v>223</v>
      </c>
    </row>
  </sheetData>
  <mergeCells count="3">
    <mergeCell ref="A1:E1"/>
    <mergeCell ref="A2:E2"/>
    <mergeCell ref="A3:E3"/>
  </mergeCells>
  <printOptions horizontalCentered="1"/>
  <pageMargins left="0.75" right="0.75" top="0.75" bottom="0.75" header="0.5" footer="0.5"/>
  <pageSetup orientation="portrait" r:id="rId1"/>
  <headerFooter alignWithMargins="0">
    <oddFooter>&amp;C&amp;F&amp;A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4"/>
  <sheetViews>
    <sheetView topLeftCell="A3" zoomScaleNormal="100" workbookViewId="0">
      <selection activeCell="A25" sqref="A25:A29"/>
    </sheetView>
  </sheetViews>
  <sheetFormatPr defaultColWidth="9.109375" defaultRowHeight="13.2"/>
  <cols>
    <col min="1" max="1" width="10.33203125" style="1" customWidth="1"/>
    <col min="2" max="2" width="25.88671875" style="1" customWidth="1"/>
    <col min="3" max="3" width="16.5546875" style="1" bestFit="1" customWidth="1"/>
    <col min="4" max="4" width="16.5546875" style="1" customWidth="1"/>
    <col min="5" max="5" width="14.5546875" style="1" customWidth="1"/>
    <col min="6" max="6" width="16.5546875" style="1" bestFit="1" customWidth="1"/>
    <col min="7" max="7" width="9.109375" style="1"/>
    <col min="8" max="8" width="11.33203125" style="1" hidden="1" customWidth="1"/>
    <col min="9" max="9" width="12.6640625" style="1" customWidth="1"/>
    <col min="10" max="10" width="12.109375" style="1" customWidth="1"/>
    <col min="11" max="11" width="14" style="1" customWidth="1"/>
    <col min="12" max="16384" width="9.109375" style="1"/>
  </cols>
  <sheetData>
    <row r="2" spans="1:8" ht="39.6">
      <c r="A2" s="78" t="s">
        <v>94</v>
      </c>
      <c r="B2" s="79" t="s">
        <v>95</v>
      </c>
      <c r="C2" s="79" t="s">
        <v>63</v>
      </c>
      <c r="D2" s="79"/>
      <c r="E2" s="79" t="s">
        <v>62</v>
      </c>
      <c r="F2" s="80"/>
    </row>
    <row r="3" spans="1:8" ht="29.25" customHeight="1">
      <c r="A3" s="81">
        <v>283324</v>
      </c>
      <c r="B3" s="82" t="s">
        <v>158</v>
      </c>
      <c r="C3" s="83"/>
      <c r="D3" s="83"/>
      <c r="E3" s="83"/>
      <c r="F3" s="84"/>
    </row>
    <row r="4" spans="1:8">
      <c r="A4" s="85"/>
      <c r="B4" s="86" t="s">
        <v>96</v>
      </c>
      <c r="C4" s="86" t="s">
        <v>97</v>
      </c>
      <c r="D4" s="86"/>
      <c r="E4" s="87"/>
      <c r="F4" s="88"/>
    </row>
    <row r="5" spans="1:8" ht="52.8">
      <c r="A5" s="89" t="s">
        <v>98</v>
      </c>
      <c r="B5" s="90" t="s">
        <v>99</v>
      </c>
      <c r="C5" s="90" t="s">
        <v>100</v>
      </c>
      <c r="D5" s="90" t="s">
        <v>177</v>
      </c>
      <c r="E5" s="90" t="s">
        <v>183</v>
      </c>
      <c r="F5" s="91" t="s">
        <v>102</v>
      </c>
      <c r="H5" s="92" t="s">
        <v>103</v>
      </c>
    </row>
    <row r="6" spans="1:8">
      <c r="A6" s="93">
        <f>'283200 ED AN'!A6</f>
        <v>201312</v>
      </c>
      <c r="B6" s="129">
        <v>-0.02</v>
      </c>
      <c r="C6" s="125">
        <v>0</v>
      </c>
      <c r="D6" s="130">
        <f>SUM(B6:C6)</f>
        <v>-0.02</v>
      </c>
      <c r="E6" s="96">
        <f>-D6</f>
        <v>0.02</v>
      </c>
      <c r="F6" s="95">
        <f>SUM(D6:E6)</f>
        <v>0</v>
      </c>
    </row>
    <row r="7" spans="1:8">
      <c r="A7" s="93">
        <f>'283200 ED AN'!A7</f>
        <v>201401</v>
      </c>
      <c r="B7" s="96">
        <f>D6</f>
        <v>-0.02</v>
      </c>
      <c r="C7" s="96">
        <v>0.02</v>
      </c>
      <c r="D7" s="130">
        <f t="shared" ref="D7:D18" si="0">SUM(B7:C7)</f>
        <v>0</v>
      </c>
      <c r="E7" s="96">
        <f>-D7</f>
        <v>0</v>
      </c>
      <c r="F7" s="95">
        <f t="shared" ref="F7:F18" si="1">SUM(D7:E7)</f>
        <v>0</v>
      </c>
      <c r="H7" s="97">
        <v>-3406666.72</v>
      </c>
    </row>
    <row r="8" spans="1:8">
      <c r="A8" s="93">
        <f>'283200 ED AN'!A8</f>
        <v>201402</v>
      </c>
      <c r="B8" s="96">
        <f t="shared" ref="B8:B18" si="2">D7</f>
        <v>0</v>
      </c>
      <c r="C8" s="96">
        <v>0</v>
      </c>
      <c r="D8" s="130">
        <f t="shared" si="0"/>
        <v>0</v>
      </c>
      <c r="E8" s="96">
        <f t="shared" ref="E8:E18" si="3">-D8</f>
        <v>0</v>
      </c>
      <c r="F8" s="95">
        <f t="shared" si="1"/>
        <v>0</v>
      </c>
      <c r="H8" s="97">
        <v>-3400833.39</v>
      </c>
    </row>
    <row r="9" spans="1:8">
      <c r="A9" s="93">
        <f>'283200 ED AN'!A9</f>
        <v>201403</v>
      </c>
      <c r="B9" s="96">
        <f t="shared" si="2"/>
        <v>0</v>
      </c>
      <c r="C9" s="96">
        <v>0</v>
      </c>
      <c r="D9" s="130">
        <f t="shared" si="0"/>
        <v>0</v>
      </c>
      <c r="E9" s="96">
        <f t="shared" si="3"/>
        <v>0</v>
      </c>
      <c r="F9" s="95">
        <f t="shared" si="1"/>
        <v>0</v>
      </c>
      <c r="H9" s="97">
        <v>-3395000.06</v>
      </c>
    </row>
    <row r="10" spans="1:8">
      <c r="A10" s="93">
        <f>'283200 ED AN'!A10</f>
        <v>201404</v>
      </c>
      <c r="B10" s="96">
        <f t="shared" si="2"/>
        <v>0</v>
      </c>
      <c r="C10" s="96">
        <v>0</v>
      </c>
      <c r="D10" s="130">
        <f t="shared" si="0"/>
        <v>0</v>
      </c>
      <c r="E10" s="96">
        <f t="shared" si="3"/>
        <v>0</v>
      </c>
      <c r="F10" s="95">
        <f t="shared" si="1"/>
        <v>0</v>
      </c>
      <c r="H10" s="97">
        <v>-3389166.73</v>
      </c>
    </row>
    <row r="11" spans="1:8">
      <c r="A11" s="93">
        <f>'283200 ED AN'!A11</f>
        <v>201405</v>
      </c>
      <c r="B11" s="96">
        <f t="shared" si="2"/>
        <v>0</v>
      </c>
      <c r="C11" s="96">
        <v>0</v>
      </c>
      <c r="D11" s="130">
        <f t="shared" si="0"/>
        <v>0</v>
      </c>
      <c r="E11" s="96">
        <f t="shared" si="3"/>
        <v>0</v>
      </c>
      <c r="F11" s="95">
        <f t="shared" si="1"/>
        <v>0</v>
      </c>
      <c r="H11" s="97">
        <v>-3383333.4</v>
      </c>
    </row>
    <row r="12" spans="1:8">
      <c r="A12" s="93">
        <f>'283200 ED AN'!A12</f>
        <v>201406</v>
      </c>
      <c r="B12" s="96">
        <f t="shared" si="2"/>
        <v>0</v>
      </c>
      <c r="C12" s="96">
        <v>0</v>
      </c>
      <c r="D12" s="130">
        <f t="shared" si="0"/>
        <v>0</v>
      </c>
      <c r="E12" s="96">
        <f t="shared" si="3"/>
        <v>0</v>
      </c>
      <c r="F12" s="95">
        <f t="shared" si="1"/>
        <v>0</v>
      </c>
      <c r="H12" s="97">
        <v>-3377500.07</v>
      </c>
    </row>
    <row r="13" spans="1:8">
      <c r="A13" s="93">
        <f>'283200 ED AN'!A13</f>
        <v>201407</v>
      </c>
      <c r="B13" s="96">
        <f t="shared" si="2"/>
        <v>0</v>
      </c>
      <c r="C13" s="96">
        <v>0</v>
      </c>
      <c r="D13" s="130">
        <f t="shared" si="0"/>
        <v>0</v>
      </c>
      <c r="E13" s="96">
        <f t="shared" si="3"/>
        <v>0</v>
      </c>
      <c r="F13" s="95">
        <f t="shared" si="1"/>
        <v>0</v>
      </c>
      <c r="H13" s="97">
        <v>-3371666.74</v>
      </c>
    </row>
    <row r="14" spans="1:8">
      <c r="A14" s="93">
        <f>'283200 ED AN'!A14</f>
        <v>201408</v>
      </c>
      <c r="B14" s="96">
        <f t="shared" si="2"/>
        <v>0</v>
      </c>
      <c r="C14" s="96">
        <v>0</v>
      </c>
      <c r="D14" s="130">
        <f t="shared" si="0"/>
        <v>0</v>
      </c>
      <c r="E14" s="96">
        <f t="shared" si="3"/>
        <v>0</v>
      </c>
      <c r="F14" s="95">
        <f t="shared" si="1"/>
        <v>0</v>
      </c>
      <c r="H14" s="97">
        <v>-3365833.41</v>
      </c>
    </row>
    <row r="15" spans="1:8">
      <c r="A15" s="93">
        <f>'283200 ED AN'!A15</f>
        <v>201409</v>
      </c>
      <c r="B15" s="96">
        <f t="shared" si="2"/>
        <v>0</v>
      </c>
      <c r="C15" s="96">
        <v>0</v>
      </c>
      <c r="D15" s="130">
        <f t="shared" si="0"/>
        <v>0</v>
      </c>
      <c r="E15" s="96">
        <f t="shared" si="3"/>
        <v>0</v>
      </c>
      <c r="F15" s="95">
        <f t="shared" si="1"/>
        <v>0</v>
      </c>
      <c r="H15" s="97">
        <v>-3360000.08</v>
      </c>
    </row>
    <row r="16" spans="1:8">
      <c r="A16" s="93">
        <f>'283200 ED AN'!A16</f>
        <v>201410</v>
      </c>
      <c r="B16" s="96">
        <f t="shared" si="2"/>
        <v>0</v>
      </c>
      <c r="C16" s="96">
        <v>0</v>
      </c>
      <c r="D16" s="130">
        <f t="shared" si="0"/>
        <v>0</v>
      </c>
      <c r="E16" s="96">
        <f t="shared" si="3"/>
        <v>0</v>
      </c>
      <c r="F16" s="95">
        <f t="shared" si="1"/>
        <v>0</v>
      </c>
      <c r="H16" s="97">
        <v>-3354166.75</v>
      </c>
    </row>
    <row r="17" spans="1:8">
      <c r="A17" s="93">
        <f>'283200 ED AN'!A17</f>
        <v>201411</v>
      </c>
      <c r="B17" s="96">
        <f t="shared" si="2"/>
        <v>0</v>
      </c>
      <c r="C17" s="96">
        <v>0</v>
      </c>
      <c r="D17" s="130">
        <f t="shared" si="0"/>
        <v>0</v>
      </c>
      <c r="E17" s="96">
        <f t="shared" si="3"/>
        <v>0</v>
      </c>
      <c r="F17" s="95">
        <f t="shared" si="1"/>
        <v>0</v>
      </c>
      <c r="H17" s="97">
        <v>-3348333.42</v>
      </c>
    </row>
    <row r="18" spans="1:8">
      <c r="A18" s="93">
        <f>'283200 ED AN'!A18</f>
        <v>201412</v>
      </c>
      <c r="B18" s="96">
        <f t="shared" si="2"/>
        <v>0</v>
      </c>
      <c r="C18" s="96">
        <v>0</v>
      </c>
      <c r="D18" s="130">
        <f t="shared" si="0"/>
        <v>0</v>
      </c>
      <c r="E18" s="96">
        <f t="shared" si="3"/>
        <v>0</v>
      </c>
      <c r="F18" s="95">
        <f t="shared" si="1"/>
        <v>0</v>
      </c>
      <c r="H18" s="97">
        <v>-3342500.09</v>
      </c>
    </row>
    <row r="19" spans="1:8">
      <c r="A19" s="98"/>
      <c r="B19" s="99"/>
      <c r="C19" s="100">
        <f>SUM(C7:C18)</f>
        <v>0.02</v>
      </c>
      <c r="D19" s="100"/>
      <c r="E19" s="100"/>
      <c r="F19" s="101"/>
    </row>
    <row r="22" spans="1:8">
      <c r="A22" s="1" t="s">
        <v>169</v>
      </c>
    </row>
    <row r="23" spans="1:8">
      <c r="A23" s="1" t="s">
        <v>170</v>
      </c>
    </row>
    <row r="24" spans="1:8">
      <c r="A24" s="1" t="s">
        <v>216</v>
      </c>
    </row>
  </sheetData>
  <pageMargins left="0.7" right="0.7" top="0.75" bottom="0.75" header="0.3" footer="0.3"/>
  <pageSetup scale="90" orientation="portrait" r:id="rId1"/>
  <headerFooter>
    <oddFooter>&amp;C&amp;F&amp;A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4"/>
  <sheetViews>
    <sheetView zoomScaleNormal="100" workbookViewId="0">
      <selection activeCell="C7" sqref="C7"/>
    </sheetView>
  </sheetViews>
  <sheetFormatPr defaultColWidth="9.109375" defaultRowHeight="13.2"/>
  <cols>
    <col min="1" max="1" width="10.33203125" style="1" customWidth="1"/>
    <col min="2" max="2" width="25.88671875" style="1" customWidth="1"/>
    <col min="3" max="3" width="14.6640625" style="1" bestFit="1" customWidth="1"/>
    <col min="4" max="4" width="14.6640625" style="1" customWidth="1"/>
    <col min="5" max="5" width="14.5546875" style="1" customWidth="1"/>
    <col min="6" max="6" width="14.88671875" style="1" bestFit="1" customWidth="1"/>
    <col min="7" max="7" width="9.109375" style="1"/>
    <col min="8" max="8" width="11.33203125" style="1" hidden="1" customWidth="1"/>
    <col min="9" max="9" width="12.6640625" style="1" customWidth="1"/>
    <col min="10" max="10" width="12.109375" style="1" customWidth="1"/>
    <col min="11" max="11" width="14" style="1" customWidth="1"/>
    <col min="12" max="16384" width="9.109375" style="1"/>
  </cols>
  <sheetData>
    <row r="2" spans="1:8" ht="39.6">
      <c r="A2" s="78" t="s">
        <v>94</v>
      </c>
      <c r="B2" s="79" t="s">
        <v>95</v>
      </c>
      <c r="C2" s="79" t="s">
        <v>63</v>
      </c>
      <c r="D2" s="79"/>
      <c r="E2" s="79" t="s">
        <v>62</v>
      </c>
      <c r="F2" s="80"/>
    </row>
    <row r="3" spans="1:8" ht="29.25" customHeight="1">
      <c r="A3" s="81">
        <v>283325</v>
      </c>
      <c r="B3" s="82" t="s">
        <v>159</v>
      </c>
      <c r="C3" s="83"/>
      <c r="D3" s="83"/>
      <c r="E3" s="83"/>
      <c r="F3" s="84"/>
    </row>
    <row r="4" spans="1:8">
      <c r="A4" s="85"/>
      <c r="B4" s="86" t="s">
        <v>96</v>
      </c>
      <c r="C4" s="86" t="s">
        <v>97</v>
      </c>
      <c r="D4" s="86"/>
      <c r="E4" s="87"/>
      <c r="F4" s="88"/>
    </row>
    <row r="5" spans="1:8" ht="39.6">
      <c r="A5" s="89" t="s">
        <v>98</v>
      </c>
      <c r="B5" s="90" t="s">
        <v>99</v>
      </c>
      <c r="C5" s="90" t="s">
        <v>215</v>
      </c>
      <c r="D5" s="90" t="s">
        <v>177</v>
      </c>
      <c r="E5" s="90" t="s">
        <v>163</v>
      </c>
      <c r="F5" s="91" t="s">
        <v>102</v>
      </c>
      <c r="H5" s="92" t="s">
        <v>103</v>
      </c>
    </row>
    <row r="6" spans="1:8">
      <c r="A6" s="93">
        <f>'283200 ED AN'!A6</f>
        <v>201312</v>
      </c>
      <c r="B6" s="129">
        <v>0</v>
      </c>
      <c r="C6" s="125">
        <v>0</v>
      </c>
      <c r="D6" s="130">
        <f>SUM(B6:C6)</f>
        <v>0</v>
      </c>
      <c r="E6" s="125">
        <v>0</v>
      </c>
      <c r="F6" s="95">
        <f>SUM(D6:E6)</f>
        <v>0</v>
      </c>
    </row>
    <row r="7" spans="1:8">
      <c r="A7" s="93">
        <f>'283200 ED AN'!A7</f>
        <v>201401</v>
      </c>
      <c r="B7" s="96">
        <f>D6</f>
        <v>0</v>
      </c>
      <c r="C7" s="96">
        <v>0</v>
      </c>
      <c r="D7" s="130">
        <f t="shared" ref="D7:D18" si="0">SUM(B7:C7)</f>
        <v>0</v>
      </c>
      <c r="E7" s="125">
        <v>0</v>
      </c>
      <c r="F7" s="95">
        <f t="shared" ref="F7:F18" si="1">SUM(D7:E7)</f>
        <v>0</v>
      </c>
      <c r="H7" s="97">
        <v>-700000</v>
      </c>
    </row>
    <row r="8" spans="1:8">
      <c r="A8" s="93">
        <f>'283200 ED AN'!A8</f>
        <v>201402</v>
      </c>
      <c r="B8" s="96">
        <f t="shared" ref="B8:B18" si="2">D7</f>
        <v>0</v>
      </c>
      <c r="C8" s="96">
        <v>0</v>
      </c>
      <c r="D8" s="130">
        <f t="shared" si="0"/>
        <v>0</v>
      </c>
      <c r="E8" s="125">
        <v>0</v>
      </c>
      <c r="F8" s="95">
        <f t="shared" si="1"/>
        <v>0</v>
      </c>
      <c r="H8" s="97">
        <v>-700000</v>
      </c>
    </row>
    <row r="9" spans="1:8">
      <c r="A9" s="93">
        <f>'283200 ED AN'!A9</f>
        <v>201403</v>
      </c>
      <c r="B9" s="96">
        <f t="shared" si="2"/>
        <v>0</v>
      </c>
      <c r="C9" s="96">
        <v>0</v>
      </c>
      <c r="D9" s="130">
        <f t="shared" si="0"/>
        <v>0</v>
      </c>
      <c r="E9" s="125">
        <v>0</v>
      </c>
      <c r="F9" s="95">
        <f t="shared" si="1"/>
        <v>0</v>
      </c>
      <c r="H9" s="97">
        <v>-700000</v>
      </c>
    </row>
    <row r="10" spans="1:8">
      <c r="A10" s="93">
        <f>'283200 ED AN'!A10</f>
        <v>201404</v>
      </c>
      <c r="B10" s="96">
        <f t="shared" si="2"/>
        <v>0</v>
      </c>
      <c r="C10" s="96">
        <v>0</v>
      </c>
      <c r="D10" s="130">
        <f t="shared" si="0"/>
        <v>0</v>
      </c>
      <c r="E10" s="125">
        <v>0</v>
      </c>
      <c r="F10" s="95">
        <f t="shared" si="1"/>
        <v>0</v>
      </c>
      <c r="H10" s="97">
        <v>-700000</v>
      </c>
    </row>
    <row r="11" spans="1:8">
      <c r="A11" s="93">
        <f>'283200 ED AN'!A11</f>
        <v>201405</v>
      </c>
      <c r="B11" s="96">
        <f t="shared" si="2"/>
        <v>0</v>
      </c>
      <c r="C11" s="96">
        <v>0</v>
      </c>
      <c r="D11" s="130">
        <f t="shared" si="0"/>
        <v>0</v>
      </c>
      <c r="E11" s="125">
        <v>0</v>
      </c>
      <c r="F11" s="95">
        <f t="shared" si="1"/>
        <v>0</v>
      </c>
      <c r="H11" s="97">
        <v>-700000</v>
      </c>
    </row>
    <row r="12" spans="1:8">
      <c r="A12" s="93">
        <f>'283200 ED AN'!A12</f>
        <v>201406</v>
      </c>
      <c r="B12" s="96">
        <f t="shared" si="2"/>
        <v>0</v>
      </c>
      <c r="C12" s="96">
        <v>0</v>
      </c>
      <c r="D12" s="130">
        <f t="shared" si="0"/>
        <v>0</v>
      </c>
      <c r="E12" s="125">
        <v>0</v>
      </c>
      <c r="F12" s="95">
        <f t="shared" si="1"/>
        <v>0</v>
      </c>
      <c r="H12" s="97">
        <v>-700000</v>
      </c>
    </row>
    <row r="13" spans="1:8">
      <c r="A13" s="93">
        <f>'283200 ED AN'!A13</f>
        <v>201407</v>
      </c>
      <c r="B13" s="96">
        <f t="shared" si="2"/>
        <v>0</v>
      </c>
      <c r="C13" s="96">
        <v>0</v>
      </c>
      <c r="D13" s="130">
        <f t="shared" si="0"/>
        <v>0</v>
      </c>
      <c r="E13" s="125">
        <v>0</v>
      </c>
      <c r="F13" s="95">
        <f t="shared" si="1"/>
        <v>0</v>
      </c>
      <c r="H13" s="97">
        <v>-700000</v>
      </c>
    </row>
    <row r="14" spans="1:8">
      <c r="A14" s="93">
        <f>'283200 ED AN'!A14</f>
        <v>201408</v>
      </c>
      <c r="B14" s="96">
        <f t="shared" si="2"/>
        <v>0</v>
      </c>
      <c r="C14" s="96">
        <v>0</v>
      </c>
      <c r="D14" s="130">
        <f t="shared" si="0"/>
        <v>0</v>
      </c>
      <c r="E14" s="125">
        <v>0</v>
      </c>
      <c r="F14" s="95">
        <f t="shared" si="1"/>
        <v>0</v>
      </c>
      <c r="H14" s="97">
        <v>-700000</v>
      </c>
    </row>
    <row r="15" spans="1:8">
      <c r="A15" s="93">
        <f>'283200 ED AN'!A15</f>
        <v>201409</v>
      </c>
      <c r="B15" s="96">
        <f t="shared" si="2"/>
        <v>0</v>
      </c>
      <c r="C15" s="96">
        <v>0</v>
      </c>
      <c r="D15" s="130">
        <f t="shared" si="0"/>
        <v>0</v>
      </c>
      <c r="E15" s="125">
        <v>0</v>
      </c>
      <c r="F15" s="95">
        <f t="shared" si="1"/>
        <v>0</v>
      </c>
      <c r="H15" s="97">
        <v>-700000</v>
      </c>
    </row>
    <row r="16" spans="1:8">
      <c r="A16" s="93">
        <f>'283200 ED AN'!A16</f>
        <v>201410</v>
      </c>
      <c r="B16" s="96">
        <f t="shared" si="2"/>
        <v>0</v>
      </c>
      <c r="C16" s="96">
        <v>0</v>
      </c>
      <c r="D16" s="130">
        <f t="shared" si="0"/>
        <v>0</v>
      </c>
      <c r="E16" s="125">
        <v>0</v>
      </c>
      <c r="F16" s="95">
        <f t="shared" si="1"/>
        <v>0</v>
      </c>
      <c r="H16" s="97">
        <v>-700000</v>
      </c>
    </row>
    <row r="17" spans="1:8">
      <c r="A17" s="93">
        <f>'283200 ED AN'!A17</f>
        <v>201411</v>
      </c>
      <c r="B17" s="96">
        <f t="shared" si="2"/>
        <v>0</v>
      </c>
      <c r="C17" s="96">
        <v>0</v>
      </c>
      <c r="D17" s="130">
        <f t="shared" si="0"/>
        <v>0</v>
      </c>
      <c r="E17" s="125">
        <v>0</v>
      </c>
      <c r="F17" s="95">
        <f t="shared" si="1"/>
        <v>0</v>
      </c>
      <c r="H17" s="97">
        <v>-700000</v>
      </c>
    </row>
    <row r="18" spans="1:8">
      <c r="A18" s="93">
        <f>'283200 ED AN'!A18</f>
        <v>201412</v>
      </c>
      <c r="B18" s="96">
        <f t="shared" si="2"/>
        <v>0</v>
      </c>
      <c r="C18" s="96">
        <v>0</v>
      </c>
      <c r="D18" s="130">
        <f t="shared" si="0"/>
        <v>0</v>
      </c>
      <c r="E18" s="125">
        <v>0</v>
      </c>
      <c r="F18" s="95">
        <f t="shared" si="1"/>
        <v>0</v>
      </c>
      <c r="H18" s="97">
        <v>-700000</v>
      </c>
    </row>
    <row r="19" spans="1:8">
      <c r="A19" s="98"/>
      <c r="B19" s="99"/>
      <c r="C19" s="100">
        <f>SUM(C7:C18)</f>
        <v>0</v>
      </c>
      <c r="D19" s="100"/>
      <c r="E19" s="100"/>
      <c r="F19" s="101"/>
    </row>
    <row r="22" spans="1:8">
      <c r="A22" s="1" t="s">
        <v>169</v>
      </c>
    </row>
    <row r="23" spans="1:8">
      <c r="A23" s="1" t="s">
        <v>170</v>
      </c>
    </row>
    <row r="24" spans="1:8">
      <c r="A24" s="1" t="s">
        <v>214</v>
      </c>
    </row>
  </sheetData>
  <pageMargins left="0.7" right="0.7" top="0.75" bottom="0.75" header="0.3" footer="0.3"/>
  <pageSetup scale="96" orientation="portrait" r:id="rId1"/>
  <headerFooter>
    <oddFooter>&amp;C&amp;F&amp;A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5"/>
  <sheetViews>
    <sheetView zoomScaleNormal="100" workbookViewId="0">
      <selection activeCell="B9" sqref="B9"/>
    </sheetView>
  </sheetViews>
  <sheetFormatPr defaultColWidth="9.109375" defaultRowHeight="13.2"/>
  <cols>
    <col min="1" max="1" width="10.33203125" style="1" customWidth="1"/>
    <col min="2" max="2" width="25.88671875" style="1" customWidth="1"/>
    <col min="3" max="3" width="19.109375" style="1" bestFit="1" customWidth="1"/>
    <col min="4" max="4" width="17.33203125" style="1" customWidth="1"/>
    <col min="5" max="5" width="14.5546875" style="1" customWidth="1"/>
    <col min="6" max="6" width="17.6640625" style="1" bestFit="1" customWidth="1"/>
    <col min="7" max="7" width="16.5546875" style="1" bestFit="1" customWidth="1"/>
    <col min="8" max="8" width="11.33203125" style="1" hidden="1" customWidth="1"/>
    <col min="9" max="9" width="16.5546875" style="131" bestFit="1" customWidth="1"/>
    <col min="10" max="10" width="12.6640625" style="131" bestFit="1" customWidth="1"/>
    <col min="11" max="11" width="14" style="1" customWidth="1"/>
    <col min="12" max="16384" width="9.109375" style="1"/>
  </cols>
  <sheetData>
    <row r="2" spans="1:10" ht="39.6">
      <c r="A2" s="78" t="s">
        <v>94</v>
      </c>
      <c r="B2" s="79" t="s">
        <v>95</v>
      </c>
      <c r="C2" s="79" t="s">
        <v>63</v>
      </c>
      <c r="D2" s="79"/>
      <c r="E2" s="79" t="s">
        <v>62</v>
      </c>
      <c r="F2" s="80"/>
    </row>
    <row r="3" spans="1:10" ht="29.25" customHeight="1">
      <c r="A3" s="81">
        <v>283382</v>
      </c>
      <c r="B3" s="82" t="s">
        <v>160</v>
      </c>
      <c r="C3" s="83"/>
      <c r="D3" s="83"/>
      <c r="E3" s="83"/>
      <c r="F3" s="84"/>
    </row>
    <row r="4" spans="1:10">
      <c r="A4" s="85"/>
      <c r="B4" s="86" t="s">
        <v>96</v>
      </c>
      <c r="C4" s="86" t="s">
        <v>97</v>
      </c>
      <c r="D4" s="86"/>
      <c r="E4" s="87"/>
      <c r="F4" s="88"/>
      <c r="I4" s="160" t="s">
        <v>217</v>
      </c>
    </row>
    <row r="5" spans="1:10" ht="39.6">
      <c r="A5" s="89" t="s">
        <v>98</v>
      </c>
      <c r="B5" s="90" t="s">
        <v>99</v>
      </c>
      <c r="C5" s="90" t="s">
        <v>215</v>
      </c>
      <c r="D5" s="90" t="s">
        <v>175</v>
      </c>
      <c r="E5" s="90" t="s">
        <v>163</v>
      </c>
      <c r="F5" s="91" t="s">
        <v>102</v>
      </c>
      <c r="G5" s="92" t="s">
        <v>187</v>
      </c>
      <c r="H5" s="92" t="s">
        <v>103</v>
      </c>
      <c r="I5" s="131" t="s">
        <v>185</v>
      </c>
      <c r="J5" s="131" t="s">
        <v>186</v>
      </c>
    </row>
    <row r="6" spans="1:10">
      <c r="A6" s="93">
        <f>'283200 ED AN'!A6</f>
        <v>201312</v>
      </c>
      <c r="B6" s="129"/>
      <c r="C6" s="96"/>
      <c r="D6" s="96">
        <v>-12390091.75</v>
      </c>
      <c r="E6" s="102">
        <v>0</v>
      </c>
      <c r="F6" s="95">
        <f>SUM(D6:E6)</f>
        <v>-12390091.75</v>
      </c>
      <c r="G6" s="132">
        <f>I6*-0.35</f>
        <v>-12390091.749</v>
      </c>
      <c r="I6" s="131">
        <v>35400262.140000001</v>
      </c>
      <c r="J6" s="131">
        <v>-73673.8</v>
      </c>
    </row>
    <row r="7" spans="1:10">
      <c r="A7" s="93">
        <f>'283200 ED AN'!A7</f>
        <v>201401</v>
      </c>
      <c r="B7" s="96">
        <f>D6</f>
        <v>-12390091.75</v>
      </c>
      <c r="C7" s="96">
        <v>25785.83</v>
      </c>
      <c r="D7" s="96">
        <f>SUM(B7:C7)</f>
        <v>-12364305.92</v>
      </c>
      <c r="E7" s="102">
        <v>0</v>
      </c>
      <c r="F7" s="95">
        <f t="shared" ref="F7:F18" si="0">SUM(D7:E7)</f>
        <v>-12364305.92</v>
      </c>
      <c r="G7" s="132">
        <f t="shared" ref="G7:G18" si="1">I7*-0.35</f>
        <v>-12364305.919</v>
      </c>
      <c r="H7" s="97">
        <v>-14201390.4</v>
      </c>
      <c r="I7" s="131">
        <f>I6+J7</f>
        <v>35326588.340000004</v>
      </c>
      <c r="J7" s="131">
        <v>-73673.8</v>
      </c>
    </row>
    <row r="8" spans="1:10">
      <c r="A8" s="93">
        <f>'283200 ED AN'!A8</f>
        <v>201402</v>
      </c>
      <c r="B8" s="96">
        <f t="shared" ref="B8:B18" si="2">D7</f>
        <v>-12364305.92</v>
      </c>
      <c r="C8" s="96">
        <v>25785.83</v>
      </c>
      <c r="D8" s="96">
        <f t="shared" ref="D8:D18" si="3">SUM(B8:C8)</f>
        <v>-12338520.09</v>
      </c>
      <c r="E8" s="102">
        <v>0</v>
      </c>
      <c r="F8" s="95">
        <f t="shared" si="0"/>
        <v>-12338520.09</v>
      </c>
      <c r="G8" s="132">
        <f t="shared" si="1"/>
        <v>-12338520.089000002</v>
      </c>
      <c r="H8" s="97">
        <v>-13987215.029999999</v>
      </c>
      <c r="I8" s="131">
        <f t="shared" ref="I8:I18" si="4">I7+J8</f>
        <v>35252914.540000007</v>
      </c>
      <c r="J8" s="131">
        <v>-73673.8</v>
      </c>
    </row>
    <row r="9" spans="1:10">
      <c r="A9" s="93">
        <f>'283200 ED AN'!A9</f>
        <v>201403</v>
      </c>
      <c r="B9" s="96">
        <f t="shared" si="2"/>
        <v>-12338520.09</v>
      </c>
      <c r="C9" s="96">
        <v>25785.83</v>
      </c>
      <c r="D9" s="96">
        <f t="shared" si="3"/>
        <v>-12312734.26</v>
      </c>
      <c r="E9" s="102">
        <v>0</v>
      </c>
      <c r="F9" s="95">
        <f t="shared" si="0"/>
        <v>-12312734.26</v>
      </c>
      <c r="G9" s="132">
        <f t="shared" si="1"/>
        <v>-12312734.259000003</v>
      </c>
      <c r="H9" s="97">
        <v>-13960022.43</v>
      </c>
      <c r="I9" s="131">
        <f t="shared" si="4"/>
        <v>35179240.74000001</v>
      </c>
      <c r="J9" s="131">
        <v>-73673.8</v>
      </c>
    </row>
    <row r="10" spans="1:10">
      <c r="A10" s="93">
        <f>'283200 ED AN'!A10</f>
        <v>201404</v>
      </c>
      <c r="B10" s="96">
        <f t="shared" si="2"/>
        <v>-12312734.26</v>
      </c>
      <c r="C10" s="96">
        <v>25785.83</v>
      </c>
      <c r="D10" s="96">
        <f t="shared" si="3"/>
        <v>-12286948.43</v>
      </c>
      <c r="E10" s="102">
        <v>0</v>
      </c>
      <c r="F10" s="95">
        <f t="shared" si="0"/>
        <v>-12286948.43</v>
      </c>
      <c r="G10" s="132">
        <f t="shared" si="1"/>
        <v>-12286948.429000003</v>
      </c>
      <c r="H10" s="97">
        <v>-13932829.83</v>
      </c>
      <c r="I10" s="131">
        <f t="shared" si="4"/>
        <v>35105566.940000013</v>
      </c>
      <c r="J10" s="131">
        <v>-73673.8</v>
      </c>
    </row>
    <row r="11" spans="1:10">
      <c r="A11" s="93">
        <f>'283200 ED AN'!A11</f>
        <v>201405</v>
      </c>
      <c r="B11" s="96">
        <f t="shared" si="2"/>
        <v>-12286948.43</v>
      </c>
      <c r="C11" s="96">
        <v>25785.83</v>
      </c>
      <c r="D11" s="96">
        <f t="shared" si="3"/>
        <v>-12261162.6</v>
      </c>
      <c r="E11" s="102">
        <v>0</v>
      </c>
      <c r="F11" s="95">
        <f t="shared" si="0"/>
        <v>-12261162.6</v>
      </c>
      <c r="G11" s="132">
        <f t="shared" si="1"/>
        <v>-12261162.599000005</v>
      </c>
      <c r="H11" s="97">
        <v>-13905637.23</v>
      </c>
      <c r="I11" s="131">
        <f t="shared" si="4"/>
        <v>35031893.140000015</v>
      </c>
      <c r="J11" s="131">
        <v>-73673.8</v>
      </c>
    </row>
    <row r="12" spans="1:10">
      <c r="A12" s="93">
        <f>'283200 ED AN'!A12</f>
        <v>201406</v>
      </c>
      <c r="B12" s="96">
        <f t="shared" si="2"/>
        <v>-12261162.6</v>
      </c>
      <c r="C12" s="96">
        <v>25785.83</v>
      </c>
      <c r="D12" s="96">
        <f t="shared" si="3"/>
        <v>-12235376.77</v>
      </c>
      <c r="E12" s="102">
        <v>0</v>
      </c>
      <c r="F12" s="95">
        <f t="shared" si="0"/>
        <v>-12235376.77</v>
      </c>
      <c r="G12" s="132">
        <f t="shared" si="1"/>
        <v>-12235376.769000005</v>
      </c>
      <c r="H12" s="97">
        <v>-13878444.630000001</v>
      </c>
      <c r="I12" s="131">
        <f t="shared" si="4"/>
        <v>34958219.340000018</v>
      </c>
      <c r="J12" s="131">
        <v>-73673.8</v>
      </c>
    </row>
    <row r="13" spans="1:10">
      <c r="A13" s="93">
        <f>'283200 ED AN'!A13</f>
        <v>201407</v>
      </c>
      <c r="B13" s="96">
        <f t="shared" si="2"/>
        <v>-12235376.77</v>
      </c>
      <c r="C13" s="96">
        <v>25785.83</v>
      </c>
      <c r="D13" s="96">
        <f t="shared" si="3"/>
        <v>-12209590.939999999</v>
      </c>
      <c r="E13" s="102">
        <v>0</v>
      </c>
      <c r="F13" s="95">
        <f t="shared" si="0"/>
        <v>-12209590.939999999</v>
      </c>
      <c r="G13" s="132">
        <f t="shared" si="1"/>
        <v>-12209590.939000007</v>
      </c>
      <c r="H13" s="97">
        <v>-13851252.029999999</v>
      </c>
      <c r="I13" s="131">
        <f t="shared" si="4"/>
        <v>34884545.540000021</v>
      </c>
      <c r="J13" s="131">
        <v>-73673.8</v>
      </c>
    </row>
    <row r="14" spans="1:10">
      <c r="A14" s="93">
        <f>'283200 ED AN'!A14</f>
        <v>201408</v>
      </c>
      <c r="B14" s="96">
        <f t="shared" si="2"/>
        <v>-12209590.939999999</v>
      </c>
      <c r="C14" s="96">
        <v>25785.83</v>
      </c>
      <c r="D14" s="96">
        <f t="shared" si="3"/>
        <v>-12183805.109999999</v>
      </c>
      <c r="E14" s="102">
        <v>0</v>
      </c>
      <c r="F14" s="95">
        <f t="shared" si="0"/>
        <v>-12183805.109999999</v>
      </c>
      <c r="G14" s="132">
        <f t="shared" si="1"/>
        <v>-12183805.109000009</v>
      </c>
      <c r="H14" s="97">
        <v>-13824059.43</v>
      </c>
      <c r="I14" s="131">
        <f t="shared" si="4"/>
        <v>34810871.740000024</v>
      </c>
      <c r="J14" s="131">
        <v>-73673.8</v>
      </c>
    </row>
    <row r="15" spans="1:10">
      <c r="A15" s="93">
        <f>'283200 ED AN'!A15</f>
        <v>201409</v>
      </c>
      <c r="B15" s="96">
        <f t="shared" si="2"/>
        <v>-12183805.109999999</v>
      </c>
      <c r="C15" s="96">
        <v>25785.83</v>
      </c>
      <c r="D15" s="96">
        <f t="shared" si="3"/>
        <v>-12158019.279999999</v>
      </c>
      <c r="E15" s="102">
        <v>0</v>
      </c>
      <c r="F15" s="95">
        <f t="shared" si="0"/>
        <v>-12158019.279999999</v>
      </c>
      <c r="G15" s="132">
        <f t="shared" si="1"/>
        <v>-12158019.279000008</v>
      </c>
      <c r="H15" s="97">
        <v>-13796866.83</v>
      </c>
      <c r="I15" s="131">
        <f t="shared" si="4"/>
        <v>34737197.940000027</v>
      </c>
      <c r="J15" s="131">
        <v>-73673.8</v>
      </c>
    </row>
    <row r="16" spans="1:10">
      <c r="A16" s="93">
        <f>'283200 ED AN'!A16</f>
        <v>201410</v>
      </c>
      <c r="B16" s="96">
        <f t="shared" si="2"/>
        <v>-12158019.279999999</v>
      </c>
      <c r="C16" s="96">
        <v>25785.83</v>
      </c>
      <c r="D16" s="96">
        <f t="shared" si="3"/>
        <v>-12132233.449999999</v>
      </c>
      <c r="E16" s="102">
        <v>0</v>
      </c>
      <c r="F16" s="95">
        <f t="shared" si="0"/>
        <v>-12132233.449999999</v>
      </c>
      <c r="G16" s="132">
        <f t="shared" si="1"/>
        <v>-12132233.44900001</v>
      </c>
      <c r="H16" s="97">
        <v>-13769674.23</v>
      </c>
      <c r="I16" s="131">
        <f t="shared" si="4"/>
        <v>34663524.14000003</v>
      </c>
      <c r="J16" s="131">
        <v>-73673.8</v>
      </c>
    </row>
    <row r="17" spans="1:10">
      <c r="A17" s="93">
        <f>'283200 ED AN'!A17</f>
        <v>201411</v>
      </c>
      <c r="B17" s="96">
        <f t="shared" si="2"/>
        <v>-12132233.449999999</v>
      </c>
      <c r="C17" s="96">
        <v>25785.83</v>
      </c>
      <c r="D17" s="96">
        <f t="shared" si="3"/>
        <v>-12106447.619999999</v>
      </c>
      <c r="E17" s="102">
        <v>0</v>
      </c>
      <c r="F17" s="95">
        <f t="shared" si="0"/>
        <v>-12106447.619999999</v>
      </c>
      <c r="G17" s="132">
        <f t="shared" si="1"/>
        <v>-12106447.61900001</v>
      </c>
      <c r="H17" s="97">
        <v>-13742481.630000001</v>
      </c>
      <c r="I17" s="131">
        <f t="shared" si="4"/>
        <v>34589850.340000033</v>
      </c>
      <c r="J17" s="131">
        <v>-73673.8</v>
      </c>
    </row>
    <row r="18" spans="1:10">
      <c r="A18" s="93">
        <f>'283200 ED AN'!A18</f>
        <v>201412</v>
      </c>
      <c r="B18" s="96">
        <f t="shared" si="2"/>
        <v>-12106447.619999999</v>
      </c>
      <c r="C18" s="96">
        <v>25785.83</v>
      </c>
      <c r="D18" s="96">
        <f t="shared" si="3"/>
        <v>-12080661.789999999</v>
      </c>
      <c r="E18" s="102">
        <v>0</v>
      </c>
      <c r="F18" s="95">
        <f t="shared" si="0"/>
        <v>-12080661.789999999</v>
      </c>
      <c r="G18" s="132">
        <f t="shared" si="1"/>
        <v>-12080661.789000012</v>
      </c>
      <c r="H18" s="97">
        <v>-13715289.029999999</v>
      </c>
      <c r="I18" s="131">
        <f t="shared" si="4"/>
        <v>34516176.540000036</v>
      </c>
      <c r="J18" s="131">
        <v>-73673.8</v>
      </c>
    </row>
    <row r="19" spans="1:10">
      <c r="A19" s="98"/>
      <c r="B19" s="99"/>
      <c r="C19" s="100">
        <f>SUM(C7:C18)</f>
        <v>309429.96000000008</v>
      </c>
      <c r="D19" s="100"/>
      <c r="E19" s="100"/>
      <c r="F19" s="101"/>
    </row>
    <row r="21" spans="1:10">
      <c r="A21" s="103"/>
    </row>
    <row r="24" spans="1:10">
      <c r="A24" s="87"/>
    </row>
    <row r="25" spans="1:10">
      <c r="A25" s="87"/>
    </row>
  </sheetData>
  <pageMargins left="0.7" right="0.7" top="0.75" bottom="0.75" header="0.3" footer="0.3"/>
  <pageSetup scale="86" orientation="portrait" r:id="rId1"/>
  <headerFooter>
    <oddFooter>&amp;C&amp;F&amp;A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7FA5D4F63E4AB4AAE35AF92A0E8AE17" ma:contentTypeVersion="119" ma:contentTypeDescription="" ma:contentTypeScope="" ma:versionID="a36623e24926dd0089eeb1dc00071bb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2015-02-09T08:00:00+00:00</OpenedDate>
    <Date1 xmlns="dc463f71-b30c-4ab2-9473-d307f9d35888">2015-10-20T07:00:00+00:00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150204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0EF3D276-0A17-4691-BAFF-F6627C296078}"/>
</file>

<file path=customXml/itemProps2.xml><?xml version="1.0" encoding="utf-8"?>
<ds:datastoreItem xmlns:ds="http://schemas.openxmlformats.org/officeDocument/2006/customXml" ds:itemID="{12C4B05F-678C-40BB-8DD8-0CE6173390AE}"/>
</file>

<file path=customXml/itemProps3.xml><?xml version="1.0" encoding="utf-8"?>
<ds:datastoreItem xmlns:ds="http://schemas.openxmlformats.org/officeDocument/2006/customXml" ds:itemID="{59928B0B-168E-41A0-887B-843FF52CACD1}"/>
</file>

<file path=customXml/itemProps4.xml><?xml version="1.0" encoding="utf-8"?>
<ds:datastoreItem xmlns:ds="http://schemas.openxmlformats.org/officeDocument/2006/customXml" ds:itemID="{6DE02B27-E959-4EA2-BA5B-B650BD9E10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Elec-Dec14</vt:lpstr>
      <vt:lpstr>Gas North-Dec14</vt:lpstr>
      <vt:lpstr>SYS-Dec14</vt:lpstr>
      <vt:lpstr>EOPbalances</vt:lpstr>
      <vt:lpstr>CDA DFIT</vt:lpstr>
      <vt:lpstr>Other DFIT_AMA</vt:lpstr>
      <vt:lpstr>283324 ED AN</vt:lpstr>
      <vt:lpstr>283325. ED AN </vt:lpstr>
      <vt:lpstr>283382 ED AN</vt:lpstr>
      <vt:lpstr>283333 ED AN</vt:lpstr>
      <vt:lpstr>283200 ED AN</vt:lpstr>
      <vt:lpstr>283850 CD AA</vt:lpstr>
      <vt:lpstr>283750 CD AA</vt:lpstr>
      <vt:lpstr>Elec AMA-Functional</vt:lpstr>
      <vt:lpstr>Gas AMA-Functional</vt:lpstr>
      <vt:lpstr>E-PLT</vt:lpstr>
      <vt:lpstr>G-PLT</vt:lpstr>
      <vt:lpstr>'283333 ED AN'!Print_Area</vt:lpstr>
      <vt:lpstr>'283382 ED AN'!Print_Area</vt:lpstr>
      <vt:lpstr>'CDA DFIT'!Print_Area</vt:lpstr>
      <vt:lpstr>'Elec AMA-Functional'!Print_Area</vt:lpstr>
      <vt:lpstr>'Elec-Dec14'!Print_Area</vt:lpstr>
      <vt:lpstr>'Gas AMA-Functional'!Print_Area</vt:lpstr>
      <vt:lpstr>'Gas North-Dec14'!Print_Area</vt:lpstr>
      <vt:lpstr>'Other DFIT_AMA'!Print_Area</vt:lpstr>
      <vt:lpstr>'SYS-Dec14'!Print_Area</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Jeanne Pluth</dc:creator>
  <cp:lastModifiedBy>Jennifer Snyder</cp:lastModifiedBy>
  <cp:lastPrinted>2015-10-20T16:11:23Z</cp:lastPrinted>
  <dcterms:created xsi:type="dcterms:W3CDTF">2012-08-06T15:48:58Z</dcterms:created>
  <dcterms:modified xsi:type="dcterms:W3CDTF">2015-10-20T21:31:46Z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0x0101006E56B4D1795A2E4DB2F0B01679ED314A0097FA5D4F63E4AB4AAE35AF92A0E8AE17</vt:lpwstr>
  </property>
  <property fmtid="{D5CDD505-2E9C-101B-9397-08002B2CF9AE}" pid="3" name="_docset_NoMedatataSyncRequired">
    <vt:lpwstr>False</vt:lpwstr>
  </property>
</Properties>
</file>