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3.00T PF Transmission\"/>
    </mc:Choice>
  </mc:AlternateContent>
  <xr:revisionPtr revIDLastSave="0" documentId="13_ncr:1_{386AF2F5-9C63-404C-B6B6-A3F64B9DA9EA}" xr6:coauthVersionLast="44" xr6:coauthVersionMax="44" xr10:uidLastSave="{00000000-0000-0000-0000-000000000000}"/>
  <bookViews>
    <workbookView xWindow="1980" yWindow="150" windowWidth="13440" windowHeight="16200" xr2:uid="{00000000-000D-0000-FFFF-FFFF00000000}"/>
  </bookViews>
  <sheets>
    <sheet name="2019 Actual vs Pro Forma" sheetId="7" r:id="rId1"/>
    <sheet name="table of contents" sheetId="2" r:id="rId2"/>
    <sheet name="Tables" sheetId="8" r:id="rId3"/>
    <sheet name="Table No.1" sheetId="5" state="hidden" r:id="rId4"/>
    <sheet name="Table No.2" sheetId="6" state="hidden" r:id="rId5"/>
  </sheets>
  <definedNames>
    <definedName name="_xlnm.Print_Area" localSheetId="0">'2019 Actual vs Pro Forma'!$A$1:$I$94</definedName>
    <definedName name="_xlnm.Print_Area" localSheetId="1">'table of contents'!$A$8:$G$99</definedName>
    <definedName name="_xlnm.Print_Titles" localSheetId="0">'2019 Actual vs Pro Forma'!$1:$10</definedName>
    <definedName name="_xlnm.Print_Titles" localSheetId="1">'table of contents'!$1:$7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4" i="7" l="1"/>
  <c r="H92" i="7" l="1"/>
  <c r="H94" i="7" s="1"/>
  <c r="F92" i="7"/>
  <c r="D89" i="7"/>
  <c r="C89" i="7"/>
  <c r="F88" i="7"/>
  <c r="H87" i="7"/>
  <c r="F87" i="7"/>
  <c r="D86" i="7"/>
  <c r="F86" i="7" s="1"/>
  <c r="A56" i="7"/>
  <c r="A49" i="7"/>
  <c r="F27" i="7"/>
  <c r="H86" i="7" l="1"/>
  <c r="H90" i="7" s="1"/>
  <c r="F90" i="7"/>
  <c r="E32" i="7" l="1"/>
  <c r="H32" i="7" l="1"/>
  <c r="I36" i="8" l="1"/>
  <c r="D10" i="8"/>
  <c r="E51" i="7" l="1"/>
  <c r="H51" i="7" s="1"/>
  <c r="F51" i="7" l="1"/>
  <c r="A50" i="7"/>
  <c r="A51" i="7" s="1"/>
  <c r="A52" i="7" s="1"/>
  <c r="E40" i="7" l="1"/>
  <c r="E38" i="7"/>
  <c r="A33" i="7" l="1"/>
  <c r="E44" i="7"/>
  <c r="H37" i="7" l="1"/>
  <c r="E34" i="7" l="1"/>
  <c r="E33" i="7"/>
  <c r="E36" i="7"/>
  <c r="F52" i="7"/>
  <c r="E60" i="7"/>
  <c r="H60" i="7" s="1"/>
  <c r="E61" i="7"/>
  <c r="E62" i="7"/>
  <c r="E63" i="7"/>
  <c r="H70" i="7" l="1"/>
  <c r="H69" i="7"/>
  <c r="H68" i="7"/>
  <c r="H71" i="7" s="1"/>
  <c r="E68" i="7"/>
  <c r="F32" i="7"/>
  <c r="H63" i="7"/>
  <c r="F63" i="7" s="1"/>
  <c r="H62" i="7"/>
  <c r="F62" i="7" s="1"/>
  <c r="H61" i="7"/>
  <c r="F61" i="7" s="1"/>
  <c r="H44" i="7"/>
  <c r="H40" i="7"/>
  <c r="H38" i="7"/>
  <c r="F38" i="7" s="1"/>
  <c r="H36" i="7"/>
  <c r="F36" i="7" s="1"/>
  <c r="H34" i="7"/>
  <c r="F34" i="7" s="1"/>
  <c r="H33" i="7"/>
  <c r="F33" i="7" s="1"/>
  <c r="E74" i="7"/>
  <c r="H74" i="7" s="1"/>
  <c r="H75" i="7" s="1"/>
  <c r="F60" i="7"/>
  <c r="F40" i="7"/>
  <c r="F44" i="7" l="1"/>
  <c r="F68" i="7"/>
  <c r="F74" i="7"/>
  <c r="H22" i="7"/>
  <c r="H20" i="7" l="1"/>
  <c r="E20" i="7" l="1"/>
  <c r="F20" i="7" s="1"/>
  <c r="E22" i="7" l="1"/>
  <c r="F22" i="7" s="1"/>
  <c r="E21" i="7" l="1"/>
  <c r="F21" i="7" s="1"/>
  <c r="E23" i="7" l="1"/>
  <c r="E16" i="7"/>
  <c r="F16" i="7" s="1"/>
  <c r="E14" i="7"/>
  <c r="F14" i="7" s="1"/>
  <c r="E13" i="7"/>
  <c r="F13" i="7" s="1"/>
  <c r="E75" i="7" l="1"/>
  <c r="F75" i="7"/>
  <c r="E70" i="7"/>
  <c r="F70" i="7" s="1"/>
  <c r="E69" i="7"/>
  <c r="F69" i="7" s="1"/>
  <c r="E64" i="7"/>
  <c r="H64" i="7" s="1"/>
  <c r="F64" i="7" s="1"/>
  <c r="E56" i="7"/>
  <c r="H56" i="7" s="1"/>
  <c r="F56" i="7" s="1"/>
  <c r="E45" i="7"/>
  <c r="H45" i="7" s="1"/>
  <c r="F45" i="7" s="1"/>
  <c r="E43" i="7"/>
  <c r="H43" i="7" s="1"/>
  <c r="F43" i="7" s="1"/>
  <c r="E42" i="7"/>
  <c r="H42" i="7" s="1"/>
  <c r="F42" i="7" s="1"/>
  <c r="E41" i="7"/>
  <c r="H41" i="7" s="1"/>
  <c r="F41" i="7" s="1"/>
  <c r="E39" i="7"/>
  <c r="H39" i="7" s="1"/>
  <c r="F39" i="7" s="1"/>
  <c r="E37" i="7"/>
  <c r="F37" i="7" s="1"/>
  <c r="E35" i="7"/>
  <c r="A34" i="7"/>
  <c r="A35" i="7" s="1"/>
  <c r="A36" i="7" s="1"/>
  <c r="A37" i="7" s="1"/>
  <c r="A38" i="7" s="1"/>
  <c r="A39" i="7" s="1"/>
  <c r="E50" i="7"/>
  <c r="H50" i="7" s="1"/>
  <c r="F50" i="7" s="1"/>
  <c r="E49" i="7"/>
  <c r="E15" i="7"/>
  <c r="F15" i="7" s="1"/>
  <c r="A14" i="7"/>
  <c r="A40" i="7" l="1"/>
  <c r="A41" i="7" s="1"/>
  <c r="A42" i="7" s="1"/>
  <c r="A43" i="7" s="1"/>
  <c r="A44" i="7" s="1"/>
  <c r="A45" i="7" s="1"/>
  <c r="A46" i="7" s="1"/>
  <c r="A57" i="7" s="1"/>
  <c r="A60" i="7" s="1"/>
  <c r="A61" i="7" s="1"/>
  <c r="A62" i="7" s="1"/>
  <c r="A63" i="7" s="1"/>
  <c r="A64" i="7" s="1"/>
  <c r="E46" i="7"/>
  <c r="E77" i="7" s="1"/>
  <c r="H35" i="7"/>
  <c r="H57" i="7"/>
  <c r="E53" i="7"/>
  <c r="H49" i="7"/>
  <c r="A15" i="7"/>
  <c r="A16" i="7" s="1"/>
  <c r="A17" i="7" s="1"/>
  <c r="A20" i="7" s="1"/>
  <c r="A21" i="7" s="1"/>
  <c r="A22" i="7" s="1"/>
  <c r="A23" i="7" s="1"/>
  <c r="A26" i="7" s="1"/>
  <c r="H23" i="7"/>
  <c r="H17" i="7"/>
  <c r="E17" i="7"/>
  <c r="E26" i="7" s="1"/>
  <c r="F23" i="7"/>
  <c r="H65" i="7"/>
  <c r="E71" i="7"/>
  <c r="E57" i="7"/>
  <c r="F57" i="7"/>
  <c r="E65" i="7"/>
  <c r="H26" i="7" l="1"/>
  <c r="A65" i="7"/>
  <c r="A68" i="7" s="1"/>
  <c r="A69" i="7" s="1"/>
  <c r="A70" i="7" s="1"/>
  <c r="F35" i="7"/>
  <c r="F46" i="7" s="1"/>
  <c r="F77" i="7" s="1"/>
  <c r="H46" i="7"/>
  <c r="H77" i="7" s="1"/>
  <c r="H53" i="7"/>
  <c r="F49" i="7"/>
  <c r="F53" i="7" s="1"/>
  <c r="F71" i="7"/>
  <c r="F65" i="7"/>
  <c r="F17" i="7"/>
  <c r="F26" i="7" s="1"/>
  <c r="A71" i="7" l="1"/>
  <c r="A74" i="7" s="1"/>
  <c r="A77" i="7" s="1"/>
  <c r="A79" i="7" s="1"/>
  <c r="F79" i="7"/>
  <c r="B17" i="5" l="1"/>
  <c r="D35" i="6" l="1"/>
  <c r="C32" i="6"/>
  <c r="C26" i="6"/>
  <c r="C19" i="6"/>
  <c r="C18" i="6"/>
  <c r="C17" i="6"/>
  <c r="C10" i="6"/>
  <c r="C15" i="6"/>
  <c r="C14" i="6"/>
  <c r="C13" i="6"/>
  <c r="C16" i="6"/>
  <c r="C12" i="6"/>
  <c r="B10" i="5"/>
  <c r="B7" i="5"/>
  <c r="C20" i="5"/>
  <c r="B11" i="5"/>
  <c r="B19" i="5"/>
  <c r="B18" i="5"/>
  <c r="C33" i="6"/>
  <c r="C20" i="6"/>
  <c r="C9" i="6"/>
  <c r="B16" i="5"/>
  <c r="B15" i="5"/>
  <c r="B14" i="5"/>
  <c r="B13" i="5"/>
  <c r="B8" i="5"/>
  <c r="C23" i="6"/>
  <c r="C22" i="6"/>
  <c r="C31" i="6"/>
  <c r="C21" i="6"/>
  <c r="C27" i="6"/>
  <c r="C30" i="6"/>
  <c r="C24" i="6"/>
  <c r="C28" i="6"/>
  <c r="C11" i="6" l="1"/>
  <c r="C8" i="6"/>
  <c r="C34" i="6"/>
  <c r="C29" i="6"/>
  <c r="C25" i="6"/>
  <c r="C7" i="6"/>
  <c r="B12" i="5"/>
  <c r="B9" i="5"/>
  <c r="C35" i="6" l="1"/>
  <c r="B20" i="5"/>
</calcChain>
</file>

<file path=xl/sharedStrings.xml><?xml version="1.0" encoding="utf-8"?>
<sst xmlns="http://schemas.openxmlformats.org/spreadsheetml/2006/main" count="304" uniqueCount="211">
  <si>
    <t xml:space="preserve"> - Energy Delivery - </t>
  </si>
  <si>
    <t>($000s)</t>
  </si>
  <si>
    <t>Line</t>
  </si>
  <si>
    <t>No.</t>
  </si>
  <si>
    <t>Actual</t>
  </si>
  <si>
    <t xml:space="preserve"> </t>
  </si>
  <si>
    <t>456 OTHER ELECTRIC REVENUE</t>
  </si>
  <si>
    <t>Spokane Waste to Energy Plant</t>
  </si>
  <si>
    <t>Avista Corporation</t>
  </si>
  <si>
    <t>OASIS nf &amp; stf  Whl (Other Whl)</t>
  </si>
  <si>
    <t>PP&amp;L - Dry Gulch</t>
  </si>
  <si>
    <t>Adjusted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</si>
  <si>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</si>
  <si>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</si>
  <si>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</si>
  <si>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</si>
  <si>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</si>
  <si>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</si>
  <si>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</si>
  <si>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</si>
  <si>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</si>
  <si>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</si>
  <si>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</si>
  <si>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</si>
  <si>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P</t>
  </si>
  <si>
    <t>AVISTA CORPORATION</t>
  </si>
  <si>
    <t>Table of Contents</t>
  </si>
  <si>
    <t>Summary</t>
  </si>
  <si>
    <t>A</t>
  </si>
  <si>
    <t>556 System Control and Load Dispatch</t>
  </si>
  <si>
    <t>Northwest Power Pool</t>
  </si>
  <si>
    <t>560-71.4, 935.3-.4  Transmission O&amp;M</t>
  </si>
  <si>
    <t>566 Transmission Expense-Operations-Miscellaneous</t>
  </si>
  <si>
    <t xml:space="preserve">456 Other  Electric Revenue </t>
  </si>
  <si>
    <t>O</t>
  </si>
  <si>
    <t>PacifiCorp - Dry Gulch Wheeling</t>
  </si>
  <si>
    <t>OASIS nf &amp; stf Whl (Other Wheeling &amp; MT/ID Load Ctrl)</t>
  </si>
  <si>
    <t>Pro Forma</t>
  </si>
  <si>
    <t>Period</t>
  </si>
  <si>
    <t>Q</t>
  </si>
  <si>
    <t>R</t>
  </si>
  <si>
    <t>N</t>
  </si>
  <si>
    <t>Actual versus Pro Forma</t>
  </si>
  <si>
    <t>S</t>
  </si>
  <si>
    <t>T</t>
  </si>
  <si>
    <t>U</t>
  </si>
  <si>
    <t>Pro Forma Transmission Revenue/Expenses</t>
  </si>
  <si>
    <r>
      <t xml:space="preserve">Colstrip O&amp;M 500kV Lines </t>
    </r>
    <r>
      <rPr>
        <b/>
        <sz val="10"/>
        <rFont val="Geneva"/>
      </rPr>
      <t>(Confidential)</t>
    </r>
  </si>
  <si>
    <t>Seattle/Tacoma Main Canal</t>
  </si>
  <si>
    <t>Seattle/ Tacoma Summer Falls</t>
  </si>
  <si>
    <t>V</t>
  </si>
  <si>
    <t>Seattle/Tacoma Summer Falls</t>
  </si>
  <si>
    <t>NERC CIP</t>
  </si>
  <si>
    <t>W</t>
  </si>
  <si>
    <t>X</t>
  </si>
  <si>
    <t>Stimson Lumber</t>
  </si>
  <si>
    <t>Palouse Wind O &amp; M</t>
  </si>
  <si>
    <t>Morgan Stanley Capital Group</t>
  </si>
  <si>
    <t>BPA Parallel Operating Agreement</t>
  </si>
  <si>
    <t>Hydro Tech Systems - Meyers Falls</t>
  </si>
  <si>
    <t xml:space="preserve">A </t>
  </si>
  <si>
    <t>NWPP</t>
  </si>
  <si>
    <t>560-71.4, 935.3-.4 TRANSMISSION O&amp;M EXPENSE</t>
  </si>
  <si>
    <t>Colstrip O&amp;M - 500kV Line</t>
  </si>
  <si>
    <t>Total Account 560-71.4, 935.3-.4</t>
  </si>
  <si>
    <t>566 TRANSMISSION EXP-OPRN-MISCELLANEOUS</t>
  </si>
  <si>
    <t>WECC - Loop Flow</t>
  </si>
  <si>
    <t>TOTAL EXPENSE</t>
  </si>
  <si>
    <t>Total Account 566</t>
  </si>
  <si>
    <t xml:space="preserve">Columbia Grid OASIS travel expenses </t>
  </si>
  <si>
    <t>Y</t>
  </si>
  <si>
    <t>Z</t>
  </si>
  <si>
    <t>BPA Power Factor Charge</t>
  </si>
  <si>
    <t>PEAK Reliability</t>
  </si>
  <si>
    <t>WECC Dues</t>
  </si>
  <si>
    <t xml:space="preserve">Addy (BPA substation) </t>
  </si>
  <si>
    <t>570 Maintenance of Station Expense</t>
  </si>
  <si>
    <t xml:space="preserve">PEAK Reliability </t>
  </si>
  <si>
    <t>WECC Loop Flow</t>
  </si>
  <si>
    <t>Addy</t>
  </si>
  <si>
    <t>Hatwai  (BPA substation)</t>
  </si>
  <si>
    <t>Hatwai</t>
  </si>
  <si>
    <t>AA</t>
  </si>
  <si>
    <t>AB</t>
  </si>
  <si>
    <t>AC</t>
  </si>
  <si>
    <t>Order 1000 Functional Agreement</t>
  </si>
  <si>
    <t>ColumbiaGrid Funding</t>
  </si>
  <si>
    <t>ColumbiaGrid PEFA</t>
  </si>
  <si>
    <r>
      <t xml:space="preserve">ColumbiaGrid Funding </t>
    </r>
    <r>
      <rPr>
        <b/>
        <sz val="10"/>
        <rFont val="Geneva"/>
      </rPr>
      <t>(Confidential)</t>
    </r>
  </si>
  <si>
    <t>Columbia Grid OASIS travel expenses</t>
  </si>
  <si>
    <t>First Wind Transmission</t>
  </si>
  <si>
    <t>BPA Parallel Capacity Support</t>
  </si>
  <si>
    <t>TABLE NO. 1</t>
  </si>
  <si>
    <t>Transmission Expense Adjustment</t>
  </si>
  <si>
    <t>2018 Test Year</t>
  </si>
  <si>
    <t>(Sytem)</t>
  </si>
  <si>
    <t>Total change in Transmission Expesne</t>
  </si>
  <si>
    <t>(System)1</t>
  </si>
  <si>
    <t>BPA Low Voltage</t>
  </si>
  <si>
    <t>BPA Transmission</t>
  </si>
  <si>
    <t>Columbia Basin Hydropower</t>
  </si>
  <si>
    <t xml:space="preserve">Consol Irrig Dist Ancillary </t>
  </si>
  <si>
    <t xml:space="preserve">BPA Ancillary </t>
  </si>
  <si>
    <t xml:space="preserve">Consol Irrig Dist Low Voltage </t>
  </si>
  <si>
    <t>Consol Irrig Dist Transmission</t>
  </si>
  <si>
    <t>East Greenacres Ancillary</t>
  </si>
  <si>
    <t>East Greenacres Low Voltage</t>
  </si>
  <si>
    <t>East Greenacres Transmission</t>
  </si>
  <si>
    <t>Grant PUD Transmission</t>
  </si>
  <si>
    <t>Spokane Indian Tribe Ancillary</t>
  </si>
  <si>
    <t>Spokane Indian Tribe Low Voltage</t>
  </si>
  <si>
    <t>Spokane Indian Tribe Transmission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</si>
  <si>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</si>
  <si>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</si>
  <si>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</si>
  <si>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</si>
  <si>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</si>
  <si>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</si>
  <si>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</si>
  <si>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</si>
  <si>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</si>
  <si>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</si>
  <si>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</si>
  <si>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(2) Represents the change in expenses above or below the December 31, 2019 rate year level.</t>
  </si>
  <si>
    <t>Transmission Revenue Adjustment</t>
  </si>
  <si>
    <t>(1) Represents the change in expense above or below the 2016 historical test year leve.</t>
  </si>
  <si>
    <t>TABLE NO. 2</t>
  </si>
  <si>
    <t>(2) Represents the change in expense above or below the December 31, 2019 rate case level.</t>
  </si>
  <si>
    <t>Kootenai Electric Cooperative Transmission</t>
  </si>
  <si>
    <t>Kootenai Electric Cooperative Ancillary</t>
  </si>
  <si>
    <t>AO</t>
  </si>
  <si>
    <t>Deep Creek Hydro</t>
  </si>
  <si>
    <t>Hydro Tech Systems</t>
  </si>
  <si>
    <t>NC</t>
  </si>
  <si>
    <t>AP</t>
  </si>
  <si>
    <t>RC West</t>
  </si>
  <si>
    <t>(1) Represents the change in expenses above or below the 2018 historical test year level.</t>
  </si>
  <si>
    <t>Account 456017 Other Electric Revenue - Non-Resource</t>
  </si>
  <si>
    <t>Total 45017 Other Electric Revenue Non-Resource</t>
  </si>
  <si>
    <t>456130 Ancillary Service Revenue</t>
  </si>
  <si>
    <t>456700 Other Electric Revenue - Low Voltage</t>
  </si>
  <si>
    <t>Total 456120 Parallel Capacity Support Revenue</t>
  </si>
  <si>
    <t>Total 456100 Transmission Revenue</t>
  </si>
  <si>
    <t>Total 456700 Other Electric Revenue - Low Voltage</t>
  </si>
  <si>
    <t>TOTAL TRANSMISSION REVENUE</t>
  </si>
  <si>
    <t>Bonneville Power Administration</t>
  </si>
  <si>
    <t>Consolidated Irrigation District</t>
  </si>
  <si>
    <t>East Greenacres Irrigation District</t>
  </si>
  <si>
    <t>Grant County PUD No. 2</t>
  </si>
  <si>
    <t>Seattle City Light/Tacoma Power (Main Canal)</t>
  </si>
  <si>
    <t>Seattle City Light/Tacoma Power (Summer Falls)</t>
  </si>
  <si>
    <t>Pacificorp (Dry Gulch)</t>
  </si>
  <si>
    <t>City of Spokane Waste to Energy</t>
  </si>
  <si>
    <t>Hydro Technology Systems</t>
  </si>
  <si>
    <t>Deep Creek Energy LLC</t>
  </si>
  <si>
    <t xml:space="preserve">Kootenai Electric Cooperative </t>
  </si>
  <si>
    <t>Bonneville Power Adminstration</t>
  </si>
  <si>
    <t>Spokane Tribe of Indians</t>
  </si>
  <si>
    <t>Total 456130 Ancillary Service Revenue</t>
  </si>
  <si>
    <t>Kootenai Electric Cooperative</t>
  </si>
  <si>
    <t>NorthernGrid</t>
  </si>
  <si>
    <t>Jan 2019 to</t>
  </si>
  <si>
    <t>Dec 2019</t>
  </si>
  <si>
    <t>Pro Forma Transmission Expenses/Revenue</t>
  </si>
  <si>
    <t>2021-2022</t>
  </si>
  <si>
    <t>Notes</t>
  </si>
  <si>
    <t>ColumbiaGrid to cease operations as of January 2021</t>
  </si>
  <si>
    <t>Pro Forma per 2020 expected spend</t>
  </si>
  <si>
    <t>PEAK Reliability no longer providing RC Services - Transition to RC West in 2020</t>
  </si>
  <si>
    <t>456120 Parallel Capacity Support Revenue</t>
  </si>
  <si>
    <t>ColumbiaGrid Order 1000</t>
  </si>
  <si>
    <t>2019 - development costs only; Pro Forma per 2020-2021 actual/planned expense</t>
  </si>
  <si>
    <t>2019 - 3-months of HANA for NERC compliance ($116k/12 = $9.7k * 3 = $29k); Pro Forma per actual 2020 RC West fees $412K</t>
  </si>
  <si>
    <t>OASIS (Non-Firm and ST Firm)</t>
  </si>
  <si>
    <t>456705 Low Voltage BPA</t>
  </si>
  <si>
    <t>Account 456100 Transmission Revenue</t>
  </si>
  <si>
    <t>Rattlesnake Flat O&amp;M</t>
  </si>
  <si>
    <t>Palouse Wind O&amp;M</t>
  </si>
  <si>
    <t>Total 456705 Low Voltage BPA</t>
  </si>
  <si>
    <t>Stimson Lumber Company</t>
  </si>
  <si>
    <t>Adams Neilson Solar O&amp;M</t>
  </si>
  <si>
    <t>Rattlesnake Flat COD planned for Nov-2020</t>
  </si>
  <si>
    <t>New contract effective 1-Jan-2020</t>
  </si>
  <si>
    <t>New contract effective 1-Jan-2020; Reduced PTP charge to reflect comparable Network Service</t>
  </si>
  <si>
    <t>BPA to commence self-supply of Operating Reserves in Q4 2020</t>
  </si>
  <si>
    <t>New contract effective 26-Feb-2020</t>
  </si>
  <si>
    <t>Rate adjustment effective 1-Apr-2020</t>
  </si>
  <si>
    <t>-----  TO BE REVISED  -----</t>
  </si>
  <si>
    <t>ColumbiaGrid General Funding</t>
  </si>
  <si>
    <t>Total Transmission Expense Adjustment</t>
  </si>
  <si>
    <r>
      <t>System</t>
    </r>
    <r>
      <rPr>
        <b/>
        <vertAlign val="superscript"/>
        <sz val="12"/>
        <rFont val="Times New Roman"/>
        <family val="1"/>
      </rPr>
      <t>(1)</t>
    </r>
  </si>
  <si>
    <t>(1) Represents the change in expenses above or below the 2019 historical test year level.</t>
  </si>
  <si>
    <t>(1) Represents the change in revenue above or below the 2019 historical test year level.</t>
  </si>
  <si>
    <t>Three-year Average 2017-2019</t>
  </si>
  <si>
    <t>WA Share</t>
  </si>
  <si>
    <t>(1)</t>
  </si>
  <si>
    <t>Current Authorized</t>
  </si>
  <si>
    <t>Adjustment</t>
  </si>
  <si>
    <t>(000s)</t>
  </si>
  <si>
    <t>System</t>
  </si>
  <si>
    <t>WA</t>
  </si>
  <si>
    <t>Restated Transmission Adj 2.18</t>
  </si>
  <si>
    <t>Direct WA</t>
  </si>
  <si>
    <t>Direct ID</t>
  </si>
  <si>
    <t>Rested Transmission Adj 2.18</t>
  </si>
  <si>
    <t>Pro Forma Change in Transmission Revenues</t>
  </si>
  <si>
    <t>Pro Forma Change in Transmission Expenses</t>
  </si>
  <si>
    <t>Net Change in Transmission Revenues/Expenses</t>
  </si>
  <si>
    <t xml:space="preserve">NET PRO FORMA ADJUSTMENT </t>
  </si>
  <si>
    <t>(1) Transmission revenues are first adjusted from Actual ($18.251M) to Restated (current authorized $15.149M) in Adjustment 2.18.</t>
  </si>
  <si>
    <t>Transmission revenues are then adjusted from current authorized ($15.149M) to Pro Forma level $16.146M in PF Adj 3.00T.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</si>
</sst>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6">
    <font>
      <sz val="10"/>
      <name val="Geneva"/>
    </font>
    <font>
      <b/>
      <sz val="10"/>
      <name val="Geneva"/>
    </font>
    <font>
      <sz val="10"/>
      <name val="Geneva"/>
    </font>
    <font>
      <sz val="9"/>
      <name val="Geneva"/>
    </font>
    <font>
      <u/>
      <sz val="10"/>
      <name val="Geneva"/>
    </font>
    <font>
      <u/>
      <sz val="9"/>
      <name val="Geneva"/>
    </font>
    <font>
      <b/>
      <u/>
      <sz val="10"/>
      <name val="Geneva"/>
    </font>
    <font>
      <b/>
      <sz val="14"/>
      <name val="Geneva"/>
    </font>
    <font>
      <sz val="8"/>
      <name val="Geneva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0"/>
      <color rgb="FFFF0000"/>
      <name val="Geneva"/>
    </font>
    <font>
      <i/>
      <sz val="10"/>
      <color rgb="FFFF0000"/>
      <name val="Geneva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vertAlign val="superscript"/>
      <sz val="12"/>
      <name val="Times New Roman"/>
      <family val="1"/>
    </font>
    <font>
      <sz val="8"/>
      <name val="Calibri"/>
      <family val="2"/>
      <scheme val="minor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" fontId="2" fillId="0" borderId="0" applyFont="0" applyFill="0" applyBorder="0" applyAlignment="0" applyProtection="0"/>
    <xf numFmtId="8" fontId="2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0" fillId="0" borderId="0" xfId="0" applyNumberFormat="1" applyBorder="1"/>
    <xf numFmtId="0" fontId="0" fillId="0" borderId="0" xfId="0" applyBorder="1"/>
    <xf numFmtId="0" fontId="5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2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3" fontId="1" fillId="0" borderId="0" xfId="0" applyNumberFormat="1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/>
    <xf numFmtId="0" fontId="6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2" fontId="0" fillId="0" borderId="0" xfId="2" applyNumberFormat="1" applyFont="1" applyBorder="1"/>
    <xf numFmtId="44" fontId="0" fillId="0" borderId="7" xfId="0" applyNumberFormat="1" applyBorder="1"/>
    <xf numFmtId="0" fontId="8" fillId="0" borderId="3" xfId="0" applyFont="1" applyFill="1" applyBorder="1"/>
    <xf numFmtId="0" fontId="8" fillId="0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6" xfId="0" applyFill="1" applyBorder="1"/>
    <xf numFmtId="0" fontId="1" fillId="0" borderId="11" xfId="0" applyFont="1" applyBorder="1"/>
    <xf numFmtId="42" fontId="1" fillId="0" borderId="12" xfId="0" applyNumberFormat="1" applyFont="1" applyBorder="1"/>
    <xf numFmtId="42" fontId="1" fillId="0" borderId="13" xfId="0" applyNumberFormat="1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/>
    <xf numFmtId="42" fontId="0" fillId="0" borderId="15" xfId="2" applyNumberFormat="1" applyFont="1" applyBorder="1"/>
    <xf numFmtId="42" fontId="1" fillId="0" borderId="14" xfId="2" applyNumberFormat="1" applyFont="1" applyBorder="1"/>
    <xf numFmtId="0" fontId="11" fillId="0" borderId="0" xfId="0" applyFont="1"/>
    <xf numFmtId="14" fontId="11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quotePrefix="1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3" fontId="11" fillId="0" borderId="0" xfId="0" applyNumberFormat="1" applyFont="1" applyBorder="1"/>
    <xf numFmtId="0" fontId="11" fillId="0" borderId="0" xfId="0" applyFont="1" applyFill="1"/>
    <xf numFmtId="3" fontId="11" fillId="0" borderId="1" xfId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3" fontId="11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0" fontId="9" fillId="0" borderId="0" xfId="0" applyFont="1" applyFill="1"/>
    <xf numFmtId="3" fontId="9" fillId="0" borderId="2" xfId="1" applyNumberFormat="1" applyFont="1" applyFill="1" applyBorder="1" applyAlignment="1">
      <alignment horizontal="right"/>
    </xf>
    <xf numFmtId="0" fontId="14" fillId="0" borderId="0" xfId="0" applyFont="1" applyFill="1"/>
    <xf numFmtId="3" fontId="14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 applyFill="1" applyBorder="1"/>
    <xf numFmtId="3" fontId="15" fillId="0" borderId="0" xfId="0" applyNumberFormat="1" applyFont="1" applyFill="1" applyBorder="1"/>
    <xf numFmtId="0" fontId="11" fillId="0" borderId="0" xfId="0" applyFont="1" applyFill="1" applyBorder="1"/>
    <xf numFmtId="0" fontId="9" fillId="0" borderId="0" xfId="0" applyFont="1" applyAlignment="1">
      <alignment horizontal="left"/>
    </xf>
    <xf numFmtId="3" fontId="11" fillId="0" borderId="1" xfId="0" applyNumberFormat="1" applyFont="1" applyFill="1" applyBorder="1"/>
    <xf numFmtId="0" fontId="9" fillId="0" borderId="0" xfId="0" applyFont="1"/>
    <xf numFmtId="3" fontId="9" fillId="0" borderId="2" xfId="0" applyNumberFormat="1" applyFont="1" applyBorder="1"/>
    <xf numFmtId="3" fontId="11" fillId="0" borderId="0" xfId="0" applyNumberFormat="1" applyFont="1"/>
    <xf numFmtId="0" fontId="9" fillId="0" borderId="0" xfId="0" applyFont="1" applyFill="1" applyAlignment="1">
      <alignment horizontal="right"/>
    </xf>
    <xf numFmtId="0" fontId="11" fillId="0" borderId="0" xfId="0" applyFont="1" applyFill="1" applyAlignment="1">
      <alignment horizontal="left"/>
    </xf>
    <xf numFmtId="3" fontId="17" fillId="0" borderId="0" xfId="0" applyNumberFormat="1" applyFont="1" applyFill="1" applyBorder="1"/>
    <xf numFmtId="0" fontId="17" fillId="0" borderId="0" xfId="0" applyFont="1" applyFill="1"/>
    <xf numFmtId="0" fontId="12" fillId="0" borderId="0" xfId="0" applyFont="1"/>
    <xf numFmtId="37" fontId="10" fillId="0" borderId="0" xfId="0" applyNumberFormat="1" applyFont="1"/>
    <xf numFmtId="0" fontId="16" fillId="0" borderId="0" xfId="0" applyFont="1" applyAlignment="1">
      <alignment horizontal="right" vertical="top"/>
    </xf>
    <xf numFmtId="3" fontId="16" fillId="0" borderId="0" xfId="0" applyNumberFormat="1" applyFont="1" applyBorder="1" applyAlignment="1">
      <alignment vertical="top"/>
    </xf>
    <xf numFmtId="37" fontId="16" fillId="0" borderId="0" xfId="0" applyNumberFormat="1" applyFont="1" applyFill="1"/>
    <xf numFmtId="0" fontId="16" fillId="0" borderId="0" xfId="0" applyFont="1" applyFill="1"/>
    <xf numFmtId="37" fontId="11" fillId="0" borderId="0" xfId="0" applyNumberFormat="1" applyFont="1"/>
    <xf numFmtId="1" fontId="9" fillId="0" borderId="0" xfId="0" applyNumberFormat="1" applyFont="1"/>
    <xf numFmtId="3" fontId="9" fillId="0" borderId="0" xfId="0" applyNumberFormat="1" applyFont="1" applyBorder="1"/>
    <xf numFmtId="14" fontId="19" fillId="2" borderId="0" xfId="0" applyNumberFormat="1" applyFont="1" applyFill="1" applyAlignment="1">
      <alignment horizontal="centerContinuous"/>
    </xf>
    <xf numFmtId="0" fontId="18" fillId="2" borderId="0" xfId="0" quotePrefix="1" applyFont="1" applyFill="1" applyAlignment="1">
      <alignment horizontal="centerContinuous"/>
    </xf>
    <xf numFmtId="0" fontId="20" fillId="0" borderId="0" xfId="0" applyFont="1"/>
    <xf numFmtId="0" fontId="20" fillId="0" borderId="0" xfId="0" applyFont="1" applyFill="1"/>
    <xf numFmtId="0" fontId="20" fillId="0" borderId="0" xfId="0" applyFont="1" applyFill="1" applyBorder="1" applyAlignment="1">
      <alignment horizontal="center"/>
    </xf>
    <xf numFmtId="37" fontId="20" fillId="0" borderId="0" xfId="0" applyNumberFormat="1" applyFont="1"/>
    <xf numFmtId="0" fontId="20" fillId="0" borderId="16" xfId="0" applyFont="1" applyBorder="1"/>
    <xf numFmtId="0" fontId="20" fillId="0" borderId="16" xfId="0" applyFont="1" applyFill="1" applyBorder="1"/>
    <xf numFmtId="0" fontId="20" fillId="0" borderId="0" xfId="0" applyFont="1" applyFill="1" applyBorder="1"/>
    <xf numFmtId="42" fontId="20" fillId="0" borderId="17" xfId="1" applyNumberFormat="1" applyFont="1" applyFill="1" applyBorder="1" applyAlignment="1">
      <alignment horizontal="right"/>
    </xf>
    <xf numFmtId="37" fontId="20" fillId="0" borderId="17" xfId="1" applyNumberFormat="1" applyFont="1" applyFill="1" applyBorder="1" applyAlignment="1">
      <alignment horizontal="right"/>
    </xf>
    <xf numFmtId="0" fontId="22" fillId="0" borderId="18" xfId="0" applyFont="1" applyBorder="1"/>
    <xf numFmtId="0" fontId="20" fillId="0" borderId="1" xfId="0" applyFont="1" applyBorder="1"/>
    <xf numFmtId="37" fontId="20" fillId="0" borderId="19" xfId="0" applyNumberFormat="1" applyFont="1" applyBorder="1"/>
    <xf numFmtId="0" fontId="21" fillId="0" borderId="20" xfId="0" applyFont="1" applyBorder="1" applyAlignment="1">
      <alignment horizontal="centerContinuous"/>
    </xf>
    <xf numFmtId="0" fontId="20" fillId="0" borderId="2" xfId="0" applyFont="1" applyBorder="1" applyAlignment="1">
      <alignment horizontal="centerContinuous"/>
    </xf>
    <xf numFmtId="37" fontId="20" fillId="0" borderId="21" xfId="0" applyNumberFormat="1" applyFont="1" applyBorder="1" applyAlignment="1">
      <alignment horizontal="centerContinuous"/>
    </xf>
    <xf numFmtId="0" fontId="21" fillId="0" borderId="20" xfId="0" applyFont="1" applyBorder="1"/>
    <xf numFmtId="0" fontId="21" fillId="0" borderId="2" xfId="0" applyFont="1" applyBorder="1"/>
    <xf numFmtId="42" fontId="21" fillId="0" borderId="21" xfId="0" applyNumberFormat="1" applyFont="1" applyBorder="1"/>
    <xf numFmtId="0" fontId="20" fillId="0" borderId="20" xfId="0" applyFont="1" applyBorder="1"/>
    <xf numFmtId="0" fontId="20" fillId="0" borderId="2" xfId="0" applyFont="1" applyBorder="1"/>
    <xf numFmtId="37" fontId="21" fillId="0" borderId="21" xfId="0" applyNumberFormat="1" applyFont="1" applyBorder="1" applyAlignment="1">
      <alignment horizontal="center"/>
    </xf>
    <xf numFmtId="0" fontId="20" fillId="0" borderId="1" xfId="0" applyFont="1" applyFill="1" applyBorder="1"/>
    <xf numFmtId="37" fontId="20" fillId="0" borderId="19" xfId="1" applyNumberFormat="1" applyFont="1" applyFill="1" applyBorder="1" applyAlignment="1">
      <alignment horizontal="right"/>
    </xf>
    <xf numFmtId="0" fontId="20" fillId="0" borderId="16" xfId="0" applyFont="1" applyFill="1" applyBorder="1" applyAlignment="1">
      <alignment horizontal="left"/>
    </xf>
    <xf numFmtId="0" fontId="20" fillId="0" borderId="18" xfId="0" applyFont="1" applyFill="1" applyBorder="1"/>
    <xf numFmtId="3" fontId="9" fillId="3" borderId="2" xfId="0" applyNumberFormat="1" applyFont="1" applyFill="1" applyBorder="1"/>
    <xf numFmtId="3" fontId="9" fillId="3" borderId="2" xfId="1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3" fontId="9" fillId="4" borderId="22" xfId="1" applyNumberFormat="1" applyFont="1" applyFill="1" applyBorder="1" applyAlignment="1">
      <alignment horizontal="right"/>
    </xf>
    <xf numFmtId="10" fontId="24" fillId="0" borderId="0" xfId="0" applyNumberFormat="1" applyFont="1"/>
    <xf numFmtId="0" fontId="11" fillId="4" borderId="0" xfId="0" quotePrefix="1" applyFont="1" applyFill="1"/>
    <xf numFmtId="0" fontId="9" fillId="0" borderId="0" xfId="0" applyFont="1" applyAlignment="1">
      <alignment vertical="top"/>
    </xf>
    <xf numFmtId="0" fontId="11" fillId="0" borderId="16" xfId="0" applyFont="1" applyBorder="1"/>
    <xf numFmtId="10" fontId="25" fillId="0" borderId="0" xfId="0" applyNumberFormat="1" applyFont="1" applyAlignment="1">
      <alignment horizontal="center"/>
    </xf>
    <xf numFmtId="3" fontId="9" fillId="0" borderId="16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3" fontId="9" fillId="0" borderId="1" xfId="0" applyNumberFormat="1" applyFont="1" applyBorder="1" applyAlignment="1">
      <alignment horizontal="center"/>
    </xf>
    <xf numFmtId="3" fontId="9" fillId="0" borderId="18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right"/>
    </xf>
    <xf numFmtId="6" fontId="11" fillId="0" borderId="0" xfId="2" applyNumberFormat="1" applyFont="1"/>
    <xf numFmtId="6" fontId="11" fillId="0" borderId="16" xfId="2" applyNumberFormat="1" applyFont="1" applyBorder="1"/>
    <xf numFmtId="0" fontId="9" fillId="0" borderId="0" xfId="0" applyFont="1" applyAlignment="1">
      <alignment horizontal="right"/>
    </xf>
    <xf numFmtId="6" fontId="11" fillId="0" borderId="18" xfId="2" applyNumberFormat="1" applyFont="1" applyBorder="1"/>
    <xf numFmtId="6" fontId="9" fillId="5" borderId="2" xfId="2" applyNumberFormat="1" applyFont="1" applyFill="1" applyBorder="1"/>
    <xf numFmtId="6" fontId="9" fillId="5" borderId="20" xfId="2" applyNumberFormat="1" applyFont="1" applyFill="1" applyBorder="1"/>
    <xf numFmtId="6" fontId="9" fillId="4" borderId="22" xfId="2" applyNumberFormat="1" applyFont="1" applyFill="1" applyBorder="1"/>
    <xf numFmtId="37" fontId="10" fillId="0" borderId="9" xfId="0" applyNumberFormat="1" applyFont="1" applyBorder="1"/>
    <xf numFmtId="0" fontId="11" fillId="0" borderId="9" xfId="0" applyFont="1" applyBorder="1"/>
    <xf numFmtId="0" fontId="9" fillId="4" borderId="0" xfId="0" applyFont="1" applyFill="1" applyAlignment="1">
      <alignment horizontal="left" vertical="top"/>
    </xf>
    <xf numFmtId="3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A1:Q94"/>
  <sheetViews>
    <sheetView tabSelected="1" view="pageBreakPreview" topLeftCell="A50" zoomScale="85" zoomScaleNormal="100" zoomScaleSheetLayoutView="85" workbookViewId="0">
      <selection activeCell="F95" sqref="F95"/>
    </sheetView>
  </sheetViews>
  <sheetFormatPr defaultColWidth="11.42578125" defaultRowHeight="15"/>
  <cols>
    <col min="1" max="1" width="4.42578125" style="67" customWidth="1"/>
    <col min="2" max="2" width="46.7109375" style="46" bestFit="1" customWidth="1"/>
    <col min="3" max="3" width="11" style="46" customWidth="1"/>
    <col min="4" max="4" width="9" style="46" customWidth="1"/>
    <col min="5" max="5" width="10.42578125" style="46" customWidth="1"/>
    <col min="6" max="6" width="12" style="75" customWidth="1"/>
    <col min="7" max="7" width="5.85546875" style="46" customWidth="1"/>
    <col min="8" max="8" width="12.7109375" style="46" customWidth="1"/>
    <col min="9" max="9" width="4.5703125" style="46" customWidth="1"/>
    <col min="10" max="10" width="11.42578125" style="81"/>
    <col min="11" max="16384" width="11.42578125" style="46"/>
  </cols>
  <sheetData>
    <row r="1" spans="1:17">
      <c r="A1" s="142" t="s">
        <v>8</v>
      </c>
      <c r="B1" s="142"/>
      <c r="C1" s="142"/>
      <c r="D1" s="142"/>
      <c r="E1" s="142"/>
      <c r="F1" s="142"/>
      <c r="G1" s="142"/>
      <c r="H1" s="142"/>
      <c r="I1" s="142"/>
    </row>
    <row r="2" spans="1:17">
      <c r="A2" s="142" t="s">
        <v>0</v>
      </c>
      <c r="B2" s="142"/>
      <c r="C2" s="142"/>
      <c r="D2" s="142"/>
      <c r="E2" s="142"/>
      <c r="F2" s="142"/>
      <c r="G2" s="142"/>
      <c r="H2" s="142"/>
      <c r="I2" s="142"/>
    </row>
    <row r="3" spans="1:17">
      <c r="A3" s="142" t="s">
        <v>163</v>
      </c>
      <c r="B3" s="142"/>
      <c r="C3" s="142"/>
      <c r="D3" s="142"/>
      <c r="E3" s="142"/>
      <c r="F3" s="142"/>
      <c r="G3" s="142"/>
      <c r="H3" s="142"/>
      <c r="I3" s="142"/>
    </row>
    <row r="4" spans="1:17" ht="12" customHeight="1">
      <c r="A4" s="142" t="s">
        <v>1</v>
      </c>
      <c r="B4" s="142"/>
      <c r="C4" s="142"/>
      <c r="D4" s="142"/>
      <c r="E4" s="142"/>
      <c r="F4" s="142"/>
      <c r="G4" s="142"/>
      <c r="H4" s="142"/>
      <c r="I4" s="142"/>
    </row>
    <row r="5" spans="1:17" ht="12" customHeight="1">
      <c r="A5" s="47"/>
      <c r="B5" s="48"/>
      <c r="D5" s="49"/>
      <c r="F5" s="50"/>
    </row>
    <row r="6" spans="1:17" ht="12" customHeight="1">
      <c r="A6" s="47"/>
      <c r="B6" s="48"/>
      <c r="D6" s="49"/>
      <c r="F6" s="50"/>
    </row>
    <row r="7" spans="1:17" ht="12" customHeight="1">
      <c r="A7" s="47"/>
      <c r="B7" s="48"/>
      <c r="D7" s="49"/>
      <c r="E7" s="49" t="s">
        <v>60</v>
      </c>
      <c r="F7" s="49" t="s">
        <v>12</v>
      </c>
      <c r="G7" s="49"/>
      <c r="H7" s="49" t="s">
        <v>14</v>
      </c>
    </row>
    <row r="8" spans="1:17">
      <c r="A8" s="50"/>
      <c r="E8" s="51" t="s">
        <v>161</v>
      </c>
      <c r="F8" s="51"/>
      <c r="G8" s="51"/>
      <c r="H8" s="51" t="s">
        <v>164</v>
      </c>
    </row>
    <row r="9" spans="1:17">
      <c r="A9" s="50" t="s">
        <v>2</v>
      </c>
      <c r="E9" s="52" t="s">
        <v>162</v>
      </c>
      <c r="F9" s="51"/>
      <c r="G9" s="51"/>
      <c r="H9" s="51" t="s">
        <v>37</v>
      </c>
    </row>
    <row r="10" spans="1:17">
      <c r="A10" s="53" t="s">
        <v>3</v>
      </c>
      <c r="E10" s="53" t="s">
        <v>4</v>
      </c>
      <c r="F10" s="53" t="s">
        <v>11</v>
      </c>
      <c r="G10" s="51"/>
      <c r="H10" s="53" t="s">
        <v>38</v>
      </c>
    </row>
    <row r="11" spans="1:17">
      <c r="A11" s="54"/>
      <c r="E11" s="51"/>
      <c r="F11" s="55"/>
      <c r="G11" s="51"/>
      <c r="H11" s="51"/>
    </row>
    <row r="12" spans="1:17">
      <c r="A12" s="50"/>
      <c r="B12" s="60" t="s">
        <v>62</v>
      </c>
      <c r="C12" s="56"/>
      <c r="D12" s="56"/>
      <c r="E12" s="59"/>
      <c r="F12" s="59"/>
      <c r="G12" s="58"/>
      <c r="H12" s="59"/>
      <c r="I12" s="56"/>
      <c r="K12" s="80" t="s">
        <v>165</v>
      </c>
      <c r="Q12" s="56"/>
    </row>
    <row r="13" spans="1:17">
      <c r="A13" s="50">
        <v>1</v>
      </c>
      <c r="B13" s="56" t="s">
        <v>86</v>
      </c>
      <c r="C13" s="56"/>
      <c r="D13" s="56"/>
      <c r="E13" s="59">
        <f>62047/1000</f>
        <v>62</v>
      </c>
      <c r="F13" s="59">
        <f t="shared" ref="F13:F16" si="0">H13-E13</f>
        <v>-62</v>
      </c>
      <c r="G13" s="58"/>
      <c r="H13" s="59">
        <v>0</v>
      </c>
      <c r="I13" s="56"/>
      <c r="K13" s="46" t="s">
        <v>166</v>
      </c>
      <c r="Q13" s="56"/>
    </row>
    <row r="14" spans="1:17">
      <c r="A14" s="50">
        <f>+A13+1</f>
        <v>2</v>
      </c>
      <c r="B14" s="56" t="s">
        <v>87</v>
      </c>
      <c r="C14" s="56"/>
      <c r="D14" s="56"/>
      <c r="E14" s="59">
        <f>157367/1000</f>
        <v>157</v>
      </c>
      <c r="F14" s="59">
        <f t="shared" si="0"/>
        <v>-157</v>
      </c>
      <c r="G14" s="58"/>
      <c r="H14" s="59">
        <v>0</v>
      </c>
      <c r="I14" s="56"/>
      <c r="K14" s="46" t="s">
        <v>166</v>
      </c>
      <c r="Q14" s="56"/>
    </row>
    <row r="15" spans="1:17">
      <c r="A15" s="50">
        <f t="shared" ref="A15:A17" si="1">+A14+1</f>
        <v>3</v>
      </c>
      <c r="B15" s="56" t="s">
        <v>170</v>
      </c>
      <c r="C15" s="56"/>
      <c r="D15" s="56"/>
      <c r="E15" s="59">
        <f>25000/1000</f>
        <v>25</v>
      </c>
      <c r="F15" s="59">
        <f t="shared" si="0"/>
        <v>-25</v>
      </c>
      <c r="G15" s="58"/>
      <c r="H15" s="59">
        <v>0</v>
      </c>
      <c r="I15" s="56"/>
      <c r="K15" s="46" t="s">
        <v>166</v>
      </c>
      <c r="Q15" s="56"/>
    </row>
    <row r="16" spans="1:17">
      <c r="A16" s="50">
        <f t="shared" si="1"/>
        <v>4</v>
      </c>
      <c r="B16" s="56" t="s">
        <v>160</v>
      </c>
      <c r="C16" s="56"/>
      <c r="D16" s="56"/>
      <c r="E16" s="59">
        <f>15718/1000</f>
        <v>16</v>
      </c>
      <c r="F16" s="59">
        <f t="shared" si="0"/>
        <v>87</v>
      </c>
      <c r="G16" s="58"/>
      <c r="H16" s="59">
        <v>103</v>
      </c>
      <c r="I16" s="56"/>
      <c r="K16" s="46" t="s">
        <v>171</v>
      </c>
      <c r="Q16" s="56"/>
    </row>
    <row r="17" spans="1:17">
      <c r="A17" s="50">
        <f t="shared" si="1"/>
        <v>5</v>
      </c>
      <c r="B17" s="61" t="s">
        <v>64</v>
      </c>
      <c r="C17" s="56"/>
      <c r="D17" s="56"/>
      <c r="E17" s="62">
        <f>SUM(E13:E16)</f>
        <v>260</v>
      </c>
      <c r="F17" s="62">
        <f>SUM(F13:F16)</f>
        <v>-157</v>
      </c>
      <c r="G17" s="58"/>
      <c r="H17" s="62">
        <f>SUM(H13:H16)</f>
        <v>103</v>
      </c>
      <c r="I17" s="56"/>
      <c r="Q17" s="56"/>
    </row>
    <row r="18" spans="1:17">
      <c r="A18" s="50"/>
      <c r="B18" s="56"/>
      <c r="C18" s="56"/>
      <c r="D18" s="63"/>
      <c r="E18" s="64"/>
      <c r="F18" s="59"/>
      <c r="G18" s="58"/>
      <c r="H18" s="59"/>
      <c r="I18" s="56"/>
    </row>
    <row r="19" spans="1:17">
      <c r="A19" s="50"/>
      <c r="B19" s="60" t="s">
        <v>65</v>
      </c>
      <c r="C19" s="56"/>
      <c r="D19" s="56"/>
      <c r="E19" s="59"/>
      <c r="F19" s="59"/>
      <c r="G19" s="58"/>
      <c r="H19" s="59"/>
      <c r="I19" s="56"/>
    </row>
    <row r="20" spans="1:17">
      <c r="A20" s="50">
        <f>+A17+1</f>
        <v>6</v>
      </c>
      <c r="B20" s="56" t="s">
        <v>52</v>
      </c>
      <c r="C20" s="56"/>
      <c r="D20" s="56"/>
      <c r="E20" s="59">
        <f>51583/1000</f>
        <v>52</v>
      </c>
      <c r="F20" s="59">
        <f t="shared" ref="F20:F22" si="2">H20-E20</f>
        <v>21</v>
      </c>
      <c r="G20" s="58"/>
      <c r="H20" s="59">
        <f>72612/1000</f>
        <v>73</v>
      </c>
      <c r="I20" s="56"/>
      <c r="K20" s="46" t="s">
        <v>167</v>
      </c>
    </row>
    <row r="21" spans="1:17">
      <c r="A21" s="50">
        <f>+A20+1</f>
        <v>7</v>
      </c>
      <c r="B21" s="56" t="s">
        <v>73</v>
      </c>
      <c r="C21" s="56"/>
      <c r="D21" s="56"/>
      <c r="E21" s="59">
        <f>928243/1000</f>
        <v>928</v>
      </c>
      <c r="F21" s="59">
        <f t="shared" si="2"/>
        <v>-928</v>
      </c>
      <c r="G21" s="58"/>
      <c r="H21" s="59">
        <v>0</v>
      </c>
      <c r="I21" s="56"/>
      <c r="K21" s="46" t="s">
        <v>168</v>
      </c>
    </row>
    <row r="22" spans="1:17">
      <c r="A22" s="50">
        <f t="shared" ref="A22:A23" si="3">+A21+1</f>
        <v>8</v>
      </c>
      <c r="B22" s="56" t="s">
        <v>135</v>
      </c>
      <c r="C22" s="56"/>
      <c r="D22" s="56"/>
      <c r="E22" s="59">
        <f>29137/1000</f>
        <v>29</v>
      </c>
      <c r="F22" s="59">
        <f t="shared" si="2"/>
        <v>383</v>
      </c>
      <c r="G22" s="58"/>
      <c r="H22" s="59">
        <f>411574/1000</f>
        <v>412</v>
      </c>
      <c r="I22" s="56"/>
      <c r="K22" s="46" t="s">
        <v>172</v>
      </c>
    </row>
    <row r="23" spans="1:17">
      <c r="A23" s="50">
        <f t="shared" si="3"/>
        <v>9</v>
      </c>
      <c r="B23" s="61" t="s">
        <v>68</v>
      </c>
      <c r="C23" s="56"/>
      <c r="D23" s="56"/>
      <c r="E23" s="62">
        <f>SUM(E20:E22)</f>
        <v>1009</v>
      </c>
      <c r="F23" s="62">
        <f>SUM(F20:F22)</f>
        <v>-524</v>
      </c>
      <c r="G23" s="58"/>
      <c r="H23" s="62">
        <f>SUM(H20:H22)</f>
        <v>485</v>
      </c>
      <c r="I23" s="56"/>
    </row>
    <row r="24" spans="1:17">
      <c r="A24" s="50"/>
      <c r="B24" s="61"/>
      <c r="C24" s="56"/>
      <c r="D24" s="56"/>
      <c r="E24" s="65"/>
      <c r="F24" s="65"/>
      <c r="G24" s="58"/>
      <c r="H24" s="65"/>
      <c r="I24" s="56"/>
    </row>
    <row r="25" spans="1:17">
      <c r="A25" s="50"/>
      <c r="B25" s="56"/>
      <c r="C25" s="56"/>
      <c r="D25" s="56"/>
      <c r="E25" s="59"/>
      <c r="F25" s="59"/>
      <c r="G25" s="58"/>
      <c r="H25" s="59"/>
      <c r="I25" s="56"/>
    </row>
    <row r="26" spans="1:17" ht="15.75" thickBot="1">
      <c r="A26" s="50">
        <f>A23+1</f>
        <v>10</v>
      </c>
      <c r="B26" s="61" t="s">
        <v>67</v>
      </c>
      <c r="C26" s="56"/>
      <c r="D26" s="56"/>
      <c r="E26" s="117">
        <f>+E17+E23</f>
        <v>1269</v>
      </c>
      <c r="F26" s="117">
        <f>+F17+F23</f>
        <v>-681</v>
      </c>
      <c r="G26" s="66"/>
      <c r="H26" s="117">
        <f>+H17+H23</f>
        <v>588</v>
      </c>
      <c r="I26" s="56"/>
    </row>
    <row r="27" spans="1:17" ht="15.75" thickBot="1">
      <c r="A27" s="50"/>
      <c r="B27" s="56"/>
      <c r="C27" s="56"/>
      <c r="D27" s="56"/>
      <c r="E27" s="59"/>
      <c r="F27" s="119">
        <f>F26*G27</f>
        <v>-447</v>
      </c>
      <c r="G27" s="120">
        <v>0.65639999999999998</v>
      </c>
      <c r="H27" s="59"/>
      <c r="I27" s="56"/>
    </row>
    <row r="28" spans="1:17">
      <c r="B28" s="56"/>
      <c r="C28" s="56"/>
      <c r="D28" s="56"/>
      <c r="E28" s="58"/>
      <c r="G28" s="120" t="s">
        <v>194</v>
      </c>
      <c r="H28" s="58"/>
      <c r="I28" s="56"/>
    </row>
    <row r="29" spans="1:17">
      <c r="B29" s="60" t="s">
        <v>6</v>
      </c>
      <c r="C29" s="56"/>
      <c r="D29" s="56"/>
      <c r="E29" s="69"/>
      <c r="F29" s="69"/>
      <c r="G29" s="70"/>
      <c r="H29" s="70"/>
      <c r="I29" s="56"/>
    </row>
    <row r="30" spans="1:17">
      <c r="B30" s="60"/>
      <c r="C30" s="56"/>
      <c r="D30" s="56"/>
      <c r="E30" s="69"/>
      <c r="F30" s="69"/>
      <c r="G30" s="70"/>
      <c r="H30" s="70"/>
      <c r="I30" s="56"/>
    </row>
    <row r="31" spans="1:17">
      <c r="A31" s="50"/>
      <c r="B31" s="71" t="s">
        <v>175</v>
      </c>
      <c r="C31" s="56"/>
      <c r="D31" s="56"/>
      <c r="E31" s="68"/>
      <c r="F31" s="59"/>
      <c r="G31" s="68"/>
      <c r="H31" s="68"/>
      <c r="I31" s="56"/>
    </row>
    <row r="32" spans="1:17">
      <c r="A32" s="118">
        <v>1</v>
      </c>
      <c r="B32" s="56" t="s">
        <v>173</v>
      </c>
      <c r="C32" s="56"/>
      <c r="D32" s="56"/>
      <c r="E32" s="68">
        <f>5473825/1000</f>
        <v>5474</v>
      </c>
      <c r="F32" s="59">
        <f>H32-E32</f>
        <v>-812</v>
      </c>
      <c r="G32" s="68"/>
      <c r="H32" s="68">
        <f>4662384/1000</f>
        <v>4662</v>
      </c>
      <c r="I32" s="56"/>
      <c r="J32" s="68"/>
      <c r="K32" s="68" t="s">
        <v>193</v>
      </c>
      <c r="L32" s="56"/>
      <c r="M32" s="56"/>
    </row>
    <row r="33" spans="1:11">
      <c r="A33" s="50">
        <f>A32+1</f>
        <v>2</v>
      </c>
      <c r="B33" s="56" t="s">
        <v>145</v>
      </c>
      <c r="C33" s="56"/>
      <c r="D33" s="56"/>
      <c r="E33" s="68">
        <f>6412679/1000</f>
        <v>6413</v>
      </c>
      <c r="F33" s="59">
        <f t="shared" ref="F33:F45" si="4">H33-E33</f>
        <v>0</v>
      </c>
      <c r="G33" s="68"/>
      <c r="H33" s="68">
        <f t="shared" ref="H33:H45" si="5">E33</f>
        <v>6413</v>
      </c>
      <c r="I33" s="56"/>
    </row>
    <row r="34" spans="1:11">
      <c r="A34" s="50">
        <f>A33+1</f>
        <v>3</v>
      </c>
      <c r="B34" s="56" t="s">
        <v>146</v>
      </c>
      <c r="C34" s="56"/>
      <c r="D34" s="56"/>
      <c r="E34" s="68">
        <f>32160/1000</f>
        <v>32</v>
      </c>
      <c r="F34" s="59">
        <f t="shared" si="4"/>
        <v>0</v>
      </c>
      <c r="G34" s="68"/>
      <c r="H34" s="68">
        <f t="shared" si="5"/>
        <v>32</v>
      </c>
      <c r="I34" s="56"/>
    </row>
    <row r="35" spans="1:11">
      <c r="A35" s="50">
        <f t="shared" ref="A35:A46" si="6">A34+1</f>
        <v>4</v>
      </c>
      <c r="B35" s="56" t="s">
        <v>147</v>
      </c>
      <c r="C35" s="56"/>
      <c r="D35" s="56"/>
      <c r="E35" s="68">
        <f>10800/1000</f>
        <v>11</v>
      </c>
      <c r="F35" s="59">
        <f t="shared" si="4"/>
        <v>0</v>
      </c>
      <c r="G35" s="68"/>
      <c r="H35" s="68">
        <f t="shared" si="5"/>
        <v>11</v>
      </c>
      <c r="I35" s="56"/>
    </row>
    <row r="36" spans="1:11">
      <c r="A36" s="50">
        <f t="shared" si="6"/>
        <v>5</v>
      </c>
      <c r="B36" s="56" t="s">
        <v>148</v>
      </c>
      <c r="C36" s="56"/>
      <c r="D36" s="56"/>
      <c r="E36" s="68">
        <f>27567/1000</f>
        <v>28</v>
      </c>
      <c r="F36" s="59">
        <f t="shared" si="4"/>
        <v>0</v>
      </c>
      <c r="G36" s="68"/>
      <c r="H36" s="68">
        <f t="shared" si="5"/>
        <v>28</v>
      </c>
      <c r="I36" s="56"/>
    </row>
    <row r="37" spans="1:11">
      <c r="A37" s="50">
        <f t="shared" si="6"/>
        <v>6</v>
      </c>
      <c r="B37" s="56" t="s">
        <v>157</v>
      </c>
      <c r="C37" s="56"/>
      <c r="D37" s="56"/>
      <c r="E37" s="68">
        <f>28800/1000</f>
        <v>29</v>
      </c>
      <c r="F37" s="59">
        <f t="shared" si="4"/>
        <v>-11</v>
      </c>
      <c r="G37" s="68"/>
      <c r="H37" s="68">
        <f>18000/1000</f>
        <v>18</v>
      </c>
      <c r="I37" s="56"/>
      <c r="K37" s="46" t="s">
        <v>183</v>
      </c>
    </row>
    <row r="38" spans="1:11">
      <c r="A38" s="50">
        <f t="shared" si="6"/>
        <v>7</v>
      </c>
      <c r="B38" s="56" t="s">
        <v>149</v>
      </c>
      <c r="C38" s="56"/>
      <c r="D38" s="56"/>
      <c r="E38" s="68">
        <f>349765/1000</f>
        <v>350</v>
      </c>
      <c r="F38" s="59">
        <f t="shared" si="4"/>
        <v>0</v>
      </c>
      <c r="G38" s="68"/>
      <c r="H38" s="68">
        <f t="shared" si="5"/>
        <v>350</v>
      </c>
      <c r="I38" s="56"/>
    </row>
    <row r="39" spans="1:11">
      <c r="A39" s="50">
        <f t="shared" si="6"/>
        <v>8</v>
      </c>
      <c r="B39" s="56" t="s">
        <v>150</v>
      </c>
      <c r="C39" s="56"/>
      <c r="D39" s="56"/>
      <c r="E39" s="68">
        <f>180456/1000</f>
        <v>180</v>
      </c>
      <c r="F39" s="59">
        <f t="shared" si="4"/>
        <v>0</v>
      </c>
      <c r="G39" s="68"/>
      <c r="H39" s="68">
        <f t="shared" si="5"/>
        <v>180</v>
      </c>
      <c r="I39" s="56"/>
      <c r="K39" s="86"/>
    </row>
    <row r="40" spans="1:11">
      <c r="A40" s="50">
        <f t="shared" si="6"/>
        <v>9</v>
      </c>
      <c r="B40" s="56" t="s">
        <v>151</v>
      </c>
      <c r="C40" s="56"/>
      <c r="D40" s="56"/>
      <c r="E40" s="68">
        <f>277574/1000</f>
        <v>278</v>
      </c>
      <c r="F40" s="59">
        <f t="shared" si="4"/>
        <v>0</v>
      </c>
      <c r="G40" s="68"/>
      <c r="H40" s="68">
        <f t="shared" si="5"/>
        <v>278</v>
      </c>
      <c r="I40" s="56"/>
    </row>
    <row r="41" spans="1:11">
      <c r="A41" s="50">
        <f t="shared" si="6"/>
        <v>10</v>
      </c>
      <c r="B41" s="56" t="s">
        <v>152</v>
      </c>
      <c r="C41" s="56"/>
      <c r="D41" s="56"/>
      <c r="E41" s="68">
        <f>27973/1000</f>
        <v>28</v>
      </c>
      <c r="F41" s="59">
        <f t="shared" si="4"/>
        <v>0</v>
      </c>
      <c r="G41" s="68"/>
      <c r="H41" s="68">
        <f t="shared" si="5"/>
        <v>28</v>
      </c>
      <c r="I41" s="56"/>
    </row>
    <row r="42" spans="1:11">
      <c r="A42" s="50">
        <f t="shared" si="6"/>
        <v>11</v>
      </c>
      <c r="B42" s="56" t="s">
        <v>179</v>
      </c>
      <c r="C42" s="56"/>
      <c r="D42" s="56"/>
      <c r="E42" s="68">
        <f>9480/1000</f>
        <v>9</v>
      </c>
      <c r="F42" s="59">
        <f t="shared" si="4"/>
        <v>0</v>
      </c>
      <c r="G42" s="68"/>
      <c r="H42" s="68">
        <f>E42</f>
        <v>9</v>
      </c>
      <c r="I42" s="56"/>
    </row>
    <row r="43" spans="1:11">
      <c r="A43" s="50">
        <f t="shared" si="6"/>
        <v>12</v>
      </c>
      <c r="B43" s="56" t="s">
        <v>153</v>
      </c>
      <c r="C43" s="56"/>
      <c r="D43" s="56"/>
      <c r="E43" s="68">
        <f>6120/1000</f>
        <v>6</v>
      </c>
      <c r="F43" s="59">
        <f t="shared" si="4"/>
        <v>0</v>
      </c>
      <c r="G43" s="68"/>
      <c r="H43" s="68">
        <f t="shared" si="5"/>
        <v>6</v>
      </c>
      <c r="I43" s="56"/>
    </row>
    <row r="44" spans="1:11">
      <c r="A44" s="50">
        <f t="shared" si="6"/>
        <v>13</v>
      </c>
      <c r="B44" s="56" t="s">
        <v>154</v>
      </c>
      <c r="C44" s="56"/>
      <c r="D44" s="56"/>
      <c r="E44" s="68">
        <f>604/1000</f>
        <v>1</v>
      </c>
      <c r="F44" s="59">
        <f t="shared" si="4"/>
        <v>0</v>
      </c>
      <c r="G44" s="68"/>
      <c r="H44" s="68">
        <f t="shared" si="5"/>
        <v>1</v>
      </c>
      <c r="I44" s="56"/>
    </row>
    <row r="45" spans="1:11">
      <c r="A45" s="50">
        <f t="shared" si="6"/>
        <v>14</v>
      </c>
      <c r="B45" s="56" t="s">
        <v>155</v>
      </c>
      <c r="C45" s="56"/>
      <c r="D45" s="56"/>
      <c r="E45" s="72">
        <f>72000/1000</f>
        <v>72</v>
      </c>
      <c r="F45" s="57">
        <f t="shared" si="4"/>
        <v>0</v>
      </c>
      <c r="G45" s="68"/>
      <c r="H45" s="72">
        <f t="shared" si="5"/>
        <v>72</v>
      </c>
      <c r="I45" s="56"/>
    </row>
    <row r="46" spans="1:11">
      <c r="A46" s="50">
        <f t="shared" si="6"/>
        <v>15</v>
      </c>
      <c r="B46" s="76" t="s">
        <v>142</v>
      </c>
      <c r="C46" s="56"/>
      <c r="D46" s="56"/>
      <c r="E46" s="68">
        <f>SUM(E32:E45)</f>
        <v>12911</v>
      </c>
      <c r="F46" s="68">
        <f>SUM(F32:F45)</f>
        <v>-823</v>
      </c>
      <c r="G46" s="68"/>
      <c r="H46" s="68">
        <f>SUM(H32:H45)</f>
        <v>12088</v>
      </c>
      <c r="I46" s="56"/>
    </row>
    <row r="47" spans="1:11">
      <c r="A47" s="50"/>
      <c r="B47" s="56"/>
      <c r="C47" s="56"/>
      <c r="D47" s="56"/>
      <c r="E47" s="68"/>
      <c r="F47" s="59"/>
      <c r="G47" s="68"/>
      <c r="H47" s="68"/>
      <c r="I47" s="56"/>
    </row>
    <row r="48" spans="1:11">
      <c r="B48" s="71" t="s">
        <v>137</v>
      </c>
      <c r="C48" s="56"/>
      <c r="D48" s="56"/>
      <c r="E48" s="69"/>
      <c r="F48" s="69"/>
      <c r="G48" s="70"/>
      <c r="H48" s="70"/>
      <c r="I48" s="56"/>
    </row>
    <row r="49" spans="1:13">
      <c r="A49" s="50">
        <f>A46+1</f>
        <v>16</v>
      </c>
      <c r="B49" s="56" t="s">
        <v>100</v>
      </c>
      <c r="C49" s="56"/>
      <c r="D49" s="56"/>
      <c r="E49" s="68">
        <f>8081/1000</f>
        <v>8</v>
      </c>
      <c r="F49" s="59">
        <f t="shared" ref="F49:F52" si="7">H49-E49</f>
        <v>0</v>
      </c>
      <c r="G49" s="68"/>
      <c r="H49" s="68">
        <f>E49</f>
        <v>8</v>
      </c>
      <c r="I49" s="56"/>
      <c r="J49" s="84"/>
      <c r="K49" s="85"/>
      <c r="M49" s="75"/>
    </row>
    <row r="50" spans="1:13">
      <c r="A50" s="50">
        <f>A49+1</f>
        <v>17</v>
      </c>
      <c r="B50" s="56" t="s">
        <v>177</v>
      </c>
      <c r="C50" s="56"/>
      <c r="D50" s="56"/>
      <c r="E50" s="68">
        <f>52163/1000</f>
        <v>52</v>
      </c>
      <c r="F50" s="59">
        <f t="shared" si="7"/>
        <v>0</v>
      </c>
      <c r="G50" s="68"/>
      <c r="H50" s="68">
        <f>E50</f>
        <v>52</v>
      </c>
      <c r="I50" s="56"/>
      <c r="M50" s="75"/>
    </row>
    <row r="51" spans="1:13">
      <c r="A51" s="50">
        <f t="shared" ref="A51:A52" si="8">A50+1</f>
        <v>18</v>
      </c>
      <c r="B51" s="56" t="s">
        <v>180</v>
      </c>
      <c r="C51" s="56"/>
      <c r="D51" s="56"/>
      <c r="E51" s="68">
        <f>9090/1000</f>
        <v>9</v>
      </c>
      <c r="F51" s="59">
        <f t="shared" ref="F51" si="9">H51-E51</f>
        <v>0</v>
      </c>
      <c r="G51" s="68"/>
      <c r="H51" s="68">
        <f>E51</f>
        <v>9</v>
      </c>
      <c r="I51" s="56"/>
      <c r="M51" s="75"/>
    </row>
    <row r="52" spans="1:13">
      <c r="A52" s="50">
        <f t="shared" si="8"/>
        <v>19</v>
      </c>
      <c r="B52" s="56" t="s">
        <v>176</v>
      </c>
      <c r="C52" s="56"/>
      <c r="D52" s="56"/>
      <c r="E52" s="72">
        <v>0</v>
      </c>
      <c r="F52" s="57">
        <f t="shared" si="7"/>
        <v>70</v>
      </c>
      <c r="G52" s="68"/>
      <c r="H52" s="72">
        <v>70</v>
      </c>
      <c r="I52" s="56"/>
      <c r="K52" s="46" t="s">
        <v>181</v>
      </c>
      <c r="M52" s="75"/>
    </row>
    <row r="53" spans="1:13">
      <c r="A53" s="50"/>
      <c r="B53" s="76" t="s">
        <v>138</v>
      </c>
      <c r="C53" s="56"/>
      <c r="D53" s="56"/>
      <c r="E53" s="68">
        <f>SUM(E49:E52)</f>
        <v>69</v>
      </c>
      <c r="F53" s="68">
        <f>SUM(F49:F52)</f>
        <v>70</v>
      </c>
      <c r="G53" s="68"/>
      <c r="H53" s="68">
        <f>SUM(H49:H52)</f>
        <v>139</v>
      </c>
      <c r="I53" s="56"/>
      <c r="J53" s="84"/>
      <c r="K53" s="85"/>
      <c r="M53" s="87"/>
    </row>
    <row r="54" spans="1:13">
      <c r="A54" s="50"/>
      <c r="B54" s="56"/>
      <c r="C54" s="56"/>
      <c r="D54" s="79"/>
      <c r="E54" s="78"/>
      <c r="F54" s="59"/>
      <c r="G54" s="68"/>
      <c r="H54" s="68"/>
      <c r="I54" s="56"/>
    </row>
    <row r="55" spans="1:13">
      <c r="A55" s="50"/>
      <c r="B55" s="71" t="s">
        <v>169</v>
      </c>
      <c r="C55" s="56"/>
      <c r="D55" s="56"/>
      <c r="E55" s="68"/>
      <c r="F55" s="59"/>
      <c r="G55" s="68"/>
      <c r="H55" s="68"/>
      <c r="I55" s="56"/>
    </row>
    <row r="56" spans="1:13">
      <c r="A56" s="50">
        <f>A52+1</f>
        <v>20</v>
      </c>
      <c r="B56" s="56" t="s">
        <v>145</v>
      </c>
      <c r="C56" s="56"/>
      <c r="D56" s="56"/>
      <c r="E56" s="72">
        <f>924000/1000</f>
        <v>924</v>
      </c>
      <c r="F56" s="72">
        <f t="shared" ref="F56" si="10">H56-E56</f>
        <v>0</v>
      </c>
      <c r="G56" s="68"/>
      <c r="H56" s="72">
        <f>E56</f>
        <v>924</v>
      </c>
      <c r="I56" s="56"/>
    </row>
    <row r="57" spans="1:13">
      <c r="A57" s="50">
        <f>A56+1</f>
        <v>21</v>
      </c>
      <c r="B57" s="76" t="s">
        <v>141</v>
      </c>
      <c r="C57" s="56"/>
      <c r="D57" s="56"/>
      <c r="E57" s="68">
        <f>SUM(E56)</f>
        <v>924</v>
      </c>
      <c r="F57" s="68">
        <f>SUM(F56)</f>
        <v>0</v>
      </c>
      <c r="G57" s="68"/>
      <c r="H57" s="68">
        <f>SUM(H56)</f>
        <v>924</v>
      </c>
      <c r="I57" s="56"/>
    </row>
    <row r="58" spans="1:13">
      <c r="A58" s="50"/>
      <c r="B58" s="56"/>
      <c r="C58" s="56"/>
      <c r="D58" s="56"/>
      <c r="E58" s="68"/>
      <c r="F58" s="59"/>
      <c r="G58" s="68"/>
      <c r="H58" s="68"/>
      <c r="I58" s="56"/>
    </row>
    <row r="59" spans="1:13">
      <c r="A59" s="50"/>
      <c r="B59" s="61" t="s">
        <v>139</v>
      </c>
      <c r="C59" s="56"/>
      <c r="D59" s="56"/>
      <c r="E59" s="68"/>
      <c r="F59" s="59"/>
      <c r="G59" s="68"/>
      <c r="H59" s="68"/>
      <c r="I59" s="56"/>
    </row>
    <row r="60" spans="1:13">
      <c r="A60" s="50">
        <f>A57+1</f>
        <v>22</v>
      </c>
      <c r="B60" s="56" t="s">
        <v>156</v>
      </c>
      <c r="C60" s="56"/>
      <c r="D60" s="56"/>
      <c r="E60" s="68">
        <f>2463879/1000</f>
        <v>2464</v>
      </c>
      <c r="F60" s="59">
        <f t="shared" ref="F60:F64" si="11">H60-E60</f>
        <v>-1370</v>
      </c>
      <c r="G60" s="68"/>
      <c r="H60" s="68">
        <f>(E60-1370)</f>
        <v>1094</v>
      </c>
      <c r="I60" s="56"/>
      <c r="K60" s="46" t="s">
        <v>184</v>
      </c>
    </row>
    <row r="61" spans="1:13">
      <c r="A61" s="50">
        <f>A60+1</f>
        <v>23</v>
      </c>
      <c r="B61" s="56" t="s">
        <v>146</v>
      </c>
      <c r="C61" s="56"/>
      <c r="D61" s="56"/>
      <c r="E61" s="68">
        <f>9299/1000</f>
        <v>9</v>
      </c>
      <c r="F61" s="59">
        <f t="shared" si="11"/>
        <v>0</v>
      </c>
      <c r="G61" s="68"/>
      <c r="H61" s="68">
        <f t="shared" ref="H61:H64" si="12">E61</f>
        <v>9</v>
      </c>
      <c r="I61" s="56"/>
    </row>
    <row r="62" spans="1:13">
      <c r="A62" s="50">
        <f t="shared" ref="A62:A65" si="13">A61+1</f>
        <v>24</v>
      </c>
      <c r="B62" s="56" t="s">
        <v>147</v>
      </c>
      <c r="C62" s="56"/>
      <c r="D62" s="56"/>
      <c r="E62" s="68">
        <f>5747/1000</f>
        <v>6</v>
      </c>
      <c r="F62" s="59">
        <f t="shared" si="11"/>
        <v>0</v>
      </c>
      <c r="G62" s="68"/>
      <c r="H62" s="68">
        <f t="shared" si="12"/>
        <v>6</v>
      </c>
      <c r="I62" s="56"/>
    </row>
    <row r="63" spans="1:13">
      <c r="A63" s="50">
        <f t="shared" si="13"/>
        <v>25</v>
      </c>
      <c r="B63" s="56" t="s">
        <v>157</v>
      </c>
      <c r="C63" s="56"/>
      <c r="D63" s="56"/>
      <c r="E63" s="68">
        <f>6410/1000</f>
        <v>6</v>
      </c>
      <c r="F63" s="59">
        <f t="shared" si="11"/>
        <v>0</v>
      </c>
      <c r="G63" s="68"/>
      <c r="H63" s="68">
        <f t="shared" si="12"/>
        <v>6</v>
      </c>
      <c r="I63" s="56"/>
    </row>
    <row r="64" spans="1:13">
      <c r="A64" s="50">
        <f t="shared" si="13"/>
        <v>26</v>
      </c>
      <c r="B64" s="77" t="s">
        <v>159</v>
      </c>
      <c r="C64" s="56"/>
      <c r="D64" s="56"/>
      <c r="E64" s="72">
        <f>22549/1000</f>
        <v>23</v>
      </c>
      <c r="F64" s="57">
        <f t="shared" si="11"/>
        <v>0</v>
      </c>
      <c r="G64" s="68"/>
      <c r="H64" s="72">
        <f t="shared" si="12"/>
        <v>23</v>
      </c>
      <c r="I64" s="56"/>
    </row>
    <row r="65" spans="1:11">
      <c r="A65" s="50">
        <f t="shared" si="13"/>
        <v>27</v>
      </c>
      <c r="B65" s="76" t="s">
        <v>158</v>
      </c>
      <c r="C65" s="56"/>
      <c r="D65" s="56"/>
      <c r="E65" s="68">
        <f>SUM(E60:E64)</f>
        <v>2508</v>
      </c>
      <c r="F65" s="68">
        <f>SUM(F60:F64)</f>
        <v>-1370</v>
      </c>
      <c r="G65" s="68"/>
      <c r="H65" s="68">
        <f>SUM(H60:H64)</f>
        <v>1138</v>
      </c>
      <c r="I65" s="56"/>
      <c r="J65" s="84"/>
      <c r="K65" s="85"/>
    </row>
    <row r="66" spans="1:11">
      <c r="A66" s="50"/>
      <c r="B66" s="56"/>
      <c r="C66" s="56"/>
      <c r="D66" s="82"/>
      <c r="E66" s="83"/>
      <c r="F66" s="68"/>
      <c r="G66" s="68"/>
      <c r="H66" s="68"/>
      <c r="I66" s="56"/>
    </row>
    <row r="67" spans="1:11">
      <c r="A67" s="50"/>
      <c r="B67" s="61" t="s">
        <v>140</v>
      </c>
      <c r="C67" s="56"/>
      <c r="D67" s="56"/>
      <c r="E67" s="68"/>
      <c r="F67" s="59"/>
      <c r="G67" s="68"/>
      <c r="H67" s="68"/>
      <c r="I67" s="56"/>
    </row>
    <row r="68" spans="1:11">
      <c r="A68" s="50">
        <f>A65+1</f>
        <v>28</v>
      </c>
      <c r="B68" s="56" t="s">
        <v>146</v>
      </c>
      <c r="C68" s="56"/>
      <c r="D68" s="56"/>
      <c r="E68" s="68">
        <f>87509/1000</f>
        <v>88</v>
      </c>
      <c r="F68" s="59">
        <f t="shared" ref="F68:F70" si="14">H68-E68</f>
        <v>1</v>
      </c>
      <c r="G68" s="68"/>
      <c r="H68" s="68">
        <f>89243/1000</f>
        <v>89</v>
      </c>
      <c r="I68" s="56"/>
      <c r="K68" s="46" t="s">
        <v>186</v>
      </c>
    </row>
    <row r="69" spans="1:11">
      <c r="A69" s="50">
        <f>A68+1</f>
        <v>29</v>
      </c>
      <c r="B69" s="56" t="s">
        <v>147</v>
      </c>
      <c r="C69" s="56"/>
      <c r="D69" s="56"/>
      <c r="E69" s="68">
        <f>50781/1000</f>
        <v>51</v>
      </c>
      <c r="F69" s="59">
        <f t="shared" si="14"/>
        <v>12</v>
      </c>
      <c r="G69" s="68"/>
      <c r="H69" s="68">
        <f>62791/1000</f>
        <v>63</v>
      </c>
      <c r="I69" s="56"/>
      <c r="K69" s="46" t="s">
        <v>185</v>
      </c>
    </row>
    <row r="70" spans="1:11">
      <c r="A70" s="50">
        <f>A69+1</f>
        <v>30</v>
      </c>
      <c r="B70" s="56" t="s">
        <v>157</v>
      </c>
      <c r="C70" s="56"/>
      <c r="D70" s="56"/>
      <c r="E70" s="72">
        <f>19990/1000</f>
        <v>20</v>
      </c>
      <c r="F70" s="57">
        <f t="shared" si="14"/>
        <v>5</v>
      </c>
      <c r="G70" s="68"/>
      <c r="H70" s="72">
        <f>25031/1000</f>
        <v>25</v>
      </c>
      <c r="I70" s="56"/>
      <c r="K70" s="46" t="s">
        <v>182</v>
      </c>
    </row>
    <row r="71" spans="1:11">
      <c r="A71" s="50">
        <f>A70+1</f>
        <v>31</v>
      </c>
      <c r="B71" s="76" t="s">
        <v>143</v>
      </c>
      <c r="C71" s="56"/>
      <c r="D71" s="56"/>
      <c r="E71" s="68">
        <f>SUM(E68:E70)</f>
        <v>159</v>
      </c>
      <c r="F71" s="59">
        <f>SUM(F68:F70)</f>
        <v>18</v>
      </c>
      <c r="G71" s="68"/>
      <c r="H71" s="68">
        <f>SUM(H68:H70)</f>
        <v>177</v>
      </c>
      <c r="I71" s="56"/>
    </row>
    <row r="72" spans="1:11">
      <c r="A72" s="50"/>
      <c r="B72" s="56"/>
      <c r="C72" s="56"/>
      <c r="D72" s="56"/>
      <c r="E72" s="68"/>
      <c r="F72" s="59"/>
      <c r="G72" s="68"/>
      <c r="H72" s="68"/>
      <c r="I72" s="56"/>
    </row>
    <row r="73" spans="1:11">
      <c r="A73" s="50"/>
      <c r="B73" s="61" t="s">
        <v>174</v>
      </c>
      <c r="C73" s="56"/>
      <c r="D73" s="56"/>
      <c r="E73" s="68"/>
      <c r="F73" s="59"/>
      <c r="G73" s="68"/>
      <c r="H73" s="68"/>
      <c r="I73" s="56"/>
    </row>
    <row r="74" spans="1:11">
      <c r="A74" s="50">
        <f>A71+1</f>
        <v>32</v>
      </c>
      <c r="B74" s="56" t="s">
        <v>145</v>
      </c>
      <c r="C74" s="56"/>
      <c r="D74" s="56"/>
      <c r="E74" s="72">
        <f>1679676/1000</f>
        <v>1680</v>
      </c>
      <c r="F74" s="57">
        <f t="shared" ref="F74" si="15">H74-E74</f>
        <v>0</v>
      </c>
      <c r="G74" s="68"/>
      <c r="H74" s="72">
        <f>E74</f>
        <v>1680</v>
      </c>
      <c r="I74" s="56"/>
    </row>
    <row r="75" spans="1:11">
      <c r="A75" s="50"/>
      <c r="B75" s="76" t="s">
        <v>178</v>
      </c>
      <c r="C75" s="56"/>
      <c r="D75" s="56"/>
      <c r="E75" s="68">
        <f>SUM(E74)</f>
        <v>1680</v>
      </c>
      <c r="F75" s="59">
        <f>SUM(F74)</f>
        <v>0</v>
      </c>
      <c r="G75" s="68"/>
      <c r="H75" s="68">
        <f>SUM(H74)</f>
        <v>1680</v>
      </c>
      <c r="I75" s="56"/>
    </row>
    <row r="76" spans="1:11">
      <c r="A76" s="50"/>
      <c r="B76" s="56"/>
      <c r="C76" s="56"/>
      <c r="D76" s="56"/>
      <c r="E76" s="68"/>
      <c r="F76" s="59"/>
      <c r="G76" s="68"/>
      <c r="H76" s="68"/>
      <c r="I76" s="56"/>
    </row>
    <row r="77" spans="1:11">
      <c r="A77" s="50">
        <f>A74+1</f>
        <v>33</v>
      </c>
      <c r="B77" s="73" t="s">
        <v>144</v>
      </c>
      <c r="E77" s="116">
        <f>E46+E53+E57+E65+E71+E75</f>
        <v>18251</v>
      </c>
      <c r="F77" s="116">
        <f>F46+F53+F57+F65+F71+F75</f>
        <v>-2105</v>
      </c>
      <c r="G77" s="56"/>
      <c r="H77" s="116">
        <f>H46+H53+H57+H65+H71+H75</f>
        <v>16146</v>
      </c>
      <c r="I77" s="121" t="s">
        <v>195</v>
      </c>
      <c r="J77" s="84"/>
      <c r="K77" s="85"/>
    </row>
    <row r="78" spans="1:11">
      <c r="B78" s="73"/>
      <c r="D78" s="82"/>
      <c r="E78" s="83"/>
      <c r="F78" s="55"/>
    </row>
    <row r="79" spans="1:11">
      <c r="A79" s="50">
        <f>+A77+1</f>
        <v>34</v>
      </c>
      <c r="B79" s="73" t="s">
        <v>208</v>
      </c>
      <c r="E79" s="88"/>
      <c r="F79" s="74">
        <f>+F26-F77</f>
        <v>1424</v>
      </c>
      <c r="H79" s="88"/>
    </row>
    <row r="80" spans="1:11">
      <c r="F80" s="46"/>
    </row>
    <row r="81" spans="1:11">
      <c r="A81" s="46"/>
      <c r="B81" s="140" t="s">
        <v>209</v>
      </c>
      <c r="C81" s="140"/>
      <c r="D81" s="140"/>
      <c r="E81" s="140"/>
      <c r="F81" s="140"/>
      <c r="G81" s="140"/>
      <c r="H81" s="140"/>
      <c r="I81" s="140"/>
      <c r="J81" s="122"/>
      <c r="K81" s="122"/>
    </row>
    <row r="82" spans="1:11">
      <c r="A82" s="46"/>
      <c r="B82" s="140" t="s">
        <v>210</v>
      </c>
      <c r="C82" s="140"/>
      <c r="D82" s="140"/>
      <c r="E82" s="140"/>
      <c r="F82" s="140"/>
      <c r="G82" s="140"/>
      <c r="H82" s="140"/>
      <c r="I82" s="140"/>
      <c r="J82" s="122"/>
      <c r="K82" s="122"/>
    </row>
    <row r="83" spans="1:11">
      <c r="A83" s="46"/>
      <c r="C83" s="141" t="s">
        <v>196</v>
      </c>
      <c r="D83" s="123"/>
      <c r="E83" s="75"/>
      <c r="F83" s="46"/>
      <c r="H83" s="124">
        <v>0.65639999999999998</v>
      </c>
    </row>
    <row r="84" spans="1:11">
      <c r="A84" s="46"/>
      <c r="C84" s="141"/>
      <c r="D84" s="125" t="s">
        <v>37</v>
      </c>
      <c r="F84" s="126" t="s">
        <v>197</v>
      </c>
      <c r="H84" s="126" t="s">
        <v>197</v>
      </c>
    </row>
    <row r="85" spans="1:11">
      <c r="B85" s="127" t="s">
        <v>198</v>
      </c>
      <c r="C85" s="128" t="s">
        <v>199</v>
      </c>
      <c r="D85" s="129" t="s">
        <v>199</v>
      </c>
      <c r="F85" s="128" t="s">
        <v>199</v>
      </c>
      <c r="H85" s="128" t="s">
        <v>200</v>
      </c>
    </row>
    <row r="86" spans="1:11">
      <c r="B86" s="130" t="s">
        <v>201</v>
      </c>
      <c r="C86" s="131">
        <v>15149</v>
      </c>
      <c r="D86" s="132">
        <f>D89-D88-D87</f>
        <v>15988</v>
      </c>
      <c r="F86" s="131">
        <f>D86-C86</f>
        <v>839</v>
      </c>
      <c r="H86" s="131">
        <f>F86*H83</f>
        <v>551</v>
      </c>
    </row>
    <row r="87" spans="1:11">
      <c r="B87" s="133" t="s">
        <v>202</v>
      </c>
      <c r="C87" s="75">
        <v>0</v>
      </c>
      <c r="D87" s="132">
        <v>107</v>
      </c>
      <c r="F87" s="131">
        <f>D87-C87</f>
        <v>107</v>
      </c>
      <c r="H87" s="131">
        <f>F87</f>
        <v>107</v>
      </c>
    </row>
    <row r="88" spans="1:11">
      <c r="B88" s="133" t="s">
        <v>203</v>
      </c>
      <c r="C88" s="75">
        <v>0</v>
      </c>
      <c r="D88" s="134">
        <v>51</v>
      </c>
      <c r="F88" s="131">
        <f>D88-C88</f>
        <v>51</v>
      </c>
      <c r="H88" s="131">
        <v>0</v>
      </c>
    </row>
    <row r="89" spans="1:11" ht="15.75" thickBot="1">
      <c r="B89" s="130" t="s">
        <v>204</v>
      </c>
      <c r="C89" s="135">
        <f>C86</f>
        <v>15149</v>
      </c>
      <c r="D89" s="136">
        <f>H77</f>
        <v>16146</v>
      </c>
      <c r="E89" s="121" t="s">
        <v>195</v>
      </c>
      <c r="F89" s="81"/>
      <c r="G89" s="131"/>
      <c r="I89" s="131"/>
    </row>
    <row r="90" spans="1:11" ht="15.75" thickBot="1">
      <c r="D90" s="133" t="s">
        <v>205</v>
      </c>
      <c r="F90" s="135">
        <f>SUM(F86:F88)</f>
        <v>997</v>
      </c>
      <c r="H90" s="137">
        <f>SUM(H86:H88)</f>
        <v>658</v>
      </c>
    </row>
    <row r="91" spans="1:11" ht="6.75" customHeight="1" thickBot="1">
      <c r="F91" s="81"/>
    </row>
    <row r="92" spans="1:11" ht="15.75" thickBot="1">
      <c r="D92" s="133" t="s">
        <v>206</v>
      </c>
      <c r="F92" s="135">
        <f>F26</f>
        <v>-681</v>
      </c>
      <c r="H92" s="137">
        <f>F27</f>
        <v>-447</v>
      </c>
    </row>
    <row r="93" spans="1:11" ht="8.25" customHeight="1" thickBot="1">
      <c r="F93" s="138"/>
      <c r="H93" s="139"/>
    </row>
    <row r="94" spans="1:11" ht="15.75" thickBot="1">
      <c r="D94" s="133" t="s">
        <v>207</v>
      </c>
      <c r="F94" s="135">
        <f>-F90+F92</f>
        <v>-1678</v>
      </c>
      <c r="H94" s="137">
        <f>-H90+H92</f>
        <v>-1105</v>
      </c>
    </row>
  </sheetData>
  <mergeCells count="7">
    <mergeCell ref="B82:I82"/>
    <mergeCell ref="C83:C84"/>
    <mergeCell ref="A1:I1"/>
    <mergeCell ref="A2:I2"/>
    <mergeCell ref="A3:I3"/>
    <mergeCell ref="A4:I4"/>
    <mergeCell ref="B81:I81"/>
  </mergeCells>
  <phoneticPr fontId="8" type="noConversion"/>
  <pageMargins left="0.38" right="0" top="0.5" bottom="0" header="0.5" footer="0.25"/>
  <pageSetup scale="77" fitToHeight="2" orientation="portrait" horizontalDpi="1200" verticalDpi="1200" r:id="rId1"/>
  <headerFooter alignWithMargins="0">
    <oddFooter>&amp;LPro Forma 2/11: &amp;F  &amp;A&amp;R&amp;D SC</oddFooter>
  </headerFooter>
  <rowBreaks count="1" manualBreakCount="1">
    <brk id="5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1:G105"/>
  <sheetViews>
    <sheetView workbookViewId="0">
      <selection sqref="A1:B1"/>
    </sheetView>
  </sheetViews>
  <sheetFormatPr defaultColWidth="11.42578125" defaultRowHeight="12.75"/>
  <cols>
    <col min="1" max="1" width="12.28515625" style="9" customWidth="1"/>
    <col min="2" max="2" width="48.140625" bestFit="1" customWidth="1"/>
    <col min="3" max="3" width="11" customWidth="1"/>
    <col min="4" max="4" width="9" customWidth="1"/>
    <col min="5" max="6" width="11.42578125" customWidth="1"/>
    <col min="7" max="7" width="10.7109375" style="11" customWidth="1"/>
    <col min="8" max="8" width="11.42578125" customWidth="1"/>
    <col min="9" max="9" width="35.42578125" customWidth="1"/>
  </cols>
  <sheetData>
    <row r="1" spans="1:7">
      <c r="A1" s="143" t="s">
        <v>25</v>
      </c>
      <c r="B1" s="143"/>
      <c r="G1"/>
    </row>
    <row r="2" spans="1:7">
      <c r="A2" s="143" t="s">
        <v>0</v>
      </c>
      <c r="B2" s="143"/>
      <c r="G2"/>
    </row>
    <row r="3" spans="1:7">
      <c r="A3" s="143" t="s">
        <v>46</v>
      </c>
      <c r="B3" s="143"/>
      <c r="G3"/>
    </row>
    <row r="4" spans="1:7" ht="12" customHeight="1">
      <c r="A4" s="90" t="s">
        <v>187</v>
      </c>
      <c r="B4" s="89"/>
      <c r="F4" s="1"/>
      <c r="G4" s="1"/>
    </row>
    <row r="5" spans="1:7">
      <c r="A5" s="143" t="s">
        <v>26</v>
      </c>
      <c r="B5" s="143"/>
      <c r="E5" s="2"/>
      <c r="F5" s="2"/>
      <c r="G5" s="2"/>
    </row>
    <row r="6" spans="1:7">
      <c r="A6" s="1"/>
      <c r="E6" s="3"/>
      <c r="F6" s="2"/>
      <c r="G6" s="3"/>
    </row>
    <row r="7" spans="1:7">
      <c r="A7" s="17" t="s">
        <v>27</v>
      </c>
      <c r="E7" s="2"/>
      <c r="F7" s="2"/>
      <c r="G7" s="2"/>
    </row>
    <row r="8" spans="1:7">
      <c r="A8" s="4"/>
      <c r="E8" s="2"/>
      <c r="F8" s="2"/>
      <c r="G8" s="5"/>
    </row>
    <row r="9" spans="1:7">
      <c r="A9" s="1" t="s">
        <v>28</v>
      </c>
      <c r="B9" s="16" t="s">
        <v>42</v>
      </c>
      <c r="E9" s="5"/>
      <c r="F9" s="6"/>
      <c r="G9" s="5"/>
    </row>
    <row r="10" spans="1:7">
      <c r="A10" s="1"/>
      <c r="E10" s="5"/>
      <c r="F10" s="5"/>
      <c r="G10" s="5"/>
    </row>
    <row r="11" spans="1:7">
      <c r="A11" s="1"/>
      <c r="E11" s="5"/>
      <c r="F11" s="5"/>
      <c r="G11" s="5"/>
    </row>
    <row r="12" spans="1:7" ht="12.95" customHeight="1">
      <c r="A12" s="14" t="s">
        <v>29</v>
      </c>
      <c r="B12" s="7"/>
      <c r="E12" s="5"/>
      <c r="F12" s="5"/>
      <c r="G12" s="5"/>
    </row>
    <row r="13" spans="1:7" ht="12.95" customHeight="1">
      <c r="A13" s="1"/>
      <c r="E13" s="5"/>
      <c r="F13" s="5"/>
      <c r="G13" s="5"/>
    </row>
    <row r="14" spans="1:7" ht="12.95" customHeight="1">
      <c r="A14" s="1" t="s">
        <v>12</v>
      </c>
      <c r="B14" t="s">
        <v>30</v>
      </c>
      <c r="E14" s="5"/>
      <c r="F14" s="5"/>
      <c r="G14" s="5"/>
    </row>
    <row r="15" spans="1:7" ht="12.95" customHeight="1">
      <c r="A15"/>
      <c r="B15" s="7"/>
      <c r="E15" s="5"/>
      <c r="F15" s="5"/>
      <c r="G15" s="5"/>
    </row>
    <row r="16" spans="1:7" ht="12.95" customHeight="1">
      <c r="A16" s="1"/>
      <c r="E16" s="5"/>
      <c r="F16" s="5"/>
      <c r="G16" s="5"/>
    </row>
    <row r="17" spans="1:7" ht="12.95" customHeight="1">
      <c r="A17" s="15" t="s">
        <v>31</v>
      </c>
      <c r="E17" s="5"/>
      <c r="F17" s="5"/>
      <c r="G17" s="5"/>
    </row>
    <row r="18" spans="1:7" ht="12.95" customHeight="1">
      <c r="A18"/>
      <c r="B18" s="7"/>
      <c r="E18" s="5"/>
      <c r="F18" s="5"/>
      <c r="G18" s="5"/>
    </row>
    <row r="19" spans="1:7">
      <c r="A19" s="1" t="s">
        <v>13</v>
      </c>
      <c r="B19" t="s">
        <v>47</v>
      </c>
      <c r="E19" s="5"/>
      <c r="F19" s="5"/>
      <c r="G19" s="5"/>
    </row>
    <row r="20" spans="1:7">
      <c r="A20" s="1" t="s">
        <v>14</v>
      </c>
      <c r="B20" t="s">
        <v>88</v>
      </c>
      <c r="E20" s="5"/>
      <c r="F20" s="5"/>
      <c r="G20" s="5"/>
    </row>
    <row r="21" spans="1:7">
      <c r="A21" s="1" t="s">
        <v>15</v>
      </c>
      <c r="B21" t="s">
        <v>87</v>
      </c>
      <c r="E21" s="5"/>
      <c r="F21" s="5"/>
      <c r="G21" s="5"/>
    </row>
    <row r="22" spans="1:7">
      <c r="A22" s="1" t="s">
        <v>16</v>
      </c>
      <c r="B22" t="s">
        <v>85</v>
      </c>
      <c r="E22" s="5"/>
      <c r="F22" s="5"/>
      <c r="G22" s="5"/>
    </row>
    <row r="23" spans="1:7">
      <c r="A23" s="1"/>
      <c r="E23" s="5"/>
      <c r="F23" s="5"/>
      <c r="G23" s="5"/>
    </row>
    <row r="24" spans="1:7">
      <c r="A24" s="1"/>
      <c r="E24" s="5"/>
      <c r="F24" s="5"/>
      <c r="G24" s="5"/>
    </row>
    <row r="25" spans="1:7" ht="12" customHeight="1">
      <c r="A25" s="15" t="s">
        <v>32</v>
      </c>
      <c r="B25" s="8"/>
      <c r="E25" s="5"/>
      <c r="F25" s="5"/>
      <c r="G25" s="5"/>
    </row>
    <row r="26" spans="1:7">
      <c r="A26" s="1"/>
      <c r="E26" s="5"/>
      <c r="F26" s="6"/>
      <c r="G26" s="5"/>
    </row>
    <row r="27" spans="1:7">
      <c r="A27" s="1" t="s">
        <v>17</v>
      </c>
      <c r="B27" t="s">
        <v>52</v>
      </c>
      <c r="E27" s="5"/>
      <c r="F27" s="6"/>
      <c r="G27" s="5"/>
    </row>
    <row r="28" spans="1:7">
      <c r="A28" s="1" t="s">
        <v>18</v>
      </c>
      <c r="B28" t="s">
        <v>89</v>
      </c>
      <c r="E28" s="13"/>
      <c r="F28" s="5"/>
      <c r="G28" s="5"/>
    </row>
    <row r="29" spans="1:7">
      <c r="A29" s="1" t="s">
        <v>19</v>
      </c>
      <c r="B29" t="s">
        <v>72</v>
      </c>
      <c r="E29" s="13"/>
      <c r="F29" s="5"/>
      <c r="G29" s="5"/>
    </row>
    <row r="30" spans="1:7">
      <c r="A30" s="1" t="s">
        <v>20</v>
      </c>
      <c r="B30" t="s">
        <v>77</v>
      </c>
      <c r="E30" s="13"/>
      <c r="F30" s="5"/>
      <c r="G30" s="5"/>
    </row>
    <row r="31" spans="1:7">
      <c r="A31" s="1" t="s">
        <v>21</v>
      </c>
      <c r="B31" t="s">
        <v>74</v>
      </c>
      <c r="E31" s="13"/>
      <c r="F31" s="5"/>
      <c r="G31" s="5"/>
    </row>
    <row r="32" spans="1:7">
      <c r="A32" s="1" t="s">
        <v>22</v>
      </c>
      <c r="B32" t="s">
        <v>78</v>
      </c>
      <c r="E32" s="13"/>
      <c r="F32" s="5"/>
      <c r="G32" s="5"/>
    </row>
    <row r="33" spans="1:7">
      <c r="A33" s="1" t="s">
        <v>23</v>
      </c>
      <c r="B33" t="s">
        <v>135</v>
      </c>
      <c r="E33" s="13"/>
      <c r="F33" s="5"/>
      <c r="G33" s="5"/>
    </row>
    <row r="34" spans="1:7">
      <c r="A34" s="1"/>
      <c r="E34" s="13"/>
      <c r="F34" s="5"/>
      <c r="G34" s="5"/>
    </row>
    <row r="35" spans="1:7" ht="12" customHeight="1">
      <c r="A35" s="15" t="s">
        <v>76</v>
      </c>
      <c r="B35" s="8"/>
      <c r="E35" s="5"/>
      <c r="F35" s="5"/>
      <c r="G35" s="5"/>
    </row>
    <row r="36" spans="1:7">
      <c r="A36" s="1"/>
      <c r="E36" s="5"/>
      <c r="F36" s="6"/>
      <c r="G36" s="5"/>
    </row>
    <row r="37" spans="1:7">
      <c r="A37" s="1" t="s">
        <v>41</v>
      </c>
      <c r="B37" t="s">
        <v>79</v>
      </c>
      <c r="E37" s="5"/>
      <c r="F37" s="6"/>
      <c r="G37" s="5"/>
    </row>
    <row r="38" spans="1:7">
      <c r="A38" s="1" t="s">
        <v>133</v>
      </c>
      <c r="B38" t="s">
        <v>81</v>
      </c>
      <c r="E38" s="5"/>
      <c r="F38" s="6"/>
      <c r="G38" s="5"/>
    </row>
    <row r="39" spans="1:7">
      <c r="A39" s="1"/>
      <c r="E39" s="13"/>
      <c r="F39" s="5"/>
      <c r="G39" s="5"/>
    </row>
    <row r="40" spans="1:7">
      <c r="A40" s="15" t="s">
        <v>33</v>
      </c>
      <c r="E40" s="13"/>
      <c r="F40" s="5"/>
      <c r="G40" s="5"/>
    </row>
    <row r="41" spans="1:7">
      <c r="A41" s="1"/>
      <c r="E41" s="13"/>
      <c r="F41" s="5"/>
      <c r="G41" s="5"/>
    </row>
    <row r="42" spans="1:7">
      <c r="A42" s="1" t="s">
        <v>34</v>
      </c>
      <c r="B42" s="18" t="s">
        <v>99</v>
      </c>
      <c r="E42" s="13"/>
      <c r="F42" s="5"/>
      <c r="G42" s="5"/>
    </row>
    <row r="43" spans="1:7">
      <c r="A43" s="1" t="s">
        <v>24</v>
      </c>
      <c r="B43" t="s">
        <v>98</v>
      </c>
      <c r="E43" s="13"/>
      <c r="F43" s="5"/>
      <c r="G43" s="5"/>
    </row>
    <row r="44" spans="1:7">
      <c r="A44" s="1" t="s">
        <v>39</v>
      </c>
      <c r="B44" t="s">
        <v>102</v>
      </c>
      <c r="E44" s="13"/>
      <c r="F44" s="5"/>
      <c r="G44" s="5"/>
    </row>
    <row r="45" spans="1:7">
      <c r="A45" s="1" t="s">
        <v>40</v>
      </c>
      <c r="B45" s="18" t="s">
        <v>104</v>
      </c>
      <c r="E45" s="13"/>
      <c r="F45" s="5"/>
      <c r="G45" s="5"/>
    </row>
    <row r="46" spans="1:7">
      <c r="A46" s="1" t="s">
        <v>43</v>
      </c>
      <c r="B46" s="18" t="s">
        <v>103</v>
      </c>
      <c r="E46" s="13"/>
      <c r="F46" s="5"/>
      <c r="G46" s="5"/>
    </row>
    <row r="47" spans="1:7">
      <c r="A47" s="1" t="s">
        <v>44</v>
      </c>
      <c r="B47" s="18" t="s">
        <v>101</v>
      </c>
      <c r="E47" s="13"/>
      <c r="F47" s="5"/>
      <c r="G47" s="5"/>
    </row>
    <row r="48" spans="1:7">
      <c r="A48" s="1" t="s">
        <v>45</v>
      </c>
      <c r="B48" s="18" t="s">
        <v>107</v>
      </c>
      <c r="E48" s="13"/>
      <c r="F48" s="5"/>
      <c r="G48" s="5"/>
    </row>
    <row r="49" spans="1:7">
      <c r="A49" s="1" t="s">
        <v>50</v>
      </c>
      <c r="B49" s="18" t="s">
        <v>106</v>
      </c>
      <c r="E49" s="13"/>
      <c r="F49" s="5"/>
      <c r="G49" s="5"/>
    </row>
    <row r="50" spans="1:7">
      <c r="A50" s="1" t="s">
        <v>53</v>
      </c>
      <c r="B50" s="18" t="s">
        <v>105</v>
      </c>
      <c r="E50" s="13"/>
      <c r="F50" s="5"/>
      <c r="G50" s="5"/>
    </row>
    <row r="51" spans="1:7">
      <c r="A51" s="1" t="s">
        <v>54</v>
      </c>
      <c r="B51" s="18" t="s">
        <v>108</v>
      </c>
      <c r="E51" s="13"/>
      <c r="F51" s="5"/>
      <c r="G51" s="5"/>
    </row>
    <row r="52" spans="1:7">
      <c r="A52" s="1" t="s">
        <v>70</v>
      </c>
      <c r="B52" s="18" t="s">
        <v>111</v>
      </c>
      <c r="E52" s="13"/>
      <c r="F52" s="5"/>
      <c r="G52" s="5"/>
    </row>
    <row r="53" spans="1:7">
      <c r="A53" s="1" t="s">
        <v>71</v>
      </c>
      <c r="B53" s="18" t="s">
        <v>110</v>
      </c>
      <c r="E53" s="13"/>
      <c r="F53" s="5"/>
      <c r="G53" s="5"/>
    </row>
    <row r="54" spans="1:7">
      <c r="A54" s="1" t="s">
        <v>82</v>
      </c>
      <c r="B54" s="18" t="s">
        <v>109</v>
      </c>
      <c r="E54" s="13"/>
      <c r="F54" s="5"/>
      <c r="G54" s="5"/>
    </row>
    <row r="55" spans="1:7">
      <c r="A55" s="1" t="s">
        <v>83</v>
      </c>
      <c r="B55" t="s">
        <v>48</v>
      </c>
      <c r="E55" s="13"/>
      <c r="F55" s="5"/>
      <c r="G55" s="5"/>
    </row>
    <row r="56" spans="1:7">
      <c r="A56" s="1" t="s">
        <v>84</v>
      </c>
      <c r="B56" t="s">
        <v>51</v>
      </c>
      <c r="E56" s="13"/>
      <c r="F56" s="5"/>
      <c r="G56" s="5"/>
    </row>
    <row r="57" spans="1:7">
      <c r="A57" s="1" t="s">
        <v>112</v>
      </c>
      <c r="B57" t="s">
        <v>36</v>
      </c>
      <c r="E57" s="13"/>
      <c r="F57" s="5"/>
      <c r="G57" s="5"/>
    </row>
    <row r="58" spans="1:7">
      <c r="A58" s="1" t="s">
        <v>113</v>
      </c>
      <c r="B58" t="s">
        <v>35</v>
      </c>
      <c r="E58" s="13"/>
      <c r="F58" s="5"/>
      <c r="G58" s="5"/>
    </row>
    <row r="59" spans="1:7">
      <c r="A59" s="1" t="s">
        <v>114</v>
      </c>
      <c r="B59" s="16" t="s">
        <v>7</v>
      </c>
      <c r="E59" s="13"/>
      <c r="F59" s="5"/>
      <c r="G59" s="5"/>
    </row>
    <row r="60" spans="1:7">
      <c r="A60" s="1" t="s">
        <v>115</v>
      </c>
      <c r="B60" t="s">
        <v>100</v>
      </c>
      <c r="E60" s="13"/>
      <c r="F60" s="5"/>
      <c r="G60" s="5"/>
    </row>
    <row r="61" spans="1:7">
      <c r="A61" s="1" t="s">
        <v>116</v>
      </c>
      <c r="B61" t="s">
        <v>90</v>
      </c>
      <c r="E61" s="13"/>
      <c r="F61" s="5"/>
      <c r="G61" s="5"/>
    </row>
    <row r="62" spans="1:7">
      <c r="A62" s="1" t="s">
        <v>117</v>
      </c>
      <c r="B62" t="s">
        <v>56</v>
      </c>
      <c r="E62" s="13"/>
      <c r="F62" s="5"/>
      <c r="G62" s="5"/>
    </row>
    <row r="63" spans="1:7">
      <c r="A63" s="1" t="s">
        <v>118</v>
      </c>
      <c r="B63" t="s">
        <v>55</v>
      </c>
      <c r="E63" s="13"/>
      <c r="F63" s="5"/>
      <c r="G63" s="5"/>
    </row>
    <row r="64" spans="1:7">
      <c r="A64" s="1" t="s">
        <v>119</v>
      </c>
      <c r="B64" t="s">
        <v>58</v>
      </c>
      <c r="E64" s="13"/>
      <c r="F64" s="5"/>
      <c r="G64" s="5"/>
    </row>
    <row r="65" spans="1:7">
      <c r="A65" s="1" t="s">
        <v>120</v>
      </c>
      <c r="B65" t="s">
        <v>57</v>
      </c>
      <c r="E65" s="13"/>
      <c r="F65" s="5"/>
      <c r="G65" s="5"/>
    </row>
    <row r="66" spans="1:7">
      <c r="A66" s="1" t="s">
        <v>121</v>
      </c>
      <c r="B66" t="s">
        <v>131</v>
      </c>
      <c r="E66" s="13"/>
      <c r="F66" s="5"/>
      <c r="G66" s="5"/>
    </row>
    <row r="67" spans="1:7">
      <c r="A67" s="1" t="s">
        <v>122</v>
      </c>
      <c r="B67" t="s">
        <v>59</v>
      </c>
      <c r="E67" s="13"/>
      <c r="F67" s="5"/>
      <c r="G67" s="5"/>
    </row>
    <row r="68" spans="1:7">
      <c r="A68" s="1" t="s">
        <v>130</v>
      </c>
      <c r="B68" t="s">
        <v>128</v>
      </c>
      <c r="E68" s="13"/>
      <c r="F68" s="5"/>
      <c r="G68" s="5"/>
    </row>
    <row r="69" spans="1:7">
      <c r="A69" s="1" t="s">
        <v>134</v>
      </c>
      <c r="B69" t="s">
        <v>129</v>
      </c>
      <c r="E69" s="13"/>
      <c r="F69" s="5"/>
      <c r="G69" s="5"/>
    </row>
    <row r="70" spans="1:7">
      <c r="A70" s="1"/>
      <c r="E70" s="13"/>
      <c r="F70" s="5"/>
      <c r="G70" s="5"/>
    </row>
    <row r="71" spans="1:7">
      <c r="A71" s="1"/>
      <c r="E71" s="13"/>
      <c r="F71" s="5"/>
      <c r="G71" s="5"/>
    </row>
    <row r="72" spans="1:7">
      <c r="E72" s="13"/>
      <c r="F72" s="5"/>
      <c r="G72" s="5"/>
    </row>
    <row r="73" spans="1:7">
      <c r="E73" s="13"/>
      <c r="F73" s="5"/>
      <c r="G73" s="5"/>
    </row>
    <row r="74" spans="1:7">
      <c r="E74" s="13"/>
      <c r="F74" s="5"/>
      <c r="G74" s="5"/>
    </row>
    <row r="75" spans="1:7">
      <c r="E75" s="13"/>
      <c r="F75" s="5"/>
      <c r="G75" s="5"/>
    </row>
    <row r="76" spans="1:7">
      <c r="E76" s="13"/>
      <c r="F76" s="5"/>
      <c r="G76" s="5"/>
    </row>
    <row r="77" spans="1:7">
      <c r="E77" s="13"/>
      <c r="F77" s="5"/>
      <c r="G77" s="5"/>
    </row>
    <row r="78" spans="1:7">
      <c r="E78" s="13"/>
      <c r="F78" s="5"/>
      <c r="G78" s="5"/>
    </row>
    <row r="79" spans="1:7">
      <c r="E79" s="13"/>
      <c r="F79" s="5"/>
      <c r="G79" s="5"/>
    </row>
    <row r="80" spans="1:7">
      <c r="E80" s="13"/>
      <c r="F80" s="5"/>
      <c r="G80" s="5"/>
    </row>
    <row r="81" spans="1:7">
      <c r="E81" s="13"/>
      <c r="F81" s="5"/>
      <c r="G81" s="5"/>
    </row>
    <row r="82" spans="1:7">
      <c r="E82" s="13"/>
      <c r="F82" s="5"/>
      <c r="G82" s="5"/>
    </row>
    <row r="83" spans="1:7">
      <c r="E83" s="13"/>
      <c r="F83" s="5"/>
      <c r="G83" s="5"/>
    </row>
    <row r="84" spans="1:7">
      <c r="E84" s="13"/>
      <c r="F84" s="5"/>
      <c r="G84" s="5"/>
    </row>
    <row r="85" spans="1:7">
      <c r="E85" s="13"/>
      <c r="F85" s="5"/>
      <c r="G85" s="5"/>
    </row>
    <row r="86" spans="1:7">
      <c r="E86" s="13"/>
      <c r="F86" s="5"/>
      <c r="G86" s="5"/>
    </row>
    <row r="87" spans="1:7">
      <c r="E87" s="13"/>
      <c r="F87" s="5"/>
      <c r="G87" s="5"/>
    </row>
    <row r="88" spans="1:7">
      <c r="E88" s="13"/>
      <c r="F88" s="12"/>
      <c r="G88" s="5"/>
    </row>
    <row r="89" spans="1:7">
      <c r="E89" s="13"/>
      <c r="F89" s="5"/>
      <c r="G89" s="5"/>
    </row>
    <row r="90" spans="1:7">
      <c r="E90" s="13"/>
      <c r="F90" s="12"/>
      <c r="G90" s="5"/>
    </row>
    <row r="91" spans="1:7">
      <c r="E91" s="13"/>
      <c r="F91" s="5"/>
      <c r="G91" s="5"/>
    </row>
    <row r="92" spans="1:7">
      <c r="E92" s="13"/>
      <c r="F92" s="5"/>
      <c r="G92" s="5"/>
    </row>
    <row r="93" spans="1:7">
      <c r="E93" s="5"/>
      <c r="F93" s="5"/>
      <c r="G93" s="5"/>
    </row>
    <row r="94" spans="1:7">
      <c r="E94" s="5"/>
      <c r="F94" s="5"/>
      <c r="G94" s="5"/>
    </row>
    <row r="95" spans="1:7">
      <c r="E95" s="5"/>
      <c r="F95" s="5"/>
      <c r="G95" s="5"/>
    </row>
    <row r="96" spans="1:7">
      <c r="A96" s="1"/>
      <c r="E96" s="5"/>
      <c r="F96" s="5"/>
      <c r="G96" s="5"/>
    </row>
    <row r="97" spans="1:7" ht="12.95" customHeight="1">
      <c r="A97" s="1"/>
      <c r="E97" s="5"/>
      <c r="F97" s="5"/>
      <c r="G97" s="5"/>
    </row>
    <row r="98" spans="1:7">
      <c r="A98" s="1"/>
      <c r="E98" s="5"/>
      <c r="F98" s="5"/>
      <c r="G98" s="5"/>
    </row>
    <row r="99" spans="1:7">
      <c r="A99" s="1"/>
      <c r="E99" s="5"/>
      <c r="F99" s="6"/>
      <c r="G99" s="5"/>
    </row>
    <row r="100" spans="1:7">
      <c r="G100"/>
    </row>
    <row r="101" spans="1:7">
      <c r="G101"/>
    </row>
    <row r="102" spans="1:7">
      <c r="C102" s="10" t="s">
        <v>5</v>
      </c>
      <c r="D102" s="10"/>
      <c r="G102"/>
    </row>
    <row r="103" spans="1:7">
      <c r="C103" t="s">
        <v>5</v>
      </c>
      <c r="G103"/>
    </row>
    <row r="104" spans="1:7">
      <c r="C104" t="s">
        <v>5</v>
      </c>
      <c r="G104"/>
    </row>
    <row r="105" spans="1:7">
      <c r="G105"/>
    </row>
  </sheetData>
  <mergeCells count="4">
    <mergeCell ref="A1:B1"/>
    <mergeCell ref="A2:B2"/>
    <mergeCell ref="A3:B3"/>
    <mergeCell ref="A5:B5"/>
  </mergeCells>
  <phoneticPr fontId="0" type="noConversion"/>
  <pageMargins left="1.1599999999999999" right="0" top="1" bottom="0" header="0.5" footer="0.5"/>
  <pageSetup scale="57" orientation="portrait" horizontalDpi="1200" verticalDpi="1200" r:id="rId1"/>
  <headerFooter alignWithMargins="0">
    <oddFooter>&amp;LPro Forma 2/11: &amp;F  &amp;A&amp;R&amp;D  SC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DB357-2458-47EF-A023-81076E9019F7}">
  <sheetPr>
    <tabColor theme="0" tint="-0.34998626667073579"/>
  </sheetPr>
  <dimension ref="A1:N42"/>
  <sheetViews>
    <sheetView topLeftCell="C7" workbookViewId="0">
      <selection activeCell="I31" sqref="I31"/>
    </sheetView>
  </sheetViews>
  <sheetFormatPr defaultRowHeight="15.75"/>
  <cols>
    <col min="1" max="1" width="34.7109375" style="91" customWidth="1"/>
    <col min="2" max="3" width="9.140625" style="91"/>
    <col min="4" max="4" width="13.7109375" style="94" customWidth="1"/>
    <col min="5" max="5" width="9.140625" style="91"/>
    <col min="6" max="6" width="34.7109375" style="91" customWidth="1"/>
    <col min="7" max="8" width="9.140625" style="91"/>
    <col min="9" max="9" width="13.7109375" style="94" customWidth="1"/>
    <col min="10" max="16384" width="9.140625" style="91"/>
  </cols>
  <sheetData>
    <row r="1" spans="1:14" ht="20.100000000000001" customHeight="1">
      <c r="A1" s="103" t="s">
        <v>93</v>
      </c>
      <c r="B1" s="104"/>
      <c r="C1" s="104"/>
      <c r="D1" s="105"/>
      <c r="F1" s="103" t="s">
        <v>124</v>
      </c>
      <c r="G1" s="104"/>
      <c r="H1" s="104"/>
      <c r="I1" s="105"/>
    </row>
    <row r="2" spans="1:14" ht="20.100000000000001" customHeight="1">
      <c r="A2" s="109"/>
      <c r="B2" s="110"/>
      <c r="C2" s="110"/>
      <c r="D2" s="111" t="s">
        <v>190</v>
      </c>
      <c r="F2" s="109"/>
      <c r="G2" s="110"/>
      <c r="H2" s="110"/>
      <c r="I2" s="111" t="s">
        <v>190</v>
      </c>
    </row>
    <row r="3" spans="1:14" ht="20.100000000000001" customHeight="1">
      <c r="A3" s="96" t="s">
        <v>188</v>
      </c>
      <c r="B3" s="97"/>
      <c r="C3" s="97"/>
      <c r="D3" s="98">
        <v>-62000</v>
      </c>
      <c r="E3" s="93"/>
      <c r="F3" s="96" t="s">
        <v>173</v>
      </c>
      <c r="G3" s="97"/>
      <c r="H3" s="97"/>
      <c r="I3" s="98">
        <v>-827000</v>
      </c>
      <c r="N3" s="92"/>
    </row>
    <row r="4" spans="1:14" ht="20.100000000000001" customHeight="1">
      <c r="A4" s="96" t="s">
        <v>87</v>
      </c>
      <c r="B4" s="97"/>
      <c r="C4" s="97"/>
      <c r="D4" s="99">
        <v>-157000</v>
      </c>
      <c r="E4" s="93"/>
      <c r="F4" s="96" t="s">
        <v>145</v>
      </c>
      <c r="G4" s="97"/>
      <c r="H4" s="97"/>
      <c r="I4" s="99">
        <v>0</v>
      </c>
      <c r="N4" s="92"/>
    </row>
    <row r="5" spans="1:14" ht="20.100000000000001" customHeight="1">
      <c r="A5" s="96" t="s">
        <v>170</v>
      </c>
      <c r="B5" s="97"/>
      <c r="C5" s="97"/>
      <c r="D5" s="99">
        <v>-25000</v>
      </c>
      <c r="E5" s="93"/>
      <c r="F5" s="96" t="s">
        <v>146</v>
      </c>
      <c r="G5" s="97"/>
      <c r="H5" s="97"/>
      <c r="I5" s="99">
        <v>0</v>
      </c>
      <c r="N5" s="92"/>
    </row>
    <row r="6" spans="1:14" ht="20.100000000000001" customHeight="1">
      <c r="A6" s="96" t="s">
        <v>160</v>
      </c>
      <c r="B6" s="97"/>
      <c r="C6" s="97"/>
      <c r="D6" s="99">
        <v>87000</v>
      </c>
      <c r="E6" s="93"/>
      <c r="F6" s="96" t="s">
        <v>147</v>
      </c>
      <c r="G6" s="97"/>
      <c r="H6" s="97"/>
      <c r="I6" s="99">
        <v>0</v>
      </c>
      <c r="N6" s="92"/>
    </row>
    <row r="7" spans="1:14" ht="20.100000000000001" customHeight="1">
      <c r="A7" s="96" t="s">
        <v>52</v>
      </c>
      <c r="B7" s="97"/>
      <c r="C7" s="97"/>
      <c r="D7" s="99">
        <v>21000</v>
      </c>
      <c r="E7" s="93"/>
      <c r="F7" s="96" t="s">
        <v>148</v>
      </c>
      <c r="G7" s="97"/>
      <c r="H7" s="97"/>
      <c r="I7" s="99">
        <v>0</v>
      </c>
    </row>
    <row r="8" spans="1:14" ht="20.100000000000001" customHeight="1">
      <c r="A8" s="96" t="s">
        <v>73</v>
      </c>
      <c r="B8" s="97"/>
      <c r="C8" s="97"/>
      <c r="D8" s="99">
        <v>-928000</v>
      </c>
      <c r="E8" s="93"/>
      <c r="F8" s="96" t="s">
        <v>157</v>
      </c>
      <c r="G8" s="97"/>
      <c r="H8" s="97"/>
      <c r="I8" s="99">
        <v>-11000</v>
      </c>
    </row>
    <row r="9" spans="1:14" ht="20.100000000000001" customHeight="1">
      <c r="A9" s="96" t="s">
        <v>135</v>
      </c>
      <c r="B9" s="97"/>
      <c r="C9" s="97"/>
      <c r="D9" s="99">
        <v>383000</v>
      </c>
      <c r="E9" s="93"/>
      <c r="F9" s="96" t="s">
        <v>149</v>
      </c>
      <c r="G9" s="97"/>
      <c r="H9" s="97"/>
      <c r="I9" s="99">
        <v>0</v>
      </c>
    </row>
    <row r="10" spans="1:14" ht="20.100000000000001" customHeight="1">
      <c r="A10" s="106" t="s">
        <v>189</v>
      </c>
      <c r="B10" s="107"/>
      <c r="C10" s="107"/>
      <c r="D10" s="108">
        <f>SUM(D3:D9)</f>
        <v>-681000</v>
      </c>
      <c r="F10" s="96" t="s">
        <v>150</v>
      </c>
      <c r="G10" s="97"/>
      <c r="H10" s="97"/>
      <c r="I10" s="99">
        <v>0</v>
      </c>
    </row>
    <row r="11" spans="1:14" ht="20.100000000000001" customHeight="1">
      <c r="A11" s="100" t="s">
        <v>191</v>
      </c>
      <c r="B11" s="101"/>
      <c r="C11" s="101"/>
      <c r="D11" s="102"/>
      <c r="F11" s="96" t="s">
        <v>151</v>
      </c>
      <c r="G11" s="97"/>
      <c r="H11" s="97"/>
      <c r="I11" s="99">
        <v>0</v>
      </c>
    </row>
    <row r="12" spans="1:14" ht="20.100000000000001" customHeight="1">
      <c r="F12" s="96" t="s">
        <v>152</v>
      </c>
      <c r="G12" s="97"/>
      <c r="H12" s="97"/>
      <c r="I12" s="99">
        <v>0</v>
      </c>
    </row>
    <row r="13" spans="1:14" ht="20.100000000000001" customHeight="1">
      <c r="F13" s="96" t="s">
        <v>179</v>
      </c>
      <c r="G13" s="97"/>
      <c r="H13" s="97"/>
      <c r="I13" s="99">
        <v>0</v>
      </c>
    </row>
    <row r="14" spans="1:14" ht="20.100000000000001" customHeight="1">
      <c r="F14" s="96" t="s">
        <v>153</v>
      </c>
      <c r="G14" s="97"/>
      <c r="H14" s="97"/>
      <c r="I14" s="99">
        <v>0</v>
      </c>
    </row>
    <row r="15" spans="1:14" ht="20.100000000000001" customHeight="1">
      <c r="F15" s="96" t="s">
        <v>154</v>
      </c>
      <c r="G15" s="97"/>
      <c r="H15" s="97"/>
      <c r="I15" s="99">
        <v>0</v>
      </c>
    </row>
    <row r="16" spans="1:14" ht="20.100000000000001" customHeight="1">
      <c r="F16" s="96" t="s">
        <v>155</v>
      </c>
      <c r="G16" s="97"/>
      <c r="H16" s="97"/>
      <c r="I16" s="99">
        <v>0</v>
      </c>
      <c r="N16" s="92"/>
    </row>
    <row r="17" spans="6:14" ht="9.9499999999999993" customHeight="1">
      <c r="F17" s="96"/>
      <c r="G17" s="97"/>
      <c r="H17" s="97"/>
      <c r="I17" s="99"/>
      <c r="N17" s="92"/>
    </row>
    <row r="18" spans="6:14" ht="20.100000000000001" customHeight="1">
      <c r="F18" s="96" t="s">
        <v>145</v>
      </c>
      <c r="G18" s="97"/>
      <c r="H18" s="97"/>
      <c r="I18" s="99">
        <v>0</v>
      </c>
      <c r="N18" s="92"/>
    </row>
    <row r="19" spans="6:14" ht="9.9499999999999993" customHeight="1">
      <c r="F19" s="96"/>
      <c r="G19" s="97"/>
      <c r="H19" s="97"/>
      <c r="I19" s="99"/>
      <c r="N19" s="92"/>
    </row>
    <row r="20" spans="6:14" ht="20.100000000000001" customHeight="1">
      <c r="F20" s="96" t="s">
        <v>100</v>
      </c>
      <c r="G20" s="97"/>
      <c r="H20" s="97"/>
      <c r="I20" s="99">
        <v>0</v>
      </c>
    </row>
    <row r="21" spans="6:14" ht="20.100000000000001" customHeight="1">
      <c r="F21" s="96" t="s">
        <v>177</v>
      </c>
      <c r="G21" s="97"/>
      <c r="H21" s="97"/>
      <c r="I21" s="99">
        <v>0</v>
      </c>
    </row>
    <row r="22" spans="6:14" ht="20.100000000000001" customHeight="1">
      <c r="F22" s="96" t="s">
        <v>180</v>
      </c>
      <c r="G22" s="97"/>
      <c r="H22" s="97"/>
      <c r="I22" s="99">
        <v>0</v>
      </c>
    </row>
    <row r="23" spans="6:14" ht="20.100000000000001" customHeight="1">
      <c r="F23" s="96" t="s">
        <v>176</v>
      </c>
      <c r="G23" s="97"/>
      <c r="H23" s="97"/>
      <c r="I23" s="99">
        <v>70000</v>
      </c>
      <c r="N23" s="92"/>
    </row>
    <row r="24" spans="6:14" ht="9.9499999999999993" customHeight="1">
      <c r="F24" s="96"/>
      <c r="G24" s="97"/>
      <c r="H24" s="97"/>
      <c r="I24" s="99"/>
      <c r="N24" s="92"/>
    </row>
    <row r="25" spans="6:14" ht="20.100000000000001" customHeight="1">
      <c r="F25" s="96" t="s">
        <v>156</v>
      </c>
      <c r="G25" s="97"/>
      <c r="H25" s="97"/>
      <c r="I25" s="99">
        <v>-1370000</v>
      </c>
      <c r="N25" s="92"/>
    </row>
    <row r="26" spans="6:14" ht="20.100000000000001" customHeight="1">
      <c r="F26" s="96" t="s">
        <v>146</v>
      </c>
      <c r="G26" s="97"/>
      <c r="H26" s="97"/>
      <c r="I26" s="99">
        <v>0</v>
      </c>
      <c r="N26" s="92"/>
    </row>
    <row r="27" spans="6:14" ht="20.100000000000001" customHeight="1">
      <c r="F27" s="96" t="s">
        <v>147</v>
      </c>
      <c r="G27" s="97"/>
      <c r="H27" s="97"/>
      <c r="I27" s="99">
        <v>0</v>
      </c>
    </row>
    <row r="28" spans="6:14" ht="20.100000000000001" customHeight="1">
      <c r="F28" s="96" t="s">
        <v>157</v>
      </c>
      <c r="G28" s="97"/>
      <c r="H28" s="97"/>
      <c r="I28" s="99">
        <v>0</v>
      </c>
    </row>
    <row r="29" spans="6:14" ht="20.100000000000001" customHeight="1">
      <c r="F29" s="114" t="s">
        <v>159</v>
      </c>
      <c r="G29" s="97"/>
      <c r="H29" s="97"/>
      <c r="I29" s="99">
        <v>0</v>
      </c>
    </row>
    <row r="30" spans="6:14" ht="9.9499999999999993" customHeight="1">
      <c r="F30" s="95"/>
      <c r="G30" s="97"/>
      <c r="H30" s="97"/>
      <c r="I30" s="99"/>
      <c r="N30" s="92"/>
    </row>
    <row r="31" spans="6:14" ht="20.100000000000001" customHeight="1">
      <c r="F31" s="96" t="s">
        <v>146</v>
      </c>
      <c r="G31" s="97"/>
      <c r="H31" s="97"/>
      <c r="I31" s="99">
        <v>1000</v>
      </c>
    </row>
    <row r="32" spans="6:14" ht="20.100000000000001" customHeight="1">
      <c r="F32" s="96" t="s">
        <v>147</v>
      </c>
      <c r="G32" s="97"/>
      <c r="H32" s="97"/>
      <c r="I32" s="99">
        <v>12000</v>
      </c>
    </row>
    <row r="33" spans="6:14" ht="20.100000000000001" customHeight="1">
      <c r="F33" s="96" t="s">
        <v>157</v>
      </c>
      <c r="G33" s="97"/>
      <c r="H33" s="97"/>
      <c r="I33" s="99">
        <v>5000</v>
      </c>
    </row>
    <row r="34" spans="6:14" ht="9.9499999999999993" customHeight="1">
      <c r="F34" s="95"/>
      <c r="G34" s="97"/>
      <c r="H34" s="97"/>
      <c r="I34" s="99"/>
      <c r="N34" s="92"/>
    </row>
    <row r="35" spans="6:14" ht="20.100000000000001" customHeight="1">
      <c r="F35" s="115" t="s">
        <v>145</v>
      </c>
      <c r="G35" s="112"/>
      <c r="H35" s="112"/>
      <c r="I35" s="113">
        <v>0</v>
      </c>
      <c r="N35" s="92"/>
    </row>
    <row r="36" spans="6:14" ht="20.100000000000001" customHeight="1">
      <c r="F36" s="106"/>
      <c r="G36" s="107"/>
      <c r="H36" s="107"/>
      <c r="I36" s="108">
        <f>SUM(I3:I35)</f>
        <v>-2120000</v>
      </c>
      <c r="N36" s="92"/>
    </row>
    <row r="37" spans="6:14" ht="20.100000000000001" customHeight="1">
      <c r="F37" s="100" t="s">
        <v>192</v>
      </c>
      <c r="G37" s="101"/>
      <c r="H37" s="101"/>
      <c r="I37" s="102"/>
      <c r="N37" s="92"/>
    </row>
    <row r="38" spans="6:14" ht="20.100000000000001" customHeight="1"/>
    <row r="39" spans="6:14" ht="20.100000000000001" customHeight="1"/>
    <row r="40" spans="6:14" ht="20.100000000000001" customHeight="1"/>
    <row r="41" spans="6:14" ht="20.100000000000001" customHeight="1"/>
    <row r="42" spans="6:14" ht="20.100000000000001" customHeight="1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34998626667073579"/>
  </sheetPr>
  <dimension ref="A1:C22"/>
  <sheetViews>
    <sheetView workbookViewId="0">
      <selection activeCell="B21" sqref="B21"/>
    </sheetView>
  </sheetViews>
  <sheetFormatPr defaultRowHeight="12.75"/>
  <cols>
    <col min="1" max="1" width="36.7109375" bestFit="1" customWidth="1"/>
    <col min="2" max="2" width="17.28515625" customWidth="1"/>
    <col min="3" max="3" width="19.140625" customWidth="1"/>
  </cols>
  <sheetData>
    <row r="1" spans="1:3" ht="18">
      <c r="A1" s="144" t="s">
        <v>92</v>
      </c>
      <c r="B1" s="145"/>
      <c r="C1" s="146"/>
    </row>
    <row r="2" spans="1:3" ht="13.5" thickBot="1">
      <c r="A2" s="147" t="s">
        <v>93</v>
      </c>
      <c r="B2" s="148"/>
      <c r="C2" s="149"/>
    </row>
    <row r="3" spans="1:3">
      <c r="A3" s="20"/>
      <c r="B3" s="21"/>
      <c r="C3" s="22"/>
    </row>
    <row r="4" spans="1:3" s="19" customFormat="1">
      <c r="A4" s="23"/>
      <c r="B4" s="24" t="s">
        <v>94</v>
      </c>
      <c r="C4" s="25"/>
    </row>
    <row r="5" spans="1:3" ht="13.5" thickBot="1">
      <c r="A5" s="26"/>
      <c r="B5" s="27" t="s">
        <v>97</v>
      </c>
      <c r="C5" s="28"/>
    </row>
    <row r="6" spans="1:3">
      <c r="A6" s="20"/>
      <c r="B6" s="21"/>
      <c r="C6" s="22"/>
    </row>
    <row r="7" spans="1:3" ht="18" customHeight="1">
      <c r="A7" s="35" t="s">
        <v>61</v>
      </c>
      <c r="B7" s="29" t="e">
        <f>VLOOKUP(A7,#REF!,6,0)*1000</f>
        <v>#REF!</v>
      </c>
      <c r="C7" s="30">
        <v>0</v>
      </c>
    </row>
    <row r="8" spans="1:3" ht="18.75" customHeight="1">
      <c r="A8" s="36" t="s">
        <v>63</v>
      </c>
      <c r="B8" s="29" t="e">
        <f>VLOOKUP(A8,#REF!,6,0)*1000</f>
        <v>#REF!</v>
      </c>
      <c r="C8" s="30">
        <v>0</v>
      </c>
    </row>
    <row r="9" spans="1:3" ht="20.25" customHeight="1">
      <c r="A9" s="36" t="s">
        <v>86</v>
      </c>
      <c r="B9" s="29" t="e">
        <f>VLOOKUP(A9,#REF!,6,0)*1000</f>
        <v>#REF!</v>
      </c>
      <c r="C9" s="30">
        <v>0</v>
      </c>
    </row>
    <row r="10" spans="1:3" ht="20.25" customHeight="1">
      <c r="A10" s="36" t="s">
        <v>87</v>
      </c>
      <c r="B10" s="29" t="e">
        <f>VLOOKUP(A10,#REF!,6,0)*1000</f>
        <v>#REF!</v>
      </c>
      <c r="C10" s="30">
        <v>0</v>
      </c>
    </row>
    <row r="11" spans="1:3" ht="20.25" customHeight="1">
      <c r="A11" s="36" t="s">
        <v>85</v>
      </c>
      <c r="B11" s="29" t="e">
        <f>VLOOKUP(A11,#REF!,6,0)*1000</f>
        <v>#REF!</v>
      </c>
      <c r="C11" s="30">
        <v>0</v>
      </c>
    </row>
    <row r="12" spans="1:3" ht="20.25" customHeight="1">
      <c r="A12" s="36" t="s">
        <v>52</v>
      </c>
      <c r="B12" s="29" t="e">
        <f>VLOOKUP(A12,#REF!,6,0)*1000</f>
        <v>#REF!</v>
      </c>
      <c r="C12" s="30">
        <v>0</v>
      </c>
    </row>
    <row r="13" spans="1:3" ht="20.25" customHeight="1">
      <c r="A13" s="36" t="s">
        <v>69</v>
      </c>
      <c r="B13" s="29" t="e">
        <f>VLOOKUP(A13,#REF!,6,0)*1000</f>
        <v>#REF!</v>
      </c>
      <c r="C13" s="30">
        <v>0</v>
      </c>
    </row>
    <row r="14" spans="1:3" ht="20.25" customHeight="1">
      <c r="A14" s="36" t="s">
        <v>73</v>
      </c>
      <c r="B14" s="29" t="e">
        <f>VLOOKUP(A14,#REF!,6,0)*1000</f>
        <v>#REF!</v>
      </c>
      <c r="C14" s="30">
        <v>0</v>
      </c>
    </row>
    <row r="15" spans="1:3" ht="20.25" customHeight="1">
      <c r="A15" s="36" t="s">
        <v>74</v>
      </c>
      <c r="B15" s="29" t="e">
        <f>VLOOKUP(A15,#REF!,6,0)*1000</f>
        <v>#REF!</v>
      </c>
      <c r="C15" s="30">
        <v>0</v>
      </c>
    </row>
    <row r="16" spans="1:3" ht="17.25" customHeight="1">
      <c r="A16" s="36" t="s">
        <v>66</v>
      </c>
      <c r="B16" s="29" t="e">
        <f>VLOOKUP(A16,#REF!,6,0)*1000</f>
        <v>#REF!</v>
      </c>
      <c r="C16" s="30">
        <v>0</v>
      </c>
    </row>
    <row r="17" spans="1:3" ht="17.25" customHeight="1">
      <c r="A17" s="36" t="s">
        <v>135</v>
      </c>
      <c r="B17" s="29" t="e">
        <f>VLOOKUP(A17,#REF!,6,0)*1000</f>
        <v>#REF!</v>
      </c>
      <c r="C17" s="30">
        <v>0</v>
      </c>
    </row>
    <row r="18" spans="1:3" ht="17.25" customHeight="1">
      <c r="A18" s="36" t="s">
        <v>75</v>
      </c>
      <c r="B18" s="29" t="e">
        <f>VLOOKUP(A18,#REF!,6,0)*1000</f>
        <v>#REF!</v>
      </c>
      <c r="C18" s="30">
        <v>1</v>
      </c>
    </row>
    <row r="19" spans="1:3" ht="17.25" customHeight="1">
      <c r="A19" s="36" t="s">
        <v>80</v>
      </c>
      <c r="B19" s="29" t="e">
        <f>VLOOKUP(A19,#REF!,6,0)*1000</f>
        <v>#REF!</v>
      </c>
      <c r="C19" s="30">
        <v>2</v>
      </c>
    </row>
    <row r="20" spans="1:3" ht="18.75" customHeight="1" thickBot="1">
      <c r="A20" s="37" t="s">
        <v>96</v>
      </c>
      <c r="B20" s="38" t="e">
        <f>SUM(B7:B19)</f>
        <v>#REF!</v>
      </c>
      <c r="C20" s="39">
        <f>SUM(C7:C16)</f>
        <v>0</v>
      </c>
    </row>
    <row r="21" spans="1:3">
      <c r="A21" s="31" t="s">
        <v>136</v>
      </c>
      <c r="B21" s="21"/>
      <c r="C21" s="22"/>
    </row>
    <row r="22" spans="1:3" ht="13.5" thickBot="1">
      <c r="A22" s="32" t="s">
        <v>123</v>
      </c>
      <c r="B22" s="33"/>
      <c r="C22" s="34"/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</sheetPr>
  <dimension ref="B1:D38"/>
  <sheetViews>
    <sheetView topLeftCell="A13" workbookViewId="0">
      <selection activeCell="C44" sqref="C44"/>
    </sheetView>
  </sheetViews>
  <sheetFormatPr defaultRowHeight="12.75"/>
  <cols>
    <col min="2" max="2" width="68.85546875" bestFit="1" customWidth="1"/>
    <col min="3" max="3" width="13.28515625" customWidth="1"/>
    <col min="4" max="4" width="15.42578125" customWidth="1"/>
  </cols>
  <sheetData>
    <row r="1" spans="2:4" ht="13.5" thickBot="1"/>
    <row r="2" spans="2:4" ht="18">
      <c r="B2" s="144" t="s">
        <v>126</v>
      </c>
      <c r="C2" s="145"/>
      <c r="D2" s="146"/>
    </row>
    <row r="3" spans="2:4" ht="13.5" thickBot="1">
      <c r="B3" s="147" t="s">
        <v>124</v>
      </c>
      <c r="C3" s="148"/>
      <c r="D3" s="149"/>
    </row>
    <row r="4" spans="2:4" ht="13.5" thickBot="1">
      <c r="B4" s="20"/>
      <c r="C4" s="21"/>
      <c r="D4" s="22"/>
    </row>
    <row r="5" spans="2:4" ht="25.5">
      <c r="B5" s="40"/>
      <c r="C5" s="41" t="s">
        <v>94</v>
      </c>
      <c r="D5" s="42"/>
    </row>
    <row r="6" spans="2:4" ht="13.5" thickBot="1">
      <c r="B6" s="26"/>
      <c r="C6" s="27" t="s">
        <v>97</v>
      </c>
      <c r="D6" s="28" t="s">
        <v>95</v>
      </c>
    </row>
    <row r="7" spans="2:4">
      <c r="B7" s="36" t="s">
        <v>99</v>
      </c>
      <c r="C7" s="29" t="e">
        <f>VLOOKUP(B7,#REF!,6,0)*1000</f>
        <v>#REF!</v>
      </c>
      <c r="D7" s="30">
        <v>0</v>
      </c>
    </row>
    <row r="8" spans="2:4">
      <c r="B8" s="35" t="s">
        <v>98</v>
      </c>
      <c r="C8" s="29" t="e">
        <f>VLOOKUP(B8,#REF!,6,0)*1000</f>
        <v>#REF!</v>
      </c>
      <c r="D8" s="30">
        <v>0</v>
      </c>
    </row>
    <row r="9" spans="2:4">
      <c r="B9" s="35" t="s">
        <v>102</v>
      </c>
      <c r="C9" s="29" t="e">
        <f>VLOOKUP(B9,#REF!,6,0)*1000</f>
        <v>#REF!</v>
      </c>
      <c r="D9" s="30">
        <v>0</v>
      </c>
    </row>
    <row r="10" spans="2:4">
      <c r="B10" s="36" t="s">
        <v>104</v>
      </c>
      <c r="C10" s="29" t="e">
        <f>VLOOKUP(B10,#REF!,6,0)*1000</f>
        <v>#REF!</v>
      </c>
      <c r="D10" s="30">
        <v>0</v>
      </c>
    </row>
    <row r="11" spans="2:4">
      <c r="B11" s="36" t="s">
        <v>103</v>
      </c>
      <c r="C11" s="29" t="e">
        <f>VLOOKUP(B11,#REF!,6,0)*1000</f>
        <v>#REF!</v>
      </c>
      <c r="D11" s="30">
        <v>0</v>
      </c>
    </row>
    <row r="12" spans="2:4">
      <c r="B12" s="36" t="s">
        <v>101</v>
      </c>
      <c r="C12" s="29" t="e">
        <f>VLOOKUP(B12,#REF!,6,0)*1000</f>
        <v>#REF!</v>
      </c>
      <c r="D12" s="30">
        <v>0</v>
      </c>
    </row>
    <row r="13" spans="2:4">
      <c r="B13" s="36" t="s">
        <v>107</v>
      </c>
      <c r="C13" s="29" t="e">
        <f>VLOOKUP(B13,#REF!,6,0)*1000</f>
        <v>#REF!</v>
      </c>
      <c r="D13" s="30">
        <v>0</v>
      </c>
    </row>
    <row r="14" spans="2:4">
      <c r="B14" s="36" t="s">
        <v>106</v>
      </c>
      <c r="C14" s="29" t="e">
        <f>VLOOKUP(B14,#REF!,6,0)*1000</f>
        <v>#REF!</v>
      </c>
      <c r="D14" s="30">
        <v>0</v>
      </c>
    </row>
    <row r="15" spans="2:4">
      <c r="B15" s="36" t="s">
        <v>105</v>
      </c>
      <c r="C15" s="29" t="e">
        <f>VLOOKUP(B15,#REF!,6,0)*1000</f>
        <v>#REF!</v>
      </c>
      <c r="D15" s="30">
        <v>0</v>
      </c>
    </row>
    <row r="16" spans="2:4">
      <c r="B16" s="36" t="s">
        <v>108</v>
      </c>
      <c r="C16" s="29" t="e">
        <f>VLOOKUP(B16,#REF!,6,0)*1000</f>
        <v>#REF!</v>
      </c>
      <c r="D16" s="30">
        <v>0</v>
      </c>
    </row>
    <row r="17" spans="2:4">
      <c r="B17" s="36" t="s">
        <v>111</v>
      </c>
      <c r="C17" s="29" t="e">
        <f>VLOOKUP(B17,#REF!,6,0)*1000</f>
        <v>#REF!</v>
      </c>
      <c r="D17" s="30">
        <v>0</v>
      </c>
    </row>
    <row r="18" spans="2:4">
      <c r="B18" s="36" t="s">
        <v>110</v>
      </c>
      <c r="C18" s="29" t="e">
        <f>VLOOKUP(B18,#REF!,6,0)*1000</f>
        <v>#REF!</v>
      </c>
      <c r="D18" s="30">
        <v>0</v>
      </c>
    </row>
    <row r="19" spans="2:4">
      <c r="B19" s="36" t="s">
        <v>109</v>
      </c>
      <c r="C19" s="29" t="e">
        <f>VLOOKUP(B19,#REF!,6,0)*1000</f>
        <v>#REF!</v>
      </c>
      <c r="D19" s="30">
        <v>0</v>
      </c>
    </row>
    <row r="20" spans="2:4">
      <c r="B20" s="35" t="s">
        <v>48</v>
      </c>
      <c r="C20" s="29" t="e">
        <f>VLOOKUP(B20,#REF!,6,0)*1000</f>
        <v>#REF!</v>
      </c>
      <c r="D20" s="30">
        <v>0</v>
      </c>
    </row>
    <row r="21" spans="2:4">
      <c r="B21" s="35" t="s">
        <v>49</v>
      </c>
      <c r="C21" s="29" t="e">
        <f>VLOOKUP(B21,#REF!,6,0)*1000</f>
        <v>#REF!</v>
      </c>
      <c r="D21" s="30">
        <v>0</v>
      </c>
    </row>
    <row r="22" spans="2:4">
      <c r="B22" s="43" t="s">
        <v>9</v>
      </c>
      <c r="C22" s="29" t="e">
        <f>VLOOKUP(B22,#REF!,6,0)*1000</f>
        <v>#REF!</v>
      </c>
      <c r="D22" s="30">
        <v>0</v>
      </c>
    </row>
    <row r="23" spans="2:4">
      <c r="B23" s="43" t="s">
        <v>10</v>
      </c>
      <c r="C23" s="29" t="e">
        <f>VLOOKUP(B23,#REF!,6,0)*1000</f>
        <v>#REF!</v>
      </c>
      <c r="D23" s="30">
        <v>0</v>
      </c>
    </row>
    <row r="24" spans="2:4">
      <c r="B24" s="35" t="s">
        <v>7</v>
      </c>
      <c r="C24" s="29" t="e">
        <f>VLOOKUP(B24,#REF!,6,0)*1000</f>
        <v>#REF!</v>
      </c>
      <c r="D24" s="30">
        <v>0</v>
      </c>
    </row>
    <row r="25" spans="2:4">
      <c r="B25" s="35" t="s">
        <v>100</v>
      </c>
      <c r="C25" s="29" t="e">
        <f>VLOOKUP(B25,#REF!,6,0)*1000</f>
        <v>#REF!</v>
      </c>
      <c r="D25" s="30">
        <v>0</v>
      </c>
    </row>
    <row r="26" spans="2:4">
      <c r="B26" s="35" t="s">
        <v>90</v>
      </c>
      <c r="C26" s="29" t="e">
        <f>VLOOKUP(B26,#REF!,6,0)*1000</f>
        <v>#REF!</v>
      </c>
      <c r="D26" s="30">
        <v>0</v>
      </c>
    </row>
    <row r="27" spans="2:4">
      <c r="B27" s="35" t="s">
        <v>56</v>
      </c>
      <c r="C27" s="29" t="e">
        <f>VLOOKUP(B27,#REF!,6,0)*1000</f>
        <v>#REF!</v>
      </c>
      <c r="D27" s="30">
        <v>0</v>
      </c>
    </row>
    <row r="28" spans="2:4">
      <c r="B28" s="35" t="s">
        <v>55</v>
      </c>
      <c r="C28" s="29" t="e">
        <f>VLOOKUP(B28,#REF!,6,0)*1000</f>
        <v>#REF!</v>
      </c>
      <c r="D28" s="30">
        <v>0</v>
      </c>
    </row>
    <row r="29" spans="2:4">
      <c r="B29" s="36" t="s">
        <v>91</v>
      </c>
      <c r="C29" s="29" t="e">
        <f>VLOOKUP(B29,#REF!,6,0)*1000</f>
        <v>#REF!</v>
      </c>
      <c r="D29" s="30">
        <v>0</v>
      </c>
    </row>
    <row r="30" spans="2:4">
      <c r="B30" s="36" t="s">
        <v>57</v>
      </c>
      <c r="C30" s="29" t="e">
        <f>VLOOKUP(B30,#REF!,6,0)*1000</f>
        <v>#REF!</v>
      </c>
      <c r="D30" s="30">
        <v>0</v>
      </c>
    </row>
    <row r="31" spans="2:4">
      <c r="B31" s="35" t="s">
        <v>132</v>
      </c>
      <c r="C31" s="29" t="e">
        <f>VLOOKUP(B31,#REF!,6,0)*1000</f>
        <v>#REF!</v>
      </c>
      <c r="D31" s="30">
        <v>0</v>
      </c>
    </row>
    <row r="32" spans="2:4">
      <c r="B32" s="35" t="s">
        <v>131</v>
      </c>
      <c r="C32" s="29" t="e">
        <f>VLOOKUP(B32,#REF!,6,0)*1000</f>
        <v>#REF!</v>
      </c>
      <c r="D32" s="30">
        <v>0</v>
      </c>
    </row>
    <row r="33" spans="2:4">
      <c r="B33" s="36" t="s">
        <v>128</v>
      </c>
      <c r="C33" s="29" t="e">
        <f>VLOOKUP(B33,#REF!,6,0)*1000</f>
        <v>#REF!</v>
      </c>
      <c r="D33" s="30">
        <v>0</v>
      </c>
    </row>
    <row r="34" spans="2:4" ht="13.5" thickBot="1">
      <c r="B34" s="35" t="s">
        <v>129</v>
      </c>
      <c r="C34" s="29" t="e">
        <f>VLOOKUP(B34,#REF!,6,0)*1000</f>
        <v>#REF!</v>
      </c>
      <c r="D34" s="30">
        <v>0</v>
      </c>
    </row>
    <row r="35" spans="2:4" ht="13.5" thickBot="1">
      <c r="B35" s="35"/>
      <c r="C35" s="45" t="e">
        <f>SUM(C7:C34)</f>
        <v>#REF!</v>
      </c>
      <c r="D35" s="44">
        <f>SUM(D7:D34)</f>
        <v>0</v>
      </c>
    </row>
    <row r="36" spans="2:4" ht="13.5" thickBot="1">
      <c r="B36" s="26"/>
      <c r="C36" s="33"/>
      <c r="D36" s="34"/>
    </row>
    <row r="37" spans="2:4">
      <c r="B37" s="31" t="s">
        <v>125</v>
      </c>
      <c r="C37" s="21"/>
      <c r="D37" s="22"/>
    </row>
    <row r="38" spans="2:4" ht="13.5" thickBot="1">
      <c r="B38" s="32" t="s">
        <v>127</v>
      </c>
      <c r="C38" s="33"/>
      <c r="D38" s="34"/>
    </row>
  </sheetData>
  <mergeCells count="2">
    <mergeCell ref="B2:D2"/>
    <mergeCell ref="B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95236D7-F953-4499-8F15-0CAD61AE36A4}"/>
</file>

<file path=customXml/itemProps2.xml><?xml version="1.0" encoding="utf-8"?>
<ds:datastoreItem xmlns:ds="http://schemas.openxmlformats.org/officeDocument/2006/customXml" ds:itemID="{229D5D6D-7F29-4CC1-A234-7F9B79AFB31A}"/>
</file>

<file path=customXml/itemProps3.xml><?xml version="1.0" encoding="utf-8"?>
<ds:datastoreItem xmlns:ds="http://schemas.openxmlformats.org/officeDocument/2006/customXml" ds:itemID="{5F49D9A7-B9E4-4BA0-8A80-EA05D150D14A}"/>
</file>

<file path=customXml/itemProps4.xml><?xml version="1.0" encoding="utf-8"?>
<ds:datastoreItem xmlns:ds="http://schemas.openxmlformats.org/officeDocument/2006/customXml" ds:itemID="{FEE3CCC8-E25B-426C-8229-3324A4A482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2019 Actual vs Pro Forma</vt:lpstr>
      <vt:lpstr>table of contents</vt:lpstr>
      <vt:lpstr>Tables</vt:lpstr>
      <vt:lpstr>Table No.1</vt:lpstr>
      <vt:lpstr>Table No.2</vt:lpstr>
      <vt:lpstr>'2019 Actual vs Pro Forma'!Print_Area</vt:lpstr>
      <vt:lpstr>'table of contents'!Print_Area</vt:lpstr>
      <vt:lpstr>'2019 Actual vs Pro Forma'!Print_Titles</vt:lpstr>
      <vt:lpstr>'table of contents'!Print_Titles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Carrozzo, Steve</dc:creator>
  <cp:lastModifiedBy>Knox, Tara</cp:lastModifiedBy>
  <cp:lastPrinted>2020-09-30T23:21:49Z</cp:lastPrinted>
  <dcterms:created xsi:type="dcterms:W3CDTF">2001-03-24T00:02:34Z</dcterms:created>
  <dcterms:modified xsi:type="dcterms:W3CDTF">2020-10-08T17:28:09Z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0x0101006E56B4D1795A2E4DB2F0B01679ED314A0027A08A98646D534B82D0990F27BFBC3C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