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0\2020 Final Report\11.2020 Final Report\"/>
    </mc:Choice>
  </mc:AlternateContent>
  <xr:revisionPtr revIDLastSave="0" documentId="8_{E928B7AC-85AA-42BC-899B-D92A0F8D526F}" xr6:coauthVersionLast="44" xr6:coauthVersionMax="44" xr10:uidLastSave="{00000000-0000-0000-0000-000000000000}"/>
  <bookViews>
    <workbookView xWindow="40920" yWindow="-120" windowWidth="29040" windowHeight="15840" xr2:uid="{1FF5C25D-7B75-4052-B33B-E31F37F92AFB}"/>
  </bookViews>
  <sheets>
    <sheet name="WA Summary " sheetId="1" r:id="rId1"/>
    <sheet name="WA Monthly" sheetId="2" r:id="rId2"/>
    <sheet name="WA RRC" sheetId="3" r:id="rId3"/>
  </sheets>
  <externalReferences>
    <externalReference r:id="rId4"/>
  </externalReferences>
  <definedNames>
    <definedName name="_xlnm._FilterDatabase" localSheetId="1" hidden="1">'WA Monthly'!$A$4:$P$39</definedName>
    <definedName name="AVARpt">'WA Monthly'!$A$6:$P$140</definedName>
    <definedName name="DefRpt">'WA Monthly'!$P$84</definedName>
    <definedName name="GLAccts">'WA Monthly'!$B$86:$R$128</definedName>
    <definedName name="_xlnm.Print_Area" localSheetId="1">'WA Monthly'!$A$1:$R$142</definedName>
    <definedName name="_xlnm.Print_Area" localSheetId="2">'WA RRC'!$A$1:$N$15</definedName>
    <definedName name="_xlnm.Print_Area" localSheetId="0">'WA Summary '!$A$1:$Q$41</definedName>
    <definedName name="_xlnm.Print_Titles" localSheetId="1">'WA Monthly'!$A:$D,'WA Monthly'!$1:$5</definedName>
    <definedName name="WAAVARpt">'WA Monthly'!$A$6:$P$140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38" i="2" l="1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 s="1"/>
  <c r="R137" i="2"/>
  <c r="D137" i="2"/>
  <c r="D136" i="2"/>
  <c r="R135" i="2"/>
  <c r="R138" i="2" s="1"/>
  <c r="D135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R133" i="2" s="1"/>
  <c r="D133" i="2"/>
  <c r="R132" i="2"/>
  <c r="D132" i="2"/>
  <c r="R131" i="2"/>
  <c r="D131" i="2"/>
  <c r="R127" i="2"/>
  <c r="D127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 s="1"/>
  <c r="R123" i="2"/>
  <c r="D123" i="2"/>
  <c r="R122" i="2"/>
  <c r="D122" i="2"/>
  <c r="R121" i="2"/>
  <c r="D121" i="2"/>
  <c r="D120" i="2"/>
  <c r="D119" i="2"/>
  <c r="R118" i="2"/>
  <c r="D118" i="2"/>
  <c r="R117" i="2"/>
  <c r="D117" i="2"/>
  <c r="R116" i="2"/>
  <c r="D116" i="2"/>
  <c r="R115" i="2"/>
  <c r="D115" i="2"/>
  <c r="R114" i="2"/>
  <c r="D114" i="2"/>
  <c r="R113" i="2"/>
  <c r="D113" i="2"/>
  <c r="R112" i="2"/>
  <c r="R124" i="2" s="1"/>
  <c r="D112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8" i="2"/>
  <c r="D107" i="2"/>
  <c r="D106" i="2"/>
  <c r="D105" i="2"/>
  <c r="D109" i="2" s="1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 s="1"/>
  <c r="R101" i="2"/>
  <c r="D101" i="2"/>
  <c r="R100" i="2"/>
  <c r="D100" i="2"/>
  <c r="R99" i="2"/>
  <c r="D99" i="2"/>
  <c r="P96" i="2"/>
  <c r="O96" i="2"/>
  <c r="N96" i="2"/>
  <c r="M96" i="2"/>
  <c r="L96" i="2"/>
  <c r="K96" i="2"/>
  <c r="J96" i="2"/>
  <c r="I96" i="2"/>
  <c r="H96" i="2"/>
  <c r="G96" i="2"/>
  <c r="F96" i="2"/>
  <c r="E96" i="2"/>
  <c r="R96" i="2" s="1"/>
  <c r="D96" i="2"/>
  <c r="R95" i="2"/>
  <c r="D95" i="2"/>
  <c r="R94" i="2"/>
  <c r="D94" i="2"/>
  <c r="R93" i="2"/>
  <c r="D93" i="2"/>
  <c r="R92" i="2"/>
  <c r="D92" i="2"/>
  <c r="D91" i="2"/>
  <c r="R90" i="2"/>
  <c r="D90" i="2"/>
  <c r="A90" i="2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5" i="2" s="1"/>
  <c r="A106" i="2" s="1"/>
  <c r="A107" i="2" s="1"/>
  <c r="A108" i="2" s="1"/>
  <c r="A109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7" i="2" s="1"/>
  <c r="A128" i="2" s="1"/>
  <c r="A131" i="2" s="1"/>
  <c r="A132" i="2" s="1"/>
  <c r="A133" i="2" s="1"/>
  <c r="A135" i="2" s="1"/>
  <c r="A136" i="2" s="1"/>
  <c r="A137" i="2" s="1"/>
  <c r="A138" i="2" s="1"/>
  <c r="A140" i="2" s="1"/>
  <c r="A142" i="2" s="1"/>
  <c r="R89" i="2"/>
  <c r="D89" i="2"/>
  <c r="R88" i="2"/>
  <c r="D88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R81" i="2"/>
  <c r="D81" i="2"/>
  <c r="R80" i="2"/>
  <c r="D80" i="2"/>
  <c r="R79" i="2"/>
  <c r="D79" i="2"/>
  <c r="R78" i="2"/>
  <c r="D78" i="2"/>
  <c r="R77" i="2"/>
  <c r="D77" i="2"/>
  <c r="R76" i="2"/>
  <c r="R82" i="2" s="1"/>
  <c r="D76" i="2"/>
  <c r="P69" i="2"/>
  <c r="P73" i="2" s="1"/>
  <c r="O69" i="2"/>
  <c r="O73" i="2" s="1"/>
  <c r="N69" i="2"/>
  <c r="N73" i="2" s="1"/>
  <c r="M69" i="2"/>
  <c r="M73" i="2" s="1"/>
  <c r="L69" i="2"/>
  <c r="L73" i="2" s="1"/>
  <c r="K69" i="2"/>
  <c r="K73" i="2" s="1"/>
  <c r="J69" i="2"/>
  <c r="J73" i="2" s="1"/>
  <c r="I69" i="2"/>
  <c r="I73" i="2" s="1"/>
  <c r="H69" i="2"/>
  <c r="H73" i="2" s="1"/>
  <c r="G69" i="2"/>
  <c r="G73" i="2" s="1"/>
  <c r="F69" i="2"/>
  <c r="F73" i="2" s="1"/>
  <c r="E69" i="2"/>
  <c r="E73" i="2" s="1"/>
  <c r="D69" i="2"/>
  <c r="P68" i="2"/>
  <c r="P72" i="2" s="1"/>
  <c r="O68" i="2"/>
  <c r="O72" i="2" s="1"/>
  <c r="N68" i="2"/>
  <c r="N72" i="2" s="1"/>
  <c r="M68" i="2"/>
  <c r="M72" i="2" s="1"/>
  <c r="L68" i="2"/>
  <c r="L72" i="2" s="1"/>
  <c r="K68" i="2"/>
  <c r="K72" i="2" s="1"/>
  <c r="J68" i="2"/>
  <c r="J72" i="2" s="1"/>
  <c r="I68" i="2"/>
  <c r="I72" i="2" s="1"/>
  <c r="H68" i="2"/>
  <c r="H72" i="2" s="1"/>
  <c r="G68" i="2"/>
  <c r="G72" i="2" s="1"/>
  <c r="F68" i="2"/>
  <c r="F72" i="2" s="1"/>
  <c r="E68" i="2"/>
  <c r="E72" i="2" s="1"/>
  <c r="D68" i="2"/>
  <c r="P65" i="2"/>
  <c r="O65" i="2"/>
  <c r="N65" i="2"/>
  <c r="M65" i="2"/>
  <c r="L65" i="2"/>
  <c r="K65" i="2"/>
  <c r="J65" i="2"/>
  <c r="I65" i="2"/>
  <c r="H65" i="2"/>
  <c r="G65" i="2"/>
  <c r="F65" i="2"/>
  <c r="D65" i="2" s="1"/>
  <c r="E65" i="2"/>
  <c r="R65" i="2" s="1"/>
  <c r="R64" i="2"/>
  <c r="D64" i="2"/>
  <c r="R63" i="2"/>
  <c r="D63" i="2"/>
  <c r="R62" i="2"/>
  <c r="D62" i="2"/>
  <c r="R61" i="2"/>
  <c r="D61" i="2"/>
  <c r="P58" i="2"/>
  <c r="O58" i="2"/>
  <c r="L58" i="2"/>
  <c r="K58" i="2"/>
  <c r="J58" i="2"/>
  <c r="I58" i="2"/>
  <c r="H58" i="2"/>
  <c r="G58" i="2"/>
  <c r="F58" i="2"/>
  <c r="E58" i="2"/>
  <c r="R57" i="2"/>
  <c r="D57" i="2"/>
  <c r="R56" i="2"/>
  <c r="D56" i="2"/>
  <c r="R55" i="2"/>
  <c r="D55" i="2"/>
  <c r="R54" i="2"/>
  <c r="D54" i="2"/>
  <c r="R53" i="2"/>
  <c r="D53" i="2"/>
  <c r="N52" i="2"/>
  <c r="N58" i="2" s="1"/>
  <c r="N47" i="2" s="1"/>
  <c r="N42" i="2" s="1"/>
  <c r="M52" i="2"/>
  <c r="M58" i="2" s="1"/>
  <c r="M47" i="2" s="1"/>
  <c r="M42" i="2" s="1"/>
  <c r="R51" i="2"/>
  <c r="R58" i="2" s="1"/>
  <c r="D51" i="2"/>
  <c r="P47" i="2"/>
  <c r="O47" i="2"/>
  <c r="L47" i="2"/>
  <c r="K47" i="2"/>
  <c r="J47" i="2"/>
  <c r="I47" i="2"/>
  <c r="H47" i="2"/>
  <c r="G47" i="2"/>
  <c r="F47" i="2"/>
  <c r="D47" i="2" s="1"/>
  <c r="E47" i="2"/>
  <c r="P46" i="2"/>
  <c r="O46" i="2"/>
  <c r="N46" i="2"/>
  <c r="M46" i="2"/>
  <c r="L46" i="2"/>
  <c r="K46" i="2"/>
  <c r="J46" i="2"/>
  <c r="I46" i="2"/>
  <c r="H46" i="2"/>
  <c r="G46" i="2"/>
  <c r="F46" i="2"/>
  <c r="E46" i="2"/>
  <c r="R46" i="2" s="1"/>
  <c r="P45" i="2"/>
  <c r="O45" i="2"/>
  <c r="N45" i="2"/>
  <c r="M45" i="2"/>
  <c r="L45" i="2"/>
  <c r="K45" i="2"/>
  <c r="J45" i="2"/>
  <c r="I45" i="2"/>
  <c r="H45" i="2"/>
  <c r="G45" i="2"/>
  <c r="F45" i="2"/>
  <c r="E45" i="2"/>
  <c r="R45" i="2" s="1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 s="1"/>
  <c r="P43" i="2"/>
  <c r="O43" i="2"/>
  <c r="N43" i="2"/>
  <c r="M43" i="2"/>
  <c r="L43" i="2"/>
  <c r="K43" i="2"/>
  <c r="J43" i="2"/>
  <c r="I43" i="2"/>
  <c r="H43" i="2"/>
  <c r="G43" i="2"/>
  <c r="F43" i="2"/>
  <c r="E43" i="2"/>
  <c r="R43" i="2" s="1"/>
  <c r="D43" i="2"/>
  <c r="P42" i="2"/>
  <c r="O42" i="2"/>
  <c r="L42" i="2"/>
  <c r="K42" i="2"/>
  <c r="J42" i="2"/>
  <c r="I42" i="2"/>
  <c r="H42" i="2"/>
  <c r="G42" i="2"/>
  <c r="F42" i="2"/>
  <c r="E42" i="2"/>
  <c r="P38" i="2"/>
  <c r="P39" i="2" s="1"/>
  <c r="P24" i="2" s="1"/>
  <c r="O38" i="2"/>
  <c r="N38" i="2"/>
  <c r="M38" i="2"/>
  <c r="L38" i="2"/>
  <c r="K38" i="2"/>
  <c r="J38" i="2"/>
  <c r="I38" i="2"/>
  <c r="H38" i="2"/>
  <c r="G38" i="2"/>
  <c r="F38" i="2"/>
  <c r="E38" i="2"/>
  <c r="R38" i="2" s="1"/>
  <c r="O37" i="2"/>
  <c r="O39" i="2" s="1"/>
  <c r="O24" i="2" s="1"/>
  <c r="N37" i="2"/>
  <c r="N39" i="2" s="1"/>
  <c r="N24" i="2" s="1"/>
  <c r="M37" i="2"/>
  <c r="M39" i="2" s="1"/>
  <c r="M24" i="2" s="1"/>
  <c r="L37" i="2"/>
  <c r="L39" i="2" s="1"/>
  <c r="L24" i="2" s="1"/>
  <c r="K37" i="2"/>
  <c r="K39" i="2" s="1"/>
  <c r="K24" i="2" s="1"/>
  <c r="J37" i="2"/>
  <c r="J39" i="2" s="1"/>
  <c r="J24" i="2" s="1"/>
  <c r="I37" i="2"/>
  <c r="I39" i="2" s="1"/>
  <c r="I24" i="2" s="1"/>
  <c r="H37" i="2"/>
  <c r="H39" i="2" s="1"/>
  <c r="H24" i="2" s="1"/>
  <c r="G37" i="2"/>
  <c r="G39" i="2" s="1"/>
  <c r="G24" i="2" s="1"/>
  <c r="F37" i="2"/>
  <c r="F39" i="2" s="1"/>
  <c r="F24" i="2" s="1"/>
  <c r="E37" i="2"/>
  <c r="E39" i="2" s="1"/>
  <c r="R36" i="2"/>
  <c r="D36" i="2"/>
  <c r="R35" i="2"/>
  <c r="D35" i="2"/>
  <c r="R34" i="2"/>
  <c r="D34" i="2"/>
  <c r="R33" i="2"/>
  <c r="D33" i="2"/>
  <c r="R32" i="2"/>
  <c r="D32" i="2"/>
  <c r="R31" i="2"/>
  <c r="D31" i="2"/>
  <c r="R30" i="2"/>
  <c r="D30" i="2"/>
  <c r="D29" i="2"/>
  <c r="R28" i="2"/>
  <c r="R39" i="2" s="1"/>
  <c r="D28" i="2"/>
  <c r="P23" i="2"/>
  <c r="O23" i="2"/>
  <c r="N23" i="2"/>
  <c r="M23" i="2"/>
  <c r="L23" i="2"/>
  <c r="K23" i="2"/>
  <c r="J23" i="2"/>
  <c r="I23" i="2"/>
  <c r="H23" i="2"/>
  <c r="G23" i="2"/>
  <c r="F23" i="2"/>
  <c r="E23" i="2"/>
  <c r="R23" i="2" s="1"/>
  <c r="D23" i="2"/>
  <c r="P22" i="2"/>
  <c r="O22" i="2"/>
  <c r="N22" i="2"/>
  <c r="M22" i="2"/>
  <c r="L22" i="2"/>
  <c r="K22" i="2"/>
  <c r="J22" i="2"/>
  <c r="I22" i="2"/>
  <c r="H22" i="2"/>
  <c r="G22" i="2"/>
  <c r="D22" i="2" s="1"/>
  <c r="F22" i="2"/>
  <c r="E22" i="2"/>
  <c r="R22" i="2" s="1"/>
  <c r="P21" i="2"/>
  <c r="O21" i="2"/>
  <c r="N21" i="2"/>
  <c r="M21" i="2"/>
  <c r="L21" i="2"/>
  <c r="K21" i="2"/>
  <c r="J21" i="2"/>
  <c r="I21" i="2"/>
  <c r="H21" i="2"/>
  <c r="G21" i="2"/>
  <c r="F21" i="2"/>
  <c r="E21" i="2"/>
  <c r="D21" i="2" s="1"/>
  <c r="P20" i="2"/>
  <c r="O20" i="2"/>
  <c r="N20" i="2"/>
  <c r="M20" i="2"/>
  <c r="L20" i="2"/>
  <c r="K20" i="2"/>
  <c r="J20" i="2"/>
  <c r="I20" i="2"/>
  <c r="H20" i="2"/>
  <c r="G20" i="2"/>
  <c r="F20" i="2"/>
  <c r="E20" i="2"/>
  <c r="R20" i="2" s="1"/>
  <c r="D20" i="2"/>
  <c r="P19" i="2"/>
  <c r="O19" i="2"/>
  <c r="N19" i="2"/>
  <c r="M19" i="2"/>
  <c r="L19" i="2"/>
  <c r="K19" i="2"/>
  <c r="J19" i="2"/>
  <c r="I19" i="2"/>
  <c r="H19" i="2"/>
  <c r="G19" i="2"/>
  <c r="D19" i="2" s="1"/>
  <c r="F19" i="2"/>
  <c r="E19" i="2"/>
  <c r="R19" i="2" s="1"/>
  <c r="P18" i="2"/>
  <c r="O18" i="2"/>
  <c r="N18" i="2"/>
  <c r="M18" i="2"/>
  <c r="L18" i="2"/>
  <c r="K18" i="2"/>
  <c r="J18" i="2"/>
  <c r="I18" i="2"/>
  <c r="H18" i="2"/>
  <c r="G18" i="2"/>
  <c r="F18" i="2"/>
  <c r="E18" i="2"/>
  <c r="R18" i="2" s="1"/>
  <c r="P17" i="2"/>
  <c r="O17" i="2"/>
  <c r="N17" i="2"/>
  <c r="M17" i="2"/>
  <c r="L17" i="2"/>
  <c r="K17" i="2"/>
  <c r="J17" i="2"/>
  <c r="I17" i="2"/>
  <c r="H17" i="2"/>
  <c r="G17" i="2"/>
  <c r="F17" i="2"/>
  <c r="E17" i="2"/>
  <c r="R17" i="2" s="1"/>
  <c r="P16" i="2"/>
  <c r="O16" i="2"/>
  <c r="N16" i="2"/>
  <c r="M16" i="2"/>
  <c r="L16" i="2"/>
  <c r="K16" i="2"/>
  <c r="J16" i="2"/>
  <c r="I16" i="2"/>
  <c r="H16" i="2"/>
  <c r="G16" i="2"/>
  <c r="F16" i="2"/>
  <c r="E16" i="2"/>
  <c r="R16" i="2" s="1"/>
  <c r="D16" i="2"/>
  <c r="P15" i="2"/>
  <c r="O15" i="2"/>
  <c r="N15" i="2"/>
  <c r="M15" i="2"/>
  <c r="L15" i="2"/>
  <c r="K15" i="2"/>
  <c r="J15" i="2"/>
  <c r="I15" i="2"/>
  <c r="H15" i="2"/>
  <c r="G15" i="2"/>
  <c r="D15" i="2" s="1"/>
  <c r="F15" i="2"/>
  <c r="E15" i="2"/>
  <c r="R15" i="2" s="1"/>
  <c r="P14" i="2"/>
  <c r="O14" i="2"/>
  <c r="N14" i="2"/>
  <c r="M14" i="2"/>
  <c r="L14" i="2"/>
  <c r="K14" i="2"/>
  <c r="J14" i="2"/>
  <c r="I14" i="2"/>
  <c r="H14" i="2"/>
  <c r="G14" i="2"/>
  <c r="F14" i="2"/>
  <c r="D14" i="2" s="1"/>
  <c r="E14" i="2"/>
  <c r="R14" i="2" s="1"/>
  <c r="P13" i="2"/>
  <c r="O13" i="2"/>
  <c r="N13" i="2"/>
  <c r="M13" i="2"/>
  <c r="L13" i="2"/>
  <c r="K13" i="2"/>
  <c r="J13" i="2"/>
  <c r="I13" i="2"/>
  <c r="H13" i="2"/>
  <c r="G13" i="2"/>
  <c r="F13" i="2"/>
  <c r="E13" i="2"/>
  <c r="R13" i="2" s="1"/>
  <c r="P12" i="2"/>
  <c r="O12" i="2"/>
  <c r="N12" i="2"/>
  <c r="M12" i="2"/>
  <c r="L12" i="2"/>
  <c r="K12" i="2"/>
  <c r="J12" i="2"/>
  <c r="I12" i="2"/>
  <c r="H12" i="2"/>
  <c r="G12" i="2"/>
  <c r="F12" i="2"/>
  <c r="E12" i="2"/>
  <c r="R12" i="2" s="1"/>
  <c r="D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42" i="2" s="1"/>
  <c r="A43" i="2" s="1"/>
  <c r="A44" i="2" s="1"/>
  <c r="A45" i="2" s="1"/>
  <c r="A46" i="2" s="1"/>
  <c r="A47" i="2" s="1"/>
  <c r="A61" i="2" s="1"/>
  <c r="A62" i="2" s="1"/>
  <c r="A63" i="2" s="1"/>
  <c r="A64" i="2" s="1"/>
  <c r="A65" i="2" s="1"/>
  <c r="A68" i="2" s="1"/>
  <c r="A69" i="2" s="1"/>
  <c r="A72" i="2" s="1"/>
  <c r="A73" i="2" s="1"/>
  <c r="A76" i="2" s="1"/>
  <c r="A77" i="2" s="1"/>
  <c r="A78" i="2" s="1"/>
  <c r="A79" i="2" s="1"/>
  <c r="A80" i="2" s="1"/>
  <c r="A81" i="2" s="1"/>
  <c r="A82" i="2" s="1"/>
  <c r="A84" i="2" s="1"/>
  <c r="A88" i="2" s="1"/>
  <c r="P11" i="2"/>
  <c r="O11" i="2"/>
  <c r="N11" i="2"/>
  <c r="M11" i="2"/>
  <c r="L11" i="2"/>
  <c r="K11" i="2"/>
  <c r="J11" i="2"/>
  <c r="I11" i="2"/>
  <c r="H11" i="2"/>
  <c r="G11" i="2"/>
  <c r="F11" i="2"/>
  <c r="E11" i="2"/>
  <c r="R11" i="2" s="1"/>
  <c r="D11" i="2"/>
  <c r="P10" i="2"/>
  <c r="O10" i="2"/>
  <c r="N10" i="2"/>
  <c r="M10" i="2"/>
  <c r="L10" i="2"/>
  <c r="K10" i="2"/>
  <c r="J10" i="2"/>
  <c r="I10" i="2"/>
  <c r="H10" i="2"/>
  <c r="G10" i="2"/>
  <c r="F10" i="2"/>
  <c r="E10" i="2"/>
  <c r="R10" i="2" s="1"/>
  <c r="P9" i="2"/>
  <c r="O9" i="2"/>
  <c r="N9" i="2"/>
  <c r="M9" i="2"/>
  <c r="L9" i="2"/>
  <c r="K9" i="2"/>
  <c r="J9" i="2"/>
  <c r="I9" i="2"/>
  <c r="H9" i="2"/>
  <c r="G9" i="2"/>
  <c r="F9" i="2"/>
  <c r="E9" i="2"/>
  <c r="R9" i="2" s="1"/>
  <c r="D9" i="2"/>
  <c r="P8" i="2"/>
  <c r="O8" i="2"/>
  <c r="N8" i="2"/>
  <c r="M8" i="2"/>
  <c r="L8" i="2"/>
  <c r="K8" i="2"/>
  <c r="J8" i="2"/>
  <c r="I8" i="2"/>
  <c r="H8" i="2"/>
  <c r="G8" i="2"/>
  <c r="F8" i="2"/>
  <c r="E8" i="2"/>
  <c r="R8" i="2" s="1"/>
  <c r="A7" i="2"/>
  <c r="F5" i="2"/>
  <c r="G5" i="2" s="1"/>
  <c r="H5" i="2" s="1"/>
  <c r="I5" i="2" s="1"/>
  <c r="J5" i="2" s="1"/>
  <c r="K5" i="2" s="1"/>
  <c r="L5" i="2" s="1"/>
  <c r="M5" i="2" s="1"/>
  <c r="N5" i="2" s="1"/>
  <c r="O5" i="2" s="1"/>
  <c r="P5" i="2" s="1"/>
  <c r="G128" i="2" l="1"/>
  <c r="G140" i="2" s="1"/>
  <c r="G142" i="2" s="1"/>
  <c r="G7" i="2"/>
  <c r="G84" i="2"/>
  <c r="K128" i="2"/>
  <c r="K140" i="2" s="1"/>
  <c r="K142" i="2" s="1"/>
  <c r="K7" i="2"/>
  <c r="K84" i="2"/>
  <c r="O140" i="2"/>
  <c r="O128" i="2"/>
  <c r="O7" i="2"/>
  <c r="O84" i="2"/>
  <c r="O142" i="2" s="1"/>
  <c r="P142" i="2"/>
  <c r="P7" i="2"/>
  <c r="P84" i="2"/>
  <c r="P140" i="2"/>
  <c r="P128" i="2"/>
  <c r="H7" i="2"/>
  <c r="H84" i="2"/>
  <c r="H128" i="2"/>
  <c r="H140" i="2" s="1"/>
  <c r="H142" i="2" s="1"/>
  <c r="L7" i="2"/>
  <c r="L84" i="2"/>
  <c r="L140" i="2"/>
  <c r="L142" i="2" s="1"/>
  <c r="L128" i="2"/>
  <c r="R42" i="2"/>
  <c r="D58" i="2"/>
  <c r="D39" i="2"/>
  <c r="E24" i="2"/>
  <c r="I84" i="2"/>
  <c r="I128" i="2"/>
  <c r="I140" i="2" s="1"/>
  <c r="I142" i="2" s="1"/>
  <c r="I7" i="2"/>
  <c r="M84" i="2"/>
  <c r="M140" i="2"/>
  <c r="M142" i="2" s="1"/>
  <c r="M128" i="2"/>
  <c r="M7" i="2"/>
  <c r="F140" i="2"/>
  <c r="F128" i="2"/>
  <c r="F7" i="2"/>
  <c r="F84" i="2"/>
  <c r="F142" i="2" s="1"/>
  <c r="J140" i="2"/>
  <c r="J128" i="2"/>
  <c r="J7" i="2"/>
  <c r="J84" i="2"/>
  <c r="J142" i="2" s="1"/>
  <c r="N140" i="2"/>
  <c r="N128" i="2"/>
  <c r="N142" i="2"/>
  <c r="N7" i="2"/>
  <c r="N84" i="2"/>
  <c r="D18" i="2"/>
  <c r="D37" i="2"/>
  <c r="D38" i="2"/>
  <c r="R44" i="2"/>
  <c r="D52" i="2"/>
  <c r="R68" i="2"/>
  <c r="R72" i="2" s="1"/>
  <c r="R102" i="2"/>
  <c r="D8" i="2"/>
  <c r="D10" i="2"/>
  <c r="D13" i="2"/>
  <c r="D17" i="2"/>
  <c r="D42" i="2"/>
  <c r="D46" i="2"/>
  <c r="R69" i="2"/>
  <c r="R73" i="2" s="1"/>
  <c r="E84" i="2" l="1"/>
  <c r="D84" i="2" s="1"/>
  <c r="E128" i="2"/>
  <c r="D24" i="2"/>
  <c r="E7" i="2"/>
  <c r="R140" i="2"/>
  <c r="R47" i="2"/>
  <c r="R128" i="2" l="1"/>
  <c r="D128" i="2"/>
  <c r="D7" i="2"/>
  <c r="R7" i="2"/>
  <c r="R24" i="2" s="1"/>
  <c r="R84" i="2" s="1"/>
  <c r="E140" i="2"/>
  <c r="D140" i="2" l="1"/>
  <c r="E142" i="2"/>
  <c r="D14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9EE3DE6F-0287-47FD-8063-6E350903C392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5DD26537-F90A-4440-85FA-DD1C7EBE47D5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C31B7EDD-D688-48D7-8219-8966AF79A41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8F048705-F827-4C56-B404-9BC5428CB06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FC6EEC25-9771-4338-BF6C-91170C7CC796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D3DB0CEC-D2A7-41C4-9107-9AD0BB4C0D72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97455EDA-FFA1-4131-92AA-1EC784916EA9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D1ABE429-94E9-47A0-849A-49AE6A148F7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270E1E7D-1F74-4702-BAA6-616B81EA9B20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E88EDCE4-8FB6-485F-93C1-C227E2BF1F9F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E4940F38-9026-4432-9F20-D909C9EAAD93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882DFBDA-F2A4-4976-A20D-4671AC796AAF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7" authorId="2" shapeId="0" xr:uid="{20E22786-BC4D-4553-959F-6C692ECA31E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7" authorId="2" shapeId="0" xr:uid="{11075E20-E764-4B5E-80E2-55A3F3A8E8F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 956</t>
        </r>
      </text>
    </comment>
    <comment ref="F37" authorId="2" shapeId="0" xr:uid="{05C33839-F41E-4F41-A09F-44CE02D7B1A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Feb 2020 is: 2700</t>
        </r>
      </text>
    </comment>
    <comment ref="G37" authorId="2" shapeId="0" xr:uid="{AF9E5AE8-2C19-42E9-A02C-8A465F1E961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Mar 2020 is: 3968</t>
        </r>
      </text>
    </comment>
    <comment ref="H37" authorId="2" shapeId="0" xr:uid="{239AE68E-80EC-43E7-BE55-2A1CB513AC5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Apr 2020 is: 4933</t>
        </r>
      </text>
    </comment>
    <comment ref="I37" authorId="2" shapeId="0" xr:uid="{19102DF2-BDDB-499A-B89A-B742E37C982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May 2020 is: 5240</t>
        </r>
      </text>
    </comment>
    <comment ref="J37" authorId="2" shapeId="0" xr:uid="{C57DB2B0-A5E6-4451-8D02-7E767B89ACE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Jun 2020 is: 5464</t>
        </r>
      </text>
    </comment>
    <comment ref="K37" authorId="2" shapeId="0" xr:uid="{15B5E80B-1A86-43EA-BB5D-0F5F930B0E8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Jul 2020 is: 6589</t>
        </r>
      </text>
    </comment>
    <comment ref="L37" authorId="2" shapeId="0" xr:uid="{2DDE49DC-BD90-4F37-87FB-EC5CBA05EEB1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Aug 2020 is: 5750</t>
        </r>
      </text>
    </comment>
    <comment ref="M37" authorId="2" shapeId="0" xr:uid="{8859FFA3-177E-4575-AC50-688AF19734D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Sep 2020 is: 3943</t>
        </r>
      </text>
    </comment>
    <comment ref="N37" authorId="2" shapeId="0" xr:uid="{C82089CF-91F3-4E45-B0BD-17A005E0E7A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Oct 2020 is: 3198</t>
        </r>
      </text>
    </comment>
    <comment ref="O37" authorId="2" shapeId="0" xr:uid="{F6CA0498-D3A0-4F98-BB46-37673494CEC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Nov 2020 is: 1,646</t>
        </r>
      </text>
    </comment>
    <comment ref="P37" authorId="2" shapeId="0" xr:uid="{57A8185F-0E8D-41F1-A04A-40E15D82363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2, Variability Integration Cost of 41,423/12months = 3,451.92.
$1.24 for year 2 Operating Reserve Cost Estimate multiplied by actual generation of solar farm.
Transmission loss savings of .0063 multiplied by monthly theoretical revenue.
Actual generation for Jan 2020 is:</t>
        </r>
      </text>
    </comment>
    <comment ref="B38" authorId="0" shapeId="0" xr:uid="{FE42FF2B-2FD8-4F8C-A08C-1891655582DC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3" authorId="1" shapeId="0" xr:uid="{7D60BED6-9BC9-494F-B96E-B505D4B488D7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2" authorId="3" shapeId="0" xr:uid="{2C19F965-CA3F-42FA-9FC8-4F447AF400AE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2" authorId="2" shapeId="0" xr:uid="{AC6FC9BA-98E7-44AE-93CF-AE7EC262E6C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2" authorId="2" shapeId="0" xr:uid="{9A490FA9-2C11-4037-9BF9-DE7588CE441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2" authorId="2" shapeId="0" xr:uid="{A119DE5F-A199-4BD9-B84A-1C875B8AFFB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2" authorId="2" shapeId="0" xr:uid="{5AA75FA7-CD6E-4A95-9629-4F78C95293E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2" authorId="2" shapeId="0" xr:uid="{B568CFC0-1486-455F-B0EF-A8C59EC2A19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2" authorId="2" shapeId="0" xr:uid="{A4C6F61A-EA44-40C2-83AF-40E8CCF39BC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2" authorId="2" shapeId="0" xr:uid="{E4BD020F-DAD3-4FF4-A123-851E4F10556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2" authorId="2" shapeId="0" xr:uid="{92968778-68B7-4452-A486-A5D920FB09E8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2" authorId="2" shapeId="0" xr:uid="{7F0E6B45-A2EA-451A-A590-14A4A8A0ADF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2" authorId="2" shapeId="0" xr:uid="{E5C4AAA7-0DE6-4A3E-9741-27B34FA82FA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2" authorId="2" shapeId="0" xr:uid="{DFA38586-315E-4B2E-BF6B-84E26FEFFE9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2" authorId="2" shapeId="0" xr:uid="{A3646313-EF0F-4C4D-8736-B04B7A7918AE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3" authorId="4" shapeId="0" xr:uid="{4DD414B3-2562-4489-98DE-4C134E69A85A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4" authorId="2" shapeId="0" xr:uid="{4721901E-20A8-4455-BC5E-8178CBC4492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5" authorId="4" shapeId="0" xr:uid="{982B2560-5C7D-4FB9-937B-2DE8640B69CC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6" authorId="4" shapeId="0" xr:uid="{C7C8CACB-6F2F-4BA7-812F-B8D1EAF77501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7" authorId="4" shapeId="0" xr:uid="{4C1EBB87-60A5-4CD5-883C-BB0CCB5A727E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1" authorId="5" shapeId="0" xr:uid="{3C7DC18F-6FFA-468B-A50A-E1CEC3F8205E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2" authorId="4" shapeId="0" xr:uid="{C57A31B1-BE64-4243-97E6-C41B4EA392B9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3" authorId="4" shapeId="0" xr:uid="{F3345AB3-AE17-4EB7-9EBD-C8B248AF811F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9" authorId="2" shapeId="0" xr:uid="{B725B1C7-5112-4A1D-B9F6-341DC991A81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0" authorId="3" shapeId="0" xr:uid="{358CBE67-A0B8-4946-80F3-C9302369AAD4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27" authorId="0" shapeId="0" xr:uid="{EFB6C289-0D23-4205-8AE8-DBB5B1CEF069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B131" authorId="4" shapeId="0" xr:uid="{4889EC52-76C9-49D2-AD21-2590B61112C6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3" authorId="4" shapeId="0" xr:uid="{AE2440F7-2E32-4797-AACD-D2094E091AA4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8" authorId="4" shapeId="0" xr:uid="{8ABA9FAA-FF24-4667-855C-CE5C701AED4B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D259E919-B78A-4DCA-9E00-AE8883D2E2F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 xr:uid="{260E50EA-84CB-4F39-91A5-AB18120260E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 xr:uid="{AE15BA4E-BF22-49C0-9E01-E0F99060A0E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<sst xmlns="http://schemas.openxmlformats.org/spreadsheetml/2006/main" count="229" uniqueCount="177">
  <si>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</si>
  <si>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</si>
  <si>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</si>
  <si>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</si>
  <si>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</si>
  <si>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</si>
  <si>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</si>
  <si>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</si>
  <si>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</si>
  <si>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</si>
  <si>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</si>
  <si>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</si>
  <si>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</si>
  <si>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</si>
  <si>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</si>
  <si>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November</t>
  </si>
  <si>
    <t>Settlement Adjustment</t>
  </si>
  <si>
    <t>Authorized Net Expense</t>
  </si>
  <si>
    <t>Actual - Authorized Net Expense</t>
  </si>
  <si>
    <t xml:space="preserve"> 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</si>
  <si>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</si>
  <si>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</si>
  <si>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</si>
  <si>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</si>
  <si>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</si>
  <si>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</si>
  <si>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</si>
  <si>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</si>
  <si>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</si>
  <si>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</si>
  <si>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</si>
  <si>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to $10M</t>
  </si>
  <si>
    <t>to $4M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</si>
  <si>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</si>
  <si>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</si>
  <si>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</si>
  <si>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</si>
  <si>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</si>
  <si>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</si>
  <si>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company absorbed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</si>
  <si>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</si>
  <si>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</si>
  <si>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</si>
  <si>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</si>
  <si>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</si>
  <si>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</si>
  <si>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</si>
  <si>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</si>
  <si>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</si>
  <si>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</si>
  <si>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</si>
  <si>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</si>
  <si>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</si>
  <si>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</si>
  <si>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</si>
  <si>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</si>
  <si>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</si>
  <si>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</si>
  <si>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</si>
  <si>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</si>
  <si>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</si>
  <si>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</si>
  <si>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</si>
  <si>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</si>
  <si>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</si>
  <si>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</si>
  <si>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</si>
  <si>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</si>
  <si>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</si>
  <si>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</si>
  <si>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</si>
  <si>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</si>
  <si>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</si>
  <si>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</si>
  <si>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</si>
  <si>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</si>
  <si>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</si>
  <si>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</si>
  <si>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</si>
  <si>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</si>
  <si>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</si>
  <si>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</si>
  <si>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</si>
  <si>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</si>
  <si>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</si>
  <si>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</si>
  <si>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</si>
  <si>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</si>
  <si>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</si>
  <si>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</si>
  <si>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</si>
  <si>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</si>
  <si>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</si>
  <si>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</si>
  <si>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</si>
  <si>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</si>
  <si>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</si>
  <si>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</si>
  <si>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</si>
  <si>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</si>
  <si>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</si>
  <si>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</si>
  <si>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</si>
  <si>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</si>
  <si>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</si>
  <si>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</si>
  <si>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</si>
  <si>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</si>
  <si>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</si>
  <si>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</si>
  <si>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</si>
  <si>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</si>
  <si>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</si>
  <si>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</si>
  <si>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</si>
  <si>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</si>
  <si>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</si>
  <si>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</si>
  <si>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</si>
  <si>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</si>
  <si>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</si>
  <si>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</si>
  <si>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</si>
  <si>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</si>
  <si>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</si>
  <si>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</si>
  <si>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</si>
  <si>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</si>
  <si>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</si>
  <si>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</si>
  <si>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</si>
  <si>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</si>
  <si>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</si>
  <si>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</si>
  <si>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</si>
  <si>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</si>
  <si>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</si>
  <si>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</si>
  <si>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</si>
  <si>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</si>
  <si>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</si>
  <si>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</si>
  <si>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</si>
  <si>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</si>
  <si>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</si>
  <si>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</si>
  <si>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</si>
  <si>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</si>
  <si>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</si>
  <si>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</si>
  <si>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</si>
  <si>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</si>
  <si>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</si>
  <si>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</si>
  <si>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</si>
  <si>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</si>
  <si>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</si>
  <si>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</si>
  <si>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</si>
  <si>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</si>
  <si>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</si>
  <si>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- 2020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</si>
  <si>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</si>
  <si>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</si>
  <si>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</si>
  <si>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</si>
  <si>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</si>
  <si>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</si>
  <si>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</si>
  <si>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</si>
  <si>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</si>
  <si>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</si>
  <si>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</si>
  <si>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</si>
  <si>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</si>
  <si>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Surcharge</t>
  </si>
  <si>
    <t>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</si>
</sst>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8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5" fontId="2" fillId="0" borderId="0" xfId="1" applyNumberFormat="1"/>
    <xf numFmtId="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5" fontId="1" fillId="0" borderId="3" xfId="1" applyNumberFormat="1" applyFont="1" applyBorder="1"/>
    <xf numFmtId="164" fontId="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5" fontId="6" fillId="0" borderId="0" xfId="2" applyNumberFormat="1" applyFont="1" applyAlignment="1">
      <alignment horizontal="right"/>
    </xf>
    <xf numFmtId="5" fontId="6" fillId="0" borderId="0" xfId="2" applyNumberFormat="1" applyFont="1"/>
    <xf numFmtId="5" fontId="7" fillId="0" borderId="0" xfId="0" applyNumberFormat="1" applyFont="1"/>
    <xf numFmtId="166" fontId="2" fillId="0" borderId="0" xfId="1" applyNumberFormat="1"/>
    <xf numFmtId="5" fontId="6" fillId="0" borderId="0" xfId="1" applyNumberFormat="1" applyFont="1"/>
    <xf numFmtId="5" fontId="6" fillId="0" borderId="0" xfId="0" applyNumberFormat="1" applyFont="1"/>
    <xf numFmtId="5" fontId="1" fillId="0" borderId="3" xfId="0" applyNumberFormat="1" applyFont="1" applyBorder="1"/>
    <xf numFmtId="5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5" fontId="2" fillId="0" borderId="3" xfId="2" applyNumberFormat="1" applyBorder="1" applyAlignment="1">
      <alignment horizontal="right"/>
    </xf>
    <xf numFmtId="5" fontId="2" fillId="0" borderId="3" xfId="2" applyNumberFormat="1" applyBorder="1"/>
    <xf numFmtId="5" fontId="2" fillId="0" borderId="0" xfId="0" applyNumberFormat="1" applyFont="1"/>
    <xf numFmtId="5" fontId="2" fillId="0" borderId="0" xfId="2" applyNumberFormat="1"/>
    <xf numFmtId="10" fontId="2" fillId="0" borderId="0" xfId="3" applyNumberFormat="1"/>
    <xf numFmtId="5" fontId="2" fillId="0" borderId="0" xfId="2" applyNumberFormat="1" applyAlignment="1">
      <alignment horizontal="right"/>
    </xf>
    <xf numFmtId="5" fontId="2" fillId="0" borderId="0" xfId="4" applyNumberFormat="1" applyFont="1" applyFill="1"/>
    <xf numFmtId="0" fontId="2" fillId="0" borderId="1" xfId="0" applyFont="1" applyBorder="1" applyAlignment="1">
      <alignment horizontal="left" vertical="center" wrapText="1"/>
    </xf>
    <xf numFmtId="5" fontId="2" fillId="0" borderId="1" xfId="2" applyNumberFormat="1" applyBorder="1" applyAlignment="1">
      <alignment horizontal="right" vertical="center"/>
    </xf>
    <xf numFmtId="5" fontId="2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wrapText="1"/>
    </xf>
    <xf numFmtId="5" fontId="1" fillId="0" borderId="2" xfId="2" applyNumberFormat="1" applyFont="1" applyBorder="1" applyAlignment="1">
      <alignment horizontal="right" vertical="center"/>
    </xf>
    <xf numFmtId="5" fontId="1" fillId="0" borderId="2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5" fontId="1" fillId="0" borderId="2" xfId="2" applyNumberFormat="1" applyFont="1" applyBorder="1" applyAlignment="1">
      <alignment horizontal="right" vertical="center"/>
    </xf>
    <xf numFmtId="5" fontId="6" fillId="0" borderId="2" xfId="2" applyNumberFormat="1" applyFont="1" applyBorder="1" applyAlignment="1">
      <alignment vertical="center"/>
    </xf>
    <xf numFmtId="164" fontId="10" fillId="0" borderId="3" xfId="2" applyNumberFormat="1" applyFont="1" applyBorder="1"/>
    <xf numFmtId="5" fontId="1" fillId="0" borderId="3" xfId="2" applyNumberFormat="1" applyFont="1" applyBorder="1"/>
    <xf numFmtId="3" fontId="4" fillId="0" borderId="0" xfId="1" applyNumberFormat="1" applyFont="1"/>
    <xf numFmtId="9" fontId="2" fillId="0" borderId="0" xfId="1" applyNumberFormat="1"/>
    <xf numFmtId="9" fontId="4" fillId="0" borderId="0" xfId="1" applyNumberFormat="1" applyFont="1"/>
    <xf numFmtId="3" fontId="2" fillId="0" borderId="0" xfId="2" applyNumberFormat="1"/>
    <xf numFmtId="164" fontId="2" fillId="0" borderId="0" xfId="0" applyNumberFormat="1" applyFont="1"/>
    <xf numFmtId="2" fontId="2" fillId="0" borderId="0" xfId="0" applyNumberFormat="1" applyFont="1"/>
    <xf numFmtId="167" fontId="2" fillId="0" borderId="0" xfId="2" applyNumberFormat="1"/>
    <xf numFmtId="3" fontId="2" fillId="0" borderId="0" xfId="0" applyNumberFormat="1" applyFont="1"/>
    <xf numFmtId="5" fontId="1" fillId="0" borderId="3" xfId="2" applyNumberFormat="1" applyFont="1" applyBorder="1" applyAlignment="1">
      <alignment vertical="center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/>
    <xf numFmtId="5" fontId="1" fillId="0" borderId="4" xfId="2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0" fillId="0" borderId="0" xfId="2" applyFont="1"/>
    <xf numFmtId="0" fontId="0" fillId="0" borderId="0" xfId="0" applyAlignment="1">
      <alignment horizontal="right"/>
    </xf>
    <xf numFmtId="43" fontId="2" fillId="0" borderId="0" xfId="1"/>
    <xf numFmtId="5" fontId="1" fillId="0" borderId="0" xfId="2" applyNumberFormat="1" applyFont="1" applyAlignment="1">
      <alignment vertical="center"/>
    </xf>
    <xf numFmtId="44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center"/>
    </xf>
    <xf numFmtId="166" fontId="2" fillId="0" borderId="0" xfId="1" applyNumberFormat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0" fillId="0" borderId="0" xfId="0" applyNumberFormat="1"/>
    <xf numFmtId="5" fontId="0" fillId="0" borderId="0" xfId="1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Protection="1">
      <protection locked="0"/>
    </xf>
    <xf numFmtId="0" fontId="0" fillId="0" borderId="0" xfId="0" applyAlignment="1">
      <alignment horizontal="left"/>
    </xf>
    <xf numFmtId="5" fontId="2" fillId="0" borderId="0" xfId="1" applyNumberFormat="1" applyProtection="1">
      <protection locked="0"/>
    </xf>
    <xf numFmtId="0" fontId="1" fillId="0" borderId="3" xfId="0" applyFont="1" applyBorder="1" applyAlignment="1">
      <alignment vertical="center"/>
    </xf>
    <xf numFmtId="5" fontId="1" fillId="0" borderId="3" xfId="0" applyNumberFormat="1" applyFont="1" applyBorder="1" applyAlignment="1">
      <alignment vertical="center"/>
    </xf>
    <xf numFmtId="5" fontId="1" fillId="0" borderId="3" xfId="1" applyNumberFormat="1" applyFont="1" applyBorder="1" applyAlignment="1">
      <alignment horizontal="right" vertical="center"/>
    </xf>
    <xf numFmtId="5" fontId="1" fillId="0" borderId="0" xfId="1" applyNumberFormat="1" applyFont="1" applyProtection="1">
      <protection locked="0"/>
    </xf>
    <xf numFmtId="5" fontId="1" fillId="0" borderId="4" xfId="1" applyNumberFormat="1" applyFont="1" applyBorder="1" applyAlignment="1">
      <alignment horizontal="right"/>
    </xf>
    <xf numFmtId="0" fontId="1" fillId="0" borderId="0" xfId="0" applyFont="1"/>
    <xf numFmtId="5" fontId="2" fillId="0" borderId="0" xfId="0" applyNumberFormat="1" applyFont="1" applyAlignment="1" applyProtection="1">
      <alignment horizontal="center"/>
      <protection locked="0"/>
    </xf>
    <xf numFmtId="0" fontId="15" fillId="0" borderId="0" xfId="0" applyFont="1"/>
    <xf numFmtId="5" fontId="0" fillId="0" borderId="1" xfId="0" applyNumberFormat="1" applyBorder="1"/>
    <xf numFmtId="43" fontId="6" fillId="0" borderId="1" xfId="1" applyFont="1" applyBorder="1"/>
    <xf numFmtId="0" fontId="16" fillId="0" borderId="0" xfId="0" applyFont="1"/>
    <xf numFmtId="5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3" xfId="0" applyFont="1" applyBorder="1" applyAlignment="1">
      <alignment horizontal="center" vertical="center"/>
    </xf>
    <xf numFmtId="5" fontId="1" fillId="0" borderId="0" xfId="1" applyNumberFormat="1" applyFont="1" applyAlignment="1">
      <alignment horizontal="right"/>
    </xf>
    <xf numFmtId="0" fontId="11" fillId="0" borderId="0" xfId="0" applyFont="1"/>
    <xf numFmtId="168" fontId="2" fillId="0" borderId="0" xfId="1" applyNumberFormat="1"/>
    <xf numFmtId="5" fontId="2" fillId="0" borderId="1" xfId="2" applyNumberFormat="1" applyBorder="1"/>
    <xf numFmtId="5" fontId="0" fillId="0" borderId="1" xfId="1" applyNumberFormat="1" applyFont="1" applyBorder="1"/>
    <xf numFmtId="5" fontId="1" fillId="0" borderId="0" xfId="2" applyNumberFormat="1" applyFont="1"/>
    <xf numFmtId="168" fontId="1" fillId="0" borderId="0" xfId="1" applyNumberFormat="1" applyFont="1"/>
    <xf numFmtId="5" fontId="2" fillId="0" borderId="1" xfId="0" applyNumberFormat="1" applyFont="1" applyBorder="1"/>
    <xf numFmtId="168" fontId="1" fillId="0" borderId="0" xfId="1" applyNumberFormat="1" applyFont="1" applyAlignment="1">
      <alignment horizontal="right"/>
    </xf>
    <xf numFmtId="166" fontId="0" fillId="0" borderId="0" xfId="0" applyNumberFormat="1"/>
    <xf numFmtId="166" fontId="6" fillId="0" borderId="0" xfId="1" applyNumberFormat="1" applyFont="1"/>
    <xf numFmtId="166" fontId="0" fillId="0" borderId="0" xfId="1" applyNumberFormat="1" applyFont="1"/>
    <xf numFmtId="7" fontId="2" fillId="0" borderId="0" xfId="2" applyNumberFormat="1"/>
    <xf numFmtId="169" fontId="2" fillId="0" borderId="0" xfId="2" applyNumberFormat="1"/>
    <xf numFmtId="164" fontId="2" fillId="0" borderId="0" xfId="1" applyNumberFormat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1" applyNumberFormat="1" applyFont="1"/>
    <xf numFmtId="164" fontId="1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Alignment="1">
      <alignment horizontal="right"/>
    </xf>
    <xf numFmtId="164" fontId="16" fillId="0" borderId="3" xfId="1" applyNumberFormat="1" applyFont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/>
    <xf numFmtId="5" fontId="9" fillId="0" borderId="0" xfId="2" applyNumberFormat="1" applyFont="1"/>
    <xf numFmtId="0" fontId="9" fillId="0" borderId="1" xfId="0" applyFont="1" applyBorder="1"/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8" fillId="0" borderId="0" xfId="0" applyFont="1"/>
    <xf numFmtId="5" fontId="2" fillId="0" borderId="1" xfId="1" applyNumberFormat="1" applyBorder="1"/>
    <xf numFmtId="0" fontId="0" fillId="0" borderId="3" xfId="0" applyBorder="1" applyAlignment="1">
      <alignment horizontal="center" vertical="center"/>
    </xf>
    <xf numFmtId="5" fontId="1" fillId="0" borderId="3" xfId="1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5" fontId="2" fillId="0" borderId="5" xfId="2" applyNumberFormat="1" applyBorder="1"/>
    <xf numFmtId="0" fontId="7" fillId="0" borderId="0" xfId="0" applyFont="1"/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horizontal="right"/>
    </xf>
    <xf numFmtId="1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5" fontId="1" fillId="0" borderId="4" xfId="1" applyNumberFormat="1" applyFont="1" applyBorder="1" applyAlignment="1">
      <alignment vertical="center"/>
    </xf>
    <xf numFmtId="164" fontId="1" fillId="0" borderId="0" xfId="0" applyNumberFormat="1" applyFont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1" fontId="26" fillId="0" borderId="0" xfId="0" applyNumberFormat="1" applyFont="1" applyAlignment="1">
      <alignment horizontal="center"/>
    </xf>
    <xf numFmtId="0" fontId="27" fillId="0" borderId="3" xfId="0" applyFont="1" applyBorder="1" applyAlignment="1">
      <alignment vertical="center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166" fontId="28" fillId="0" borderId="0" xfId="1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/>
    <xf numFmtId="0" fontId="23" fillId="0" borderId="0" xfId="0" applyFont="1" applyAlignment="1">
      <alignment vertical="center"/>
    </xf>
    <xf numFmtId="166" fontId="23" fillId="0" borderId="0" xfId="1" applyNumberFormat="1" applyFont="1" applyAlignment="1">
      <alignment vertical="center"/>
    </xf>
    <xf numFmtId="0" fontId="2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166" fontId="23" fillId="0" borderId="0" xfId="1" applyNumberFormat="1" applyFont="1"/>
    <xf numFmtId="0" fontId="3" fillId="0" borderId="0" xfId="0" quotePrefix="1" applyFont="1" applyAlignment="1">
      <alignment horizontal="left" vertical="center"/>
    </xf>
    <xf numFmtId="166" fontId="26" fillId="0" borderId="0" xfId="1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29" fillId="0" borderId="3" xfId="1" applyNumberFormat="1" applyFont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9" fontId="3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3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7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%20ERM%20and%20REC%20Reports/2020/11.2020/Nov%202020%20WA%20%20ID%20Actual%20Deferrals%20-%20Snaps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 Summary  (2)"/>
      <sheetName val="Instructions"/>
      <sheetName val="Input Tab"/>
      <sheetName val="WA Summary "/>
      <sheetName val="WA Monthly"/>
      <sheetName val="WA RRC"/>
      <sheetName val="ID Summary"/>
      <sheetName val="ID Monthly"/>
      <sheetName val="ID LCA"/>
      <sheetName val="Solar Select"/>
      <sheetName val="Old"/>
    </sheetNames>
    <sheetDataSet>
      <sheetData sheetId="0"/>
      <sheetData sheetId="1"/>
      <sheetData sheetId="2">
        <row r="19">
          <cell r="C19">
            <v>1399478.31</v>
          </cell>
          <cell r="D19">
            <v>1399478.7</v>
          </cell>
          <cell r="E19">
            <v>1399478.7</v>
          </cell>
          <cell r="F19">
            <v>1399478.7</v>
          </cell>
          <cell r="G19">
            <v>1399478.7</v>
          </cell>
          <cell r="H19">
            <v>1399478.7</v>
          </cell>
          <cell r="I19">
            <v>1399478.7</v>
          </cell>
          <cell r="J19">
            <v>1399478.7</v>
          </cell>
          <cell r="K19">
            <v>1399478.7</v>
          </cell>
          <cell r="L19">
            <v>1399478.7</v>
          </cell>
          <cell r="M19">
            <v>1399478.7</v>
          </cell>
        </row>
        <row r="20">
          <cell r="C20">
            <v>128411.73</v>
          </cell>
          <cell r="D20">
            <v>137330.93</v>
          </cell>
          <cell r="E20">
            <v>81843.8</v>
          </cell>
          <cell r="F20">
            <v>100045.66</v>
          </cell>
          <cell r="G20">
            <v>134694.49</v>
          </cell>
          <cell r="H20">
            <v>132024.47</v>
          </cell>
          <cell r="I20">
            <v>286565.39</v>
          </cell>
          <cell r="J20">
            <v>290571.23</v>
          </cell>
          <cell r="K20">
            <v>151212.51999999999</v>
          </cell>
          <cell r="L20">
            <v>139959.9</v>
          </cell>
          <cell r="M20">
            <v>154479.64000000001</v>
          </cell>
        </row>
        <row r="21">
          <cell r="C21">
            <v>207000</v>
          </cell>
          <cell r="D21">
            <v>207000</v>
          </cell>
          <cell r="E21">
            <v>207000</v>
          </cell>
          <cell r="F21">
            <v>207000</v>
          </cell>
          <cell r="G21">
            <v>207000</v>
          </cell>
          <cell r="H21">
            <v>207000</v>
          </cell>
          <cell r="I21">
            <v>207000</v>
          </cell>
          <cell r="J21">
            <v>207000</v>
          </cell>
          <cell r="K21">
            <v>207000</v>
          </cell>
          <cell r="L21">
            <v>207000</v>
          </cell>
          <cell r="M21">
            <v>207000</v>
          </cell>
        </row>
        <row r="22">
          <cell r="C22">
            <v>845499.03</v>
          </cell>
          <cell r="D22">
            <v>845499.03</v>
          </cell>
          <cell r="E22">
            <v>845499.03</v>
          </cell>
          <cell r="F22">
            <v>679413.99</v>
          </cell>
          <cell r="G22">
            <v>845499.03</v>
          </cell>
          <cell r="H22">
            <v>845499.03</v>
          </cell>
          <cell r="I22">
            <v>845499.03</v>
          </cell>
          <cell r="J22">
            <v>845499.03</v>
          </cell>
          <cell r="K22">
            <v>845499.03</v>
          </cell>
          <cell r="L22">
            <v>845499.03</v>
          </cell>
          <cell r="M22">
            <v>845499.03</v>
          </cell>
        </row>
        <row r="24">
          <cell r="C24">
            <v>968.55</v>
          </cell>
          <cell r="D24">
            <v>1161.75</v>
          </cell>
          <cell r="E24">
            <v>1170.1500000000001</v>
          </cell>
          <cell r="F24">
            <v>1074.55</v>
          </cell>
          <cell r="G24">
            <v>1120.75</v>
          </cell>
          <cell r="H24">
            <v>931.75</v>
          </cell>
          <cell r="I24">
            <v>839.35</v>
          </cell>
          <cell r="J24">
            <v>919.15</v>
          </cell>
          <cell r="K24">
            <v>851.95</v>
          </cell>
          <cell r="L24">
            <v>814.15</v>
          </cell>
          <cell r="M24">
            <v>965.35</v>
          </cell>
        </row>
        <row r="25">
          <cell r="C25">
            <v>135480.57999999999</v>
          </cell>
          <cell r="D25">
            <v>178167.95</v>
          </cell>
          <cell r="E25">
            <v>136054.45000000001</v>
          </cell>
          <cell r="F25">
            <v>148758.28</v>
          </cell>
          <cell r="G25">
            <v>128742.88</v>
          </cell>
          <cell r="H25">
            <v>142915.95000000001</v>
          </cell>
          <cell r="I25">
            <v>177518.57</v>
          </cell>
          <cell r="J25">
            <v>94180.56</v>
          </cell>
          <cell r="K25">
            <v>63439.91</v>
          </cell>
          <cell r="L25">
            <v>77908.820000000007</v>
          </cell>
          <cell r="M25">
            <v>95974</v>
          </cell>
          <cell r="N25">
            <v>0</v>
          </cell>
        </row>
        <row r="35">
          <cell r="C35">
            <v>160535.57999999999</v>
          </cell>
          <cell r="D35">
            <v>132053.53</v>
          </cell>
          <cell r="E35">
            <v>109083</v>
          </cell>
          <cell r="F35">
            <v>75548.62</v>
          </cell>
          <cell r="G35">
            <v>149166.75</v>
          </cell>
          <cell r="H35">
            <v>140831.19</v>
          </cell>
          <cell r="I35">
            <v>196042.7</v>
          </cell>
          <cell r="J35">
            <v>106038.75</v>
          </cell>
          <cell r="K35">
            <v>188824.99</v>
          </cell>
          <cell r="L35">
            <v>181680.73</v>
          </cell>
          <cell r="M35">
            <v>127503.67999999999</v>
          </cell>
        </row>
        <row r="36">
          <cell r="C36">
            <v>220402.28</v>
          </cell>
          <cell r="D36">
            <v>348736.64</v>
          </cell>
          <cell r="E36">
            <v>173787.24</v>
          </cell>
          <cell r="F36">
            <v>254261.04</v>
          </cell>
          <cell r="G36">
            <v>196120.98</v>
          </cell>
          <cell r="H36">
            <v>212728.12</v>
          </cell>
          <cell r="I36">
            <v>56660.66</v>
          </cell>
          <cell r="J36">
            <v>0</v>
          </cell>
          <cell r="K36">
            <v>90.44</v>
          </cell>
          <cell r="L36">
            <v>58107.7</v>
          </cell>
          <cell r="M36">
            <v>190104.88</v>
          </cell>
        </row>
        <row r="37">
          <cell r="C37">
            <v>539215.56000000006</v>
          </cell>
          <cell r="D37">
            <v>522866.52</v>
          </cell>
          <cell r="E37">
            <v>444785.4</v>
          </cell>
          <cell r="F37">
            <v>423831.24</v>
          </cell>
          <cell r="G37">
            <v>339112.08</v>
          </cell>
          <cell r="H37">
            <v>470134.44</v>
          </cell>
          <cell r="I37">
            <v>573175.14</v>
          </cell>
          <cell r="J37">
            <v>483558.18</v>
          </cell>
          <cell r="K37">
            <v>500664.12</v>
          </cell>
          <cell r="L37">
            <v>533261.28</v>
          </cell>
          <cell r="M37">
            <v>435520.26</v>
          </cell>
        </row>
        <row r="38">
          <cell r="C38">
            <v>-310.67</v>
          </cell>
          <cell r="D38">
            <v>1667.01</v>
          </cell>
          <cell r="E38">
            <v>1578.6</v>
          </cell>
          <cell r="F38">
            <v>1431.24</v>
          </cell>
          <cell r="G38">
            <v>1519.65</v>
          </cell>
          <cell r="H38">
            <v>1309.6600000000001</v>
          </cell>
          <cell r="I38">
            <v>1309.6600000000001</v>
          </cell>
          <cell r="J38">
            <v>1324.4</v>
          </cell>
          <cell r="K38">
            <v>1490.18</v>
          </cell>
          <cell r="L38">
            <v>426.87</v>
          </cell>
          <cell r="M38">
            <v>1243.3499999999999</v>
          </cell>
        </row>
        <row r="39">
          <cell r="C39">
            <v>2414740.9500000002</v>
          </cell>
          <cell r="D39">
            <v>2327885.33</v>
          </cell>
          <cell r="E39">
            <v>2427120.0099999998</v>
          </cell>
          <cell r="F39">
            <v>2402619.56</v>
          </cell>
          <cell r="G39">
            <v>2109927.89</v>
          </cell>
          <cell r="H39">
            <v>2056488.14</v>
          </cell>
          <cell r="I39">
            <v>2224624.33</v>
          </cell>
          <cell r="J39">
            <v>2406556.9900000002</v>
          </cell>
          <cell r="K39">
            <v>2426541.3199999998</v>
          </cell>
          <cell r="L39">
            <v>2416329.25</v>
          </cell>
          <cell r="M39">
            <v>2423747.4700000002</v>
          </cell>
        </row>
        <row r="40">
          <cell r="C40">
            <v>3334132.48</v>
          </cell>
          <cell r="D40">
            <v>2160327.6800000002</v>
          </cell>
          <cell r="E40">
            <v>2406190.0800000001</v>
          </cell>
          <cell r="F40">
            <v>1890255.36</v>
          </cell>
          <cell r="G40">
            <v>1607701.76</v>
          </cell>
          <cell r="H40">
            <v>1548995.84</v>
          </cell>
          <cell r="I40">
            <v>1461187.84</v>
          </cell>
          <cell r="J40">
            <v>1087063.04</v>
          </cell>
          <cell r="K40">
            <v>1207861.76</v>
          </cell>
          <cell r="L40">
            <v>2037333.76</v>
          </cell>
          <cell r="M40">
            <v>2649543.6800000002</v>
          </cell>
        </row>
        <row r="41">
          <cell r="K41">
            <v>7981.09</v>
          </cell>
          <cell r="L41">
            <v>106131.3</v>
          </cell>
          <cell r="M41">
            <v>182155.07</v>
          </cell>
        </row>
        <row r="45">
          <cell r="C45">
            <v>-114195.96</v>
          </cell>
          <cell r="D45">
            <v>-57978.06</v>
          </cell>
          <cell r="E45">
            <v>-77242.25</v>
          </cell>
          <cell r="F45">
            <v>-67203.78</v>
          </cell>
          <cell r="G45">
            <v>-32500.65</v>
          </cell>
          <cell r="H45">
            <v>-15887.4</v>
          </cell>
          <cell r="I45">
            <v>-53470.2</v>
          </cell>
          <cell r="J45">
            <v>-112902.3</v>
          </cell>
          <cell r="K45">
            <v>-106143.78</v>
          </cell>
          <cell r="L45">
            <v>-85307.18</v>
          </cell>
          <cell r="M45">
            <v>-81101.399999999994</v>
          </cell>
        </row>
        <row r="46">
          <cell r="C46">
            <v>-12941.86</v>
          </cell>
          <cell r="D46">
            <v>-12179.47</v>
          </cell>
          <cell r="E46">
            <v>-12625.97</v>
          </cell>
          <cell r="F46">
            <v>-12124.37</v>
          </cell>
          <cell r="G46">
            <v>-12236.47</v>
          </cell>
          <cell r="H46">
            <v>-10556.4</v>
          </cell>
          <cell r="I46">
            <v>-9099.57</v>
          </cell>
          <cell r="J46">
            <v>-9146.1299999999992</v>
          </cell>
          <cell r="K46">
            <v>-10129.69</v>
          </cell>
          <cell r="L46">
            <v>-10317.780000000001</v>
          </cell>
          <cell r="M46">
            <v>-10240.07</v>
          </cell>
        </row>
        <row r="47">
          <cell r="C47">
            <v>-57586.58</v>
          </cell>
          <cell r="D47">
            <v>-47591.28</v>
          </cell>
          <cell r="E47">
            <v>-55025.2</v>
          </cell>
          <cell r="F47">
            <v>-52181.02</v>
          </cell>
          <cell r="G47">
            <v>-40336</v>
          </cell>
          <cell r="H47">
            <v>-25066.959999999999</v>
          </cell>
          <cell r="I47">
            <v>-24560.959999999999</v>
          </cell>
          <cell r="J47">
            <v>-21079.66</v>
          </cell>
          <cell r="K47">
            <v>-19637.919999999998</v>
          </cell>
          <cell r="L47">
            <v>-29773.72</v>
          </cell>
          <cell r="M47">
            <v>-29998.82</v>
          </cell>
        </row>
        <row r="50">
          <cell r="C50">
            <v>53540</v>
          </cell>
          <cell r="D50">
            <v>47910</v>
          </cell>
          <cell r="E50">
            <v>43672</v>
          </cell>
          <cell r="F50">
            <v>49482</v>
          </cell>
          <cell r="G50">
            <v>0</v>
          </cell>
          <cell r="H50">
            <v>372</v>
          </cell>
          <cell r="I50">
            <v>26216</v>
          </cell>
          <cell r="J50">
            <v>50160</v>
          </cell>
          <cell r="K50">
            <v>58138</v>
          </cell>
          <cell r="L50">
            <v>53378</v>
          </cell>
          <cell r="M50">
            <v>31012</v>
          </cell>
        </row>
        <row r="51">
          <cell r="C51">
            <v>94106</v>
          </cell>
          <cell r="D51">
            <v>71708</v>
          </cell>
          <cell r="E51">
            <v>82836</v>
          </cell>
          <cell r="F51">
            <v>78696</v>
          </cell>
          <cell r="G51">
            <v>25604</v>
          </cell>
          <cell r="H51">
            <v>28502</v>
          </cell>
          <cell r="I51">
            <v>62875</v>
          </cell>
          <cell r="J51">
            <v>88085</v>
          </cell>
          <cell r="K51">
            <v>51780</v>
          </cell>
          <cell r="L51">
            <v>35440</v>
          </cell>
          <cell r="M51">
            <v>55125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988F-4CEE-4778-A044-1E7FCB2D266D}">
  <sheetPr>
    <pageSetUpPr fitToPage="1"/>
  </sheetPr>
  <dimension ref="A1:S89"/>
  <sheetViews>
    <sheetView tabSelected="1" zoomScaleNormal="100" workbookViewId="0">
      <pane xSplit="3" ySplit="5" topLeftCell="K27" activePane="bottomRight" state="frozen"/>
      <selection activeCell="M42" sqref="M42"/>
      <selection pane="topRight" activeCell="M42" sqref="M42"/>
      <selection pane="bottomLeft" activeCell="M42" sqref="M42"/>
      <selection pane="bottomRight" activeCell="M42" sqref="M42"/>
    </sheetView>
  </sheetViews>
  <sheetFormatPr defaultColWidth="9.1328125" defaultRowHeight="12.75" outlineLevelRow="1" outlineLevelCol="1"/>
  <cols>
    <col min="1" max="1" width="4.86328125" style="5" customWidth="1"/>
    <col min="2" max="2" width="10.73046875" style="2" customWidth="1"/>
    <col min="3" max="3" width="24.265625" style="2" customWidth="1"/>
    <col min="4" max="4" width="9" style="2" customWidth="1" outlineLevel="1"/>
    <col min="5" max="5" width="5.265625" style="2" customWidth="1" outlineLevel="1"/>
    <col min="6" max="6" width="14.59765625" style="2" bestFit="1" customWidth="1"/>
    <col min="7" max="10" width="15.73046875" style="2" bestFit="1" customWidth="1"/>
    <col min="11" max="11" width="12.73046875" style="2" customWidth="1"/>
    <col min="12" max="17" width="15.73046875" style="2" bestFit="1" customWidth="1"/>
    <col min="18" max="18" width="13.1328125" style="2" customWidth="1"/>
    <col min="19" max="19" width="13.86328125" style="2" customWidth="1"/>
    <col min="20" max="20" width="13.1328125" style="2" customWidth="1"/>
    <col min="21" max="16384" width="9.1328125" style="2"/>
  </cols>
  <sheetData>
    <row r="1" spans="1:19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>
      <c r="A3" s="4" t="s">
        <v>2</v>
      </c>
    </row>
    <row r="4" spans="1:19" ht="13.15">
      <c r="A4" s="5" t="s">
        <v>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9" ht="13.15">
      <c r="B5" s="7" t="s">
        <v>4</v>
      </c>
      <c r="C5" s="8"/>
      <c r="D5" s="9" t="s">
        <v>5</v>
      </c>
      <c r="E5" s="9"/>
      <c r="F5" s="10">
        <v>43861</v>
      </c>
      <c r="G5" s="10">
        <v>43890</v>
      </c>
      <c r="H5" s="10">
        <v>43921</v>
      </c>
      <c r="I5" s="10">
        <v>43951</v>
      </c>
      <c r="J5" s="10">
        <v>43982</v>
      </c>
      <c r="K5" s="10">
        <v>44012</v>
      </c>
      <c r="L5" s="10">
        <v>44043</v>
      </c>
      <c r="M5" s="10">
        <v>44074</v>
      </c>
      <c r="N5" s="10">
        <v>44104</v>
      </c>
      <c r="O5" s="10">
        <v>44135</v>
      </c>
      <c r="P5" s="10">
        <v>44165</v>
      </c>
      <c r="Q5" s="10">
        <v>44196</v>
      </c>
    </row>
    <row r="6" spans="1:19" ht="15.95" customHeight="1">
      <c r="A6" s="5">
        <v>1</v>
      </c>
      <c r="B6" s="2" t="s">
        <v>6</v>
      </c>
      <c r="D6" s="11">
        <v>112303626</v>
      </c>
      <c r="E6" s="11"/>
      <c r="F6" s="12">
        <v>13017722</v>
      </c>
      <c r="G6" s="12">
        <v>11062158</v>
      </c>
      <c r="H6" s="12">
        <v>9087202</v>
      </c>
      <c r="I6" s="12">
        <v>9946840</v>
      </c>
      <c r="J6" s="12">
        <v>8799131</v>
      </c>
      <c r="K6" s="12">
        <v>8298962</v>
      </c>
      <c r="L6" s="12">
        <v>9869695</v>
      </c>
      <c r="M6" s="12">
        <v>10928100</v>
      </c>
      <c r="N6" s="12">
        <v>9569453</v>
      </c>
      <c r="O6" s="12">
        <v>10017659</v>
      </c>
      <c r="P6" s="12">
        <v>11706704</v>
      </c>
      <c r="Q6" s="12">
        <v>0</v>
      </c>
    </row>
    <row r="7" spans="1:19" ht="15.95" customHeight="1">
      <c r="A7" s="5">
        <v>2</v>
      </c>
      <c r="B7" s="2" t="s">
        <v>7</v>
      </c>
      <c r="D7" s="13">
        <v>-75023643</v>
      </c>
      <c r="E7" s="13"/>
      <c r="F7" s="12">
        <v>-7818222</v>
      </c>
      <c r="G7" s="12">
        <v>-6959624</v>
      </c>
      <c r="H7" s="12">
        <v>-7153299</v>
      </c>
      <c r="I7" s="12">
        <v>-8911921</v>
      </c>
      <c r="J7" s="12">
        <v>-6434480</v>
      </c>
      <c r="K7" s="12">
        <v>-6204608</v>
      </c>
      <c r="L7" s="12">
        <v>-6841567</v>
      </c>
      <c r="M7" s="12">
        <v>-7823003</v>
      </c>
      <c r="N7" s="12">
        <v>-4852075</v>
      </c>
      <c r="O7" s="12">
        <v>-5606876</v>
      </c>
      <c r="P7" s="12">
        <v>-6417968</v>
      </c>
      <c r="Q7" s="12">
        <v>0</v>
      </c>
    </row>
    <row r="8" spans="1:19" ht="15.95" customHeight="1">
      <c r="A8" s="5">
        <v>3</v>
      </c>
      <c r="B8" s="2" t="s">
        <v>8</v>
      </c>
      <c r="D8" s="14">
        <v>25111243</v>
      </c>
      <c r="E8" s="14"/>
      <c r="F8" s="12">
        <v>3239078</v>
      </c>
      <c r="G8" s="12">
        <v>3399540</v>
      </c>
      <c r="H8" s="12">
        <v>2878210</v>
      </c>
      <c r="I8" s="12">
        <v>2804144</v>
      </c>
      <c r="J8" s="12">
        <v>738421</v>
      </c>
      <c r="K8" s="12">
        <v>830465</v>
      </c>
      <c r="L8" s="12">
        <v>2120045</v>
      </c>
      <c r="M8" s="12">
        <v>3116082</v>
      </c>
      <c r="N8" s="12">
        <v>2273596</v>
      </c>
      <c r="O8" s="12">
        <v>1759242</v>
      </c>
      <c r="P8" s="12">
        <v>1952420</v>
      </c>
      <c r="Q8" s="12">
        <v>0</v>
      </c>
    </row>
    <row r="9" spans="1:19" ht="15.95" customHeight="1">
      <c r="A9" s="5">
        <v>4</v>
      </c>
      <c r="B9" s="2" t="s">
        <v>9</v>
      </c>
      <c r="D9" s="14">
        <v>47060691</v>
      </c>
      <c r="E9" s="14"/>
      <c r="F9" s="12">
        <v>4925752</v>
      </c>
      <c r="G9" s="12">
        <v>4098939</v>
      </c>
      <c r="H9" s="12">
        <v>5475241</v>
      </c>
      <c r="I9" s="12">
        <v>4372539</v>
      </c>
      <c r="J9" s="12">
        <v>1216784</v>
      </c>
      <c r="K9" s="12">
        <v>1098993</v>
      </c>
      <c r="L9" s="12">
        <v>3030971</v>
      </c>
      <c r="M9" s="12">
        <v>5587553</v>
      </c>
      <c r="N9" s="12">
        <v>5566648</v>
      </c>
      <c r="O9" s="12">
        <v>5945096</v>
      </c>
      <c r="P9" s="12">
        <v>5742175</v>
      </c>
      <c r="Q9" s="12">
        <v>0</v>
      </c>
    </row>
    <row r="10" spans="1:19" ht="15.95" customHeight="1">
      <c r="A10" s="5">
        <v>5</v>
      </c>
      <c r="B10" s="2" t="s">
        <v>10</v>
      </c>
      <c r="C10" s="15"/>
      <c r="D10" s="13">
        <v>-18361997</v>
      </c>
      <c r="E10" s="13"/>
      <c r="F10" s="12">
        <v>-1243451</v>
      </c>
      <c r="G10" s="12">
        <v>-1543693</v>
      </c>
      <c r="H10" s="12">
        <v>-1301455</v>
      </c>
      <c r="I10" s="12">
        <v>-1234355</v>
      </c>
      <c r="J10" s="12">
        <v>-1770551</v>
      </c>
      <c r="K10" s="12">
        <v>-1863759</v>
      </c>
      <c r="L10" s="12">
        <v>-2093088</v>
      </c>
      <c r="M10" s="12">
        <v>-2276333</v>
      </c>
      <c r="N10" s="12">
        <v>-1946949</v>
      </c>
      <c r="O10" s="12">
        <v>-1898627</v>
      </c>
      <c r="P10" s="12">
        <v>-1189736</v>
      </c>
      <c r="Q10" s="12">
        <v>0</v>
      </c>
    </row>
    <row r="11" spans="1:19" ht="15.95" customHeight="1">
      <c r="A11" s="5">
        <v>6</v>
      </c>
      <c r="B11" s="2" t="s">
        <v>11</v>
      </c>
      <c r="C11" s="15"/>
      <c r="D11" s="14">
        <v>15164090</v>
      </c>
      <c r="E11" s="14"/>
      <c r="F11" s="12">
        <v>1402067</v>
      </c>
      <c r="G11" s="12">
        <v>1376344</v>
      </c>
      <c r="H11" s="12">
        <v>1401845</v>
      </c>
      <c r="I11" s="12">
        <v>1362596</v>
      </c>
      <c r="J11" s="12">
        <v>1328690</v>
      </c>
      <c r="K11" s="12">
        <v>1327383</v>
      </c>
      <c r="L11" s="12">
        <v>1407838</v>
      </c>
      <c r="M11" s="12">
        <v>1374950</v>
      </c>
      <c r="N11" s="12">
        <v>1394933</v>
      </c>
      <c r="O11" s="12">
        <v>1430774</v>
      </c>
      <c r="P11" s="12">
        <v>1356670</v>
      </c>
      <c r="Q11" s="12">
        <v>0</v>
      </c>
    </row>
    <row r="12" spans="1:19" ht="15.95" customHeight="1">
      <c r="A12" s="5">
        <v>7</v>
      </c>
      <c r="B12" s="2" t="s">
        <v>12</v>
      </c>
      <c r="C12" s="15"/>
      <c r="D12" s="14">
        <v>475625</v>
      </c>
      <c r="E12" s="14"/>
      <c r="F12" s="12">
        <v>38542</v>
      </c>
      <c r="G12" s="12">
        <v>36423</v>
      </c>
      <c r="H12" s="12">
        <v>45505</v>
      </c>
      <c r="I12" s="12">
        <v>50069</v>
      </c>
      <c r="J12" s="12">
        <v>44758</v>
      </c>
      <c r="K12" s="12">
        <v>38119</v>
      </c>
      <c r="L12" s="12">
        <v>47733</v>
      </c>
      <c r="M12" s="12">
        <v>20949</v>
      </c>
      <c r="N12" s="12">
        <v>71138</v>
      </c>
      <c r="O12" s="12">
        <v>45449</v>
      </c>
      <c r="P12" s="12">
        <v>36940</v>
      </c>
      <c r="Q12" s="12">
        <v>0</v>
      </c>
    </row>
    <row r="13" spans="1:19" ht="15.95" customHeight="1">
      <c r="A13" s="5">
        <v>8</v>
      </c>
      <c r="B13" s="16" t="s">
        <v>13</v>
      </c>
      <c r="C13" s="16"/>
      <c r="D13" s="17">
        <v>106729635</v>
      </c>
      <c r="E13" s="17"/>
      <c r="F13" s="18">
        <v>13561488</v>
      </c>
      <c r="G13" s="18">
        <v>11470087</v>
      </c>
      <c r="H13" s="18">
        <v>10433249</v>
      </c>
      <c r="I13" s="18">
        <v>8389912</v>
      </c>
      <c r="J13" s="18">
        <v>3922753</v>
      </c>
      <c r="K13" s="18">
        <v>3525555</v>
      </c>
      <c r="L13" s="18">
        <v>7541627</v>
      </c>
      <c r="M13" s="18">
        <v>10928298</v>
      </c>
      <c r="N13" s="18">
        <v>12076744</v>
      </c>
      <c r="O13" s="18">
        <v>11692717</v>
      </c>
      <c r="P13" s="18">
        <v>13187205</v>
      </c>
      <c r="Q13" s="18">
        <v>0</v>
      </c>
    </row>
    <row r="14" spans="1:19" ht="37.5" customHeight="1">
      <c r="B14" s="7" t="s">
        <v>14</v>
      </c>
      <c r="C14" s="8"/>
      <c r="D14" s="19" t="s">
        <v>15</v>
      </c>
      <c r="E14" s="20"/>
      <c r="F14" s="21">
        <v>43861</v>
      </c>
      <c r="G14" s="21">
        <v>43890</v>
      </c>
      <c r="H14" s="21">
        <v>43921</v>
      </c>
      <c r="I14" s="21">
        <v>43951</v>
      </c>
      <c r="J14" s="21">
        <v>43982</v>
      </c>
      <c r="K14" s="21">
        <v>44012</v>
      </c>
      <c r="L14" s="21">
        <v>44043</v>
      </c>
      <c r="M14" s="21">
        <v>44074</v>
      </c>
      <c r="N14" s="21">
        <v>44104</v>
      </c>
      <c r="O14" s="21">
        <v>44135</v>
      </c>
      <c r="P14" s="21">
        <v>44165</v>
      </c>
      <c r="Q14" s="21">
        <v>44196</v>
      </c>
    </row>
    <row r="15" spans="1:19" ht="15.95" customHeight="1">
      <c r="A15" s="5">
        <v>9</v>
      </c>
      <c r="B15" s="2" t="s">
        <v>6</v>
      </c>
      <c r="C15" s="15"/>
      <c r="D15" s="22">
        <v>99282453</v>
      </c>
      <c r="E15" s="22"/>
      <c r="F15" s="23">
        <v>11810646</v>
      </c>
      <c r="G15" s="23">
        <v>10948943</v>
      </c>
      <c r="H15" s="23">
        <v>10208756</v>
      </c>
      <c r="I15" s="23">
        <v>9754466</v>
      </c>
      <c r="J15" s="23">
        <v>7204007</v>
      </c>
      <c r="K15" s="23">
        <v>6832768</v>
      </c>
      <c r="L15" s="23">
        <v>7367141</v>
      </c>
      <c r="M15" s="23">
        <v>8064916</v>
      </c>
      <c r="N15" s="23">
        <v>7448796</v>
      </c>
      <c r="O15" s="23">
        <v>7999787</v>
      </c>
      <c r="P15" s="23">
        <v>11642227</v>
      </c>
      <c r="Q15" s="23">
        <v>12112599</v>
      </c>
      <c r="R15" s="24"/>
      <c r="S15" s="25"/>
    </row>
    <row r="16" spans="1:19" ht="15.95" customHeight="1">
      <c r="A16" s="5">
        <v>10</v>
      </c>
      <c r="B16" s="2" t="s">
        <v>7</v>
      </c>
      <c r="C16" s="15"/>
      <c r="D16" s="22">
        <v>-47783833</v>
      </c>
      <c r="E16" s="22"/>
      <c r="F16" s="26">
        <v>-5410854</v>
      </c>
      <c r="G16" s="26">
        <v>-3688134</v>
      </c>
      <c r="H16" s="26">
        <v>-4363041</v>
      </c>
      <c r="I16" s="26">
        <v>-6216672</v>
      </c>
      <c r="J16" s="26">
        <v>-3992970</v>
      </c>
      <c r="K16" s="26">
        <v>-3782256</v>
      </c>
      <c r="L16" s="26">
        <v>-5325599</v>
      </c>
      <c r="M16" s="26">
        <v>-3215251</v>
      </c>
      <c r="N16" s="26">
        <v>-4016772</v>
      </c>
      <c r="O16" s="26">
        <v>-3304259</v>
      </c>
      <c r="P16" s="26">
        <v>-4468025</v>
      </c>
      <c r="Q16" s="26">
        <v>-6320023</v>
      </c>
      <c r="R16" s="24"/>
      <c r="S16" s="25"/>
    </row>
    <row r="17" spans="1:19" ht="15.95" customHeight="1">
      <c r="A17" s="5">
        <v>11</v>
      </c>
      <c r="B17" s="2" t="s">
        <v>8</v>
      </c>
      <c r="C17" s="15"/>
      <c r="D17" s="22">
        <v>26170049</v>
      </c>
      <c r="E17" s="22"/>
      <c r="F17" s="23">
        <v>2892906</v>
      </c>
      <c r="G17" s="23">
        <v>2671552</v>
      </c>
      <c r="H17" s="23">
        <v>2768328</v>
      </c>
      <c r="I17" s="23">
        <v>2491505</v>
      </c>
      <c r="J17" s="23">
        <v>1551263</v>
      </c>
      <c r="K17" s="23">
        <v>1358751</v>
      </c>
      <c r="L17" s="23">
        <v>2219592</v>
      </c>
      <c r="M17" s="23">
        <v>2478125</v>
      </c>
      <c r="N17" s="23">
        <v>2578207</v>
      </c>
      <c r="O17" s="23">
        <v>2592987</v>
      </c>
      <c r="P17" s="23">
        <v>2566833</v>
      </c>
      <c r="Q17" s="23">
        <v>2703884</v>
      </c>
      <c r="R17" s="24"/>
      <c r="S17" s="25"/>
    </row>
    <row r="18" spans="1:19" ht="15.95" customHeight="1">
      <c r="A18" s="5">
        <v>12</v>
      </c>
      <c r="B18" s="2" t="s">
        <v>9</v>
      </c>
      <c r="C18" s="15"/>
      <c r="D18" s="22">
        <v>61669730</v>
      </c>
      <c r="E18" s="22"/>
      <c r="F18" s="23">
        <v>8800467</v>
      </c>
      <c r="G18" s="23">
        <v>7046200</v>
      </c>
      <c r="H18" s="23">
        <v>6405717</v>
      </c>
      <c r="I18" s="23">
        <v>4139185</v>
      </c>
      <c r="J18" s="23">
        <v>1426182</v>
      </c>
      <c r="K18" s="23">
        <v>1698327</v>
      </c>
      <c r="L18" s="23">
        <v>5653252</v>
      </c>
      <c r="M18" s="23">
        <v>7341418</v>
      </c>
      <c r="N18" s="23">
        <v>6493558</v>
      </c>
      <c r="O18" s="23">
        <v>6103470</v>
      </c>
      <c r="P18" s="23">
        <v>6561954</v>
      </c>
      <c r="Q18" s="23">
        <v>8397561</v>
      </c>
      <c r="R18" s="24"/>
    </row>
    <row r="19" spans="1:19" ht="15.95" customHeight="1">
      <c r="A19" s="5">
        <v>13</v>
      </c>
      <c r="B19" s="2" t="s">
        <v>10</v>
      </c>
      <c r="C19" s="15"/>
      <c r="D19" s="22">
        <v>-13957988</v>
      </c>
      <c r="E19" s="22"/>
      <c r="F19" s="26">
        <v>-1062694</v>
      </c>
      <c r="G19" s="26">
        <v>-1178481</v>
      </c>
      <c r="H19" s="26">
        <v>-1177115</v>
      </c>
      <c r="I19" s="26">
        <v>-1141305</v>
      </c>
      <c r="J19" s="26">
        <v>-1253488</v>
      </c>
      <c r="K19" s="26">
        <v>-1398529</v>
      </c>
      <c r="L19" s="26">
        <v>-1450378</v>
      </c>
      <c r="M19" s="26">
        <v>-1346819</v>
      </c>
      <c r="N19" s="26">
        <v>-1372213</v>
      </c>
      <c r="O19" s="26">
        <v>-1319316</v>
      </c>
      <c r="P19" s="26">
        <v>-1257650</v>
      </c>
      <c r="Q19" s="26">
        <v>-1191496</v>
      </c>
      <c r="R19" s="24"/>
    </row>
    <row r="20" spans="1:19" ht="15.95" customHeight="1">
      <c r="A20" s="5">
        <v>14</v>
      </c>
      <c r="B20" s="2" t="s">
        <v>11</v>
      </c>
      <c r="C20" s="15"/>
      <c r="D20" s="22">
        <v>15958194</v>
      </c>
      <c r="E20" s="22"/>
      <c r="F20" s="27">
        <v>1386858</v>
      </c>
      <c r="G20" s="27">
        <v>1618473</v>
      </c>
      <c r="H20" s="27">
        <v>1456728</v>
      </c>
      <c r="I20" s="27">
        <v>1423781</v>
      </c>
      <c r="J20" s="27">
        <v>1394142</v>
      </c>
      <c r="K20" s="27">
        <v>1391308</v>
      </c>
      <c r="L20" s="27">
        <v>1452951</v>
      </c>
      <c r="M20" s="27">
        <v>1443202</v>
      </c>
      <c r="N20" s="27">
        <v>1567441</v>
      </c>
      <c r="O20" s="27">
        <v>1406861</v>
      </c>
      <c r="P20" s="27">
        <v>1416449</v>
      </c>
      <c r="Q20" s="27">
        <v>1446134</v>
      </c>
      <c r="R20" s="24"/>
    </row>
    <row r="21" spans="1:19" ht="15.95" customHeight="1">
      <c r="A21" s="5">
        <v>15</v>
      </c>
      <c r="B21" s="2" t="s">
        <v>12</v>
      </c>
      <c r="D21" s="22">
        <v>376750</v>
      </c>
      <c r="E21" s="22"/>
      <c r="F21" s="23">
        <v>34250</v>
      </c>
      <c r="G21" s="23">
        <v>34250</v>
      </c>
      <c r="H21" s="23">
        <v>34250</v>
      </c>
      <c r="I21" s="23">
        <v>34250</v>
      </c>
      <c r="J21" s="23">
        <v>34250</v>
      </c>
      <c r="K21" s="23">
        <v>34250</v>
      </c>
      <c r="L21" s="23">
        <v>34250</v>
      </c>
      <c r="M21" s="23">
        <v>34250</v>
      </c>
      <c r="N21" s="23">
        <v>34250</v>
      </c>
      <c r="O21" s="23">
        <v>34250</v>
      </c>
      <c r="P21" s="23">
        <v>34250</v>
      </c>
      <c r="Q21" s="23">
        <v>34250</v>
      </c>
      <c r="R21" s="24"/>
    </row>
    <row r="22" spans="1:19" ht="15.95" customHeight="1">
      <c r="A22" s="5">
        <v>16</v>
      </c>
      <c r="B22" s="2" t="s">
        <v>16</v>
      </c>
      <c r="D22" s="22">
        <v>-2771054</v>
      </c>
      <c r="E22" s="22"/>
      <c r="F22" s="23">
        <v>-251914</v>
      </c>
      <c r="G22" s="23">
        <v>-251914</v>
      </c>
      <c r="H22" s="23">
        <v>-251914</v>
      </c>
      <c r="I22" s="23">
        <v>-251914</v>
      </c>
      <c r="J22" s="23">
        <v>-251914</v>
      </c>
      <c r="K22" s="23">
        <v>-251914</v>
      </c>
      <c r="L22" s="23">
        <v>-251914</v>
      </c>
      <c r="M22" s="23">
        <v>-251914</v>
      </c>
      <c r="N22" s="23">
        <v>-251914</v>
      </c>
      <c r="O22" s="23">
        <v>-251914</v>
      </c>
      <c r="P22" s="23">
        <v>-251914</v>
      </c>
      <c r="Q22" s="23">
        <v>-251914</v>
      </c>
      <c r="R22" s="24"/>
    </row>
    <row r="23" spans="1:19" ht="20.25" customHeight="1">
      <c r="A23" s="5">
        <v>17</v>
      </c>
      <c r="B23" s="16" t="s">
        <v>17</v>
      </c>
      <c r="C23" s="16"/>
      <c r="D23" s="17">
        <v>138944301</v>
      </c>
      <c r="E23" s="17"/>
      <c r="F23" s="28">
        <v>18199665</v>
      </c>
      <c r="G23" s="28">
        <v>17200889</v>
      </c>
      <c r="H23" s="28">
        <v>15081709</v>
      </c>
      <c r="I23" s="28">
        <v>10233296</v>
      </c>
      <c r="J23" s="28">
        <v>6111472</v>
      </c>
      <c r="K23" s="28">
        <v>5882705</v>
      </c>
      <c r="L23" s="28">
        <v>9699295</v>
      </c>
      <c r="M23" s="28">
        <v>14547927</v>
      </c>
      <c r="N23" s="28">
        <v>12481353</v>
      </c>
      <c r="O23" s="28">
        <v>13261866</v>
      </c>
      <c r="P23" s="28">
        <v>16244124</v>
      </c>
      <c r="Q23" s="28">
        <v>16930995</v>
      </c>
      <c r="R23" s="24"/>
    </row>
    <row r="24" spans="1:19" ht="28.5" customHeight="1">
      <c r="A24" s="5">
        <v>18</v>
      </c>
      <c r="B24" s="16" t="s">
        <v>18</v>
      </c>
      <c r="C24" s="16"/>
      <c r="D24" s="29">
        <v>-32214666</v>
      </c>
      <c r="E24" s="29" t="s">
        <v>19</v>
      </c>
      <c r="F24" s="28">
        <v>-4638177</v>
      </c>
      <c r="G24" s="28">
        <v>-5730802</v>
      </c>
      <c r="H24" s="28">
        <v>-4648460</v>
      </c>
      <c r="I24" s="28">
        <v>-1843384</v>
      </c>
      <c r="J24" s="28">
        <v>-2188719</v>
      </c>
      <c r="K24" s="28">
        <v>-2357150</v>
      </c>
      <c r="L24" s="28">
        <v>-2157668</v>
      </c>
      <c r="M24" s="28">
        <v>-3619629</v>
      </c>
      <c r="N24" s="28">
        <v>-404609</v>
      </c>
      <c r="O24" s="28">
        <v>-1569149</v>
      </c>
      <c r="P24" s="28">
        <v>-3056919</v>
      </c>
      <c r="Q24" s="28" t="s">
        <v>19</v>
      </c>
    </row>
    <row r="25" spans="1:19" ht="26.25" customHeight="1">
      <c r="A25" s="5">
        <v>19</v>
      </c>
      <c r="B25" s="30" t="s">
        <v>20</v>
      </c>
      <c r="C25" s="30"/>
      <c r="D25" s="31">
        <v>2081184</v>
      </c>
      <c r="E25" s="31"/>
      <c r="F25" s="32">
        <v>490080</v>
      </c>
      <c r="G25" s="32">
        <v>92925</v>
      </c>
      <c r="H25" s="32">
        <v>148644</v>
      </c>
      <c r="I25" s="32">
        <v>236539</v>
      </c>
      <c r="J25" s="32">
        <v>-13337</v>
      </c>
      <c r="K25" s="32">
        <v>94577</v>
      </c>
      <c r="L25" s="32">
        <v>699050</v>
      </c>
      <c r="M25" s="32">
        <v>100288</v>
      </c>
      <c r="N25" s="32">
        <v>100953</v>
      </c>
      <c r="O25" s="32">
        <v>597407</v>
      </c>
      <c r="P25" s="32">
        <v>-465942</v>
      </c>
      <c r="Q25" s="32" t="s">
        <v>19</v>
      </c>
      <c r="S25" s="33"/>
    </row>
    <row r="26" spans="1:19" ht="19.5" customHeight="1">
      <c r="A26" s="5">
        <v>20</v>
      </c>
      <c r="B26" s="30" t="s">
        <v>21</v>
      </c>
      <c r="C26" s="30"/>
      <c r="D26" s="31">
        <v>-30133482</v>
      </c>
      <c r="E26" s="31"/>
      <c r="F26" s="32">
        <v>-4148097</v>
      </c>
      <c r="G26" s="32">
        <v>-5637877</v>
      </c>
      <c r="H26" s="32">
        <v>-4499816</v>
      </c>
      <c r="I26" s="32">
        <v>-1606845</v>
      </c>
      <c r="J26" s="32">
        <v>-2202056</v>
      </c>
      <c r="K26" s="32">
        <v>-2262573</v>
      </c>
      <c r="L26" s="32">
        <v>-1458618</v>
      </c>
      <c r="M26" s="32">
        <v>-3519341</v>
      </c>
      <c r="N26" s="32">
        <v>-303656</v>
      </c>
      <c r="O26" s="32">
        <v>-971742</v>
      </c>
      <c r="P26" s="32">
        <v>-3522861</v>
      </c>
      <c r="Q26" s="32">
        <v>0</v>
      </c>
    </row>
    <row r="27" spans="1:19" ht="18.75" customHeight="1">
      <c r="A27" s="5">
        <v>21</v>
      </c>
      <c r="B27" s="2" t="s">
        <v>22</v>
      </c>
      <c r="D27" s="34"/>
      <c r="E27" s="34"/>
      <c r="F27" s="35">
        <v>0.6573</v>
      </c>
      <c r="G27" s="35">
        <v>0.6573</v>
      </c>
      <c r="H27" s="35">
        <v>0.6573</v>
      </c>
      <c r="I27" s="35">
        <v>0.6573</v>
      </c>
      <c r="J27" s="35">
        <v>0.6573</v>
      </c>
      <c r="K27" s="35">
        <v>0.6573</v>
      </c>
      <c r="L27" s="35">
        <v>0.6573</v>
      </c>
      <c r="M27" s="35">
        <v>0.6573</v>
      </c>
      <c r="N27" s="35">
        <v>0.6573</v>
      </c>
      <c r="O27" s="35">
        <v>0.6573</v>
      </c>
      <c r="P27" s="35">
        <v>0.6573</v>
      </c>
      <c r="Q27" s="35">
        <v>0.6573</v>
      </c>
    </row>
    <row r="28" spans="1:19" ht="20.25" customHeight="1">
      <c r="A28" s="5">
        <v>22</v>
      </c>
      <c r="B28" s="2" t="s">
        <v>23</v>
      </c>
      <c r="D28" s="36">
        <v>-19806738</v>
      </c>
      <c r="E28" s="36"/>
      <c r="F28" s="37">
        <v>-2726544</v>
      </c>
      <c r="G28" s="37">
        <v>-3705777</v>
      </c>
      <c r="H28" s="37">
        <v>-2957729</v>
      </c>
      <c r="I28" s="37">
        <v>-1056179</v>
      </c>
      <c r="J28" s="37">
        <v>-1447411</v>
      </c>
      <c r="K28" s="37">
        <v>-1487189</v>
      </c>
      <c r="L28" s="37">
        <v>-958750</v>
      </c>
      <c r="M28" s="37">
        <v>-2313263</v>
      </c>
      <c r="N28" s="37">
        <v>-199593</v>
      </c>
      <c r="O28" s="37">
        <v>-638726</v>
      </c>
      <c r="P28" s="37">
        <v>-2315577</v>
      </c>
      <c r="Q28" s="37">
        <v>0</v>
      </c>
    </row>
    <row r="29" spans="1:19" ht="20.25" customHeight="1">
      <c r="A29" s="5">
        <v>23</v>
      </c>
      <c r="B29" s="2" t="s">
        <v>24</v>
      </c>
      <c r="D29" s="36">
        <v>0</v>
      </c>
      <c r="E29" s="36"/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</row>
    <row r="30" spans="1:19" ht="29.25" customHeight="1">
      <c r="A30" s="5">
        <v>24</v>
      </c>
      <c r="B30" s="38" t="s">
        <v>25</v>
      </c>
      <c r="C30" s="38"/>
      <c r="D30" s="39">
        <v>3118923</v>
      </c>
      <c r="E30" s="39"/>
      <c r="F30" s="40">
        <v>369390</v>
      </c>
      <c r="G30" s="40">
        <v>199735</v>
      </c>
      <c r="H30" s="40">
        <v>142381</v>
      </c>
      <c r="I30" s="40">
        <v>515338</v>
      </c>
      <c r="J30" s="40">
        <v>841101</v>
      </c>
      <c r="K30" s="40">
        <v>742148</v>
      </c>
      <c r="L30" s="40">
        <v>609818</v>
      </c>
      <c r="M30" s="40">
        <v>-291336</v>
      </c>
      <c r="N30" s="40">
        <v>125140</v>
      </c>
      <c r="O30" s="40">
        <v>-208826</v>
      </c>
      <c r="P30" s="40">
        <v>74034</v>
      </c>
      <c r="Q30" s="40" t="s">
        <v>19</v>
      </c>
    </row>
    <row r="31" spans="1:19" ht="27" customHeight="1">
      <c r="A31" s="5">
        <v>25</v>
      </c>
      <c r="B31" s="41" t="s">
        <v>26</v>
      </c>
      <c r="C31" s="41"/>
      <c r="D31" s="42">
        <v>-16687815</v>
      </c>
      <c r="E31" s="42"/>
      <c r="F31" s="43">
        <v>-2357154</v>
      </c>
      <c r="G31" s="43">
        <v>-3506042</v>
      </c>
      <c r="H31" s="43">
        <v>-2815348</v>
      </c>
      <c r="I31" s="43">
        <v>-540841</v>
      </c>
      <c r="J31" s="43">
        <v>-606310</v>
      </c>
      <c r="K31" s="43">
        <v>-745041</v>
      </c>
      <c r="L31" s="43">
        <v>-348932</v>
      </c>
      <c r="M31" s="43">
        <v>-2604599</v>
      </c>
      <c r="N31" s="43">
        <v>-74453</v>
      </c>
      <c r="O31" s="43">
        <v>-847552</v>
      </c>
      <c r="P31" s="43">
        <v>-2241543</v>
      </c>
      <c r="Q31" s="43" t="s">
        <v>19</v>
      </c>
    </row>
    <row r="32" spans="1:19" ht="21" hidden="1" customHeight="1">
      <c r="A32" s="5">
        <v>26</v>
      </c>
      <c r="B32" s="44" t="s">
        <v>27</v>
      </c>
      <c r="C32" s="44"/>
      <c r="D32" s="45"/>
      <c r="E32" s="45"/>
      <c r="F32" s="43"/>
      <c r="G32" s="43"/>
      <c r="H32" s="43"/>
      <c r="I32" s="43"/>
      <c r="J32" s="43"/>
      <c r="K32" s="43"/>
      <c r="L32" s="46">
        <v>0</v>
      </c>
      <c r="M32" s="43"/>
      <c r="N32" s="43"/>
      <c r="O32" s="43"/>
      <c r="P32" s="43"/>
      <c r="Q32" s="43"/>
    </row>
    <row r="33" spans="1:19" ht="28.5" customHeight="1">
      <c r="A33" s="5">
        <v>27</v>
      </c>
      <c r="B33" s="16" t="s">
        <v>28</v>
      </c>
      <c r="C33" s="16"/>
      <c r="D33" s="47"/>
      <c r="E33" s="47"/>
      <c r="F33" s="48">
        <v>-2357154</v>
      </c>
      <c r="G33" s="48">
        <v>-5863196</v>
      </c>
      <c r="H33" s="48">
        <v>-8678544</v>
      </c>
      <c r="I33" s="48">
        <v>-9219385</v>
      </c>
      <c r="J33" s="48">
        <v>-9825695</v>
      </c>
      <c r="K33" s="48">
        <v>-10570736</v>
      </c>
      <c r="L33" s="48">
        <v>-10919668</v>
      </c>
      <c r="M33" s="48">
        <v>-13524267</v>
      </c>
      <c r="N33" s="48">
        <v>-13598720</v>
      </c>
      <c r="O33" s="48">
        <v>-14446272</v>
      </c>
      <c r="P33" s="48">
        <v>-16687815</v>
      </c>
      <c r="Q33" s="48" t="s">
        <v>19</v>
      </c>
      <c r="R33" s="33"/>
    </row>
    <row r="34" spans="1:19" ht="30.75" hidden="1" customHeight="1" outlineLevel="1">
      <c r="A34" s="2" t="s">
        <v>29</v>
      </c>
      <c r="B34" s="49">
        <v>10000000</v>
      </c>
      <c r="C34" s="50" t="s">
        <v>30</v>
      </c>
      <c r="D34" s="51">
        <v>0.9</v>
      </c>
      <c r="E34" s="51">
        <v>0.9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-570736</v>
      </c>
      <c r="L34" s="34">
        <v>-919668</v>
      </c>
      <c r="M34" s="34">
        <v>-3524267</v>
      </c>
      <c r="N34" s="34">
        <v>-3598720</v>
      </c>
      <c r="O34" s="34">
        <v>-4446272</v>
      </c>
      <c r="P34" s="34">
        <v>-6687815</v>
      </c>
      <c r="Q34" s="34" t="s">
        <v>19</v>
      </c>
      <c r="R34" s="52"/>
      <c r="S34" s="53"/>
    </row>
    <row r="35" spans="1:19" ht="19.5" hidden="1" customHeight="1" outlineLevel="1">
      <c r="A35" s="2" t="s">
        <v>29</v>
      </c>
      <c r="B35" s="49">
        <v>4000000</v>
      </c>
      <c r="C35" s="50" t="s">
        <v>31</v>
      </c>
      <c r="D35" s="51">
        <v>0.5</v>
      </c>
      <c r="E35" s="51">
        <v>0.75</v>
      </c>
      <c r="F35" s="34">
        <v>0</v>
      </c>
      <c r="G35" s="34">
        <v>-1863196</v>
      </c>
      <c r="H35" s="34">
        <v>-4678544</v>
      </c>
      <c r="I35" s="34">
        <v>-5219385</v>
      </c>
      <c r="J35" s="34">
        <v>-5825695</v>
      </c>
      <c r="K35" s="34">
        <v>-6000000</v>
      </c>
      <c r="L35" s="34">
        <v>-6000000</v>
      </c>
      <c r="M35" s="34">
        <v>-6000000</v>
      </c>
      <c r="N35" s="34">
        <v>-6000000</v>
      </c>
      <c r="O35" s="34">
        <v>-6000000</v>
      </c>
      <c r="P35" s="34">
        <v>-6000000</v>
      </c>
      <c r="Q35" s="34" t="s">
        <v>19</v>
      </c>
      <c r="R35" s="52"/>
      <c r="S35" s="53"/>
    </row>
    <row r="36" spans="1:19" ht="21.75" hidden="1" customHeight="1" outlineLevel="1">
      <c r="A36" s="2" t="s">
        <v>29</v>
      </c>
      <c r="B36" s="49">
        <v>0</v>
      </c>
      <c r="C36" s="50" t="s">
        <v>32</v>
      </c>
      <c r="D36" s="51">
        <v>0</v>
      </c>
      <c r="E36" s="51">
        <v>0</v>
      </c>
      <c r="F36" s="34">
        <v>-2357154</v>
      </c>
      <c r="G36" s="34">
        <v>-4000000</v>
      </c>
      <c r="H36" s="34">
        <v>-4000000</v>
      </c>
      <c r="I36" s="34">
        <v>-4000000</v>
      </c>
      <c r="J36" s="34">
        <v>-4000000</v>
      </c>
      <c r="K36" s="34">
        <v>-4000000</v>
      </c>
      <c r="L36" s="34">
        <v>-4000000</v>
      </c>
      <c r="M36" s="34">
        <v>-4000000</v>
      </c>
      <c r="N36" s="34">
        <v>-4000000</v>
      </c>
      <c r="O36" s="34">
        <v>-4000000</v>
      </c>
      <c r="P36" s="34">
        <v>-4000000</v>
      </c>
      <c r="Q36" s="34" t="s">
        <v>19</v>
      </c>
      <c r="R36" s="52"/>
    </row>
    <row r="37" spans="1:19" ht="15.95" hidden="1" customHeight="1" outlineLevel="1">
      <c r="A37" s="2"/>
      <c r="B37" s="54"/>
      <c r="C37" s="2" t="s">
        <v>33</v>
      </c>
      <c r="D37" s="55"/>
      <c r="E37" s="55"/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 t="s">
        <v>19</v>
      </c>
      <c r="R37" s="56"/>
    </row>
    <row r="38" spans="1:19" ht="23.25" customHeight="1" collapsed="1">
      <c r="A38" s="2" t="s">
        <v>34</v>
      </c>
      <c r="D38" s="25"/>
      <c r="E38" s="25"/>
      <c r="F38" s="34">
        <v>0</v>
      </c>
      <c r="G38" s="34">
        <v>-1397397</v>
      </c>
      <c r="H38" s="34">
        <v>-3508908</v>
      </c>
      <c r="I38" s="34">
        <v>-3914539</v>
      </c>
      <c r="J38" s="34">
        <v>-4369271</v>
      </c>
      <c r="K38" s="34">
        <v>-5013662</v>
      </c>
      <c r="L38" s="34">
        <v>-5327701</v>
      </c>
      <c r="M38" s="34">
        <v>-7671840</v>
      </c>
      <c r="N38" s="34">
        <v>-7738848</v>
      </c>
      <c r="O38" s="34">
        <v>-8501645</v>
      </c>
      <c r="P38" s="34">
        <v>-10519034</v>
      </c>
      <c r="Q38" s="34" t="s">
        <v>19</v>
      </c>
      <c r="R38" s="52" t="s">
        <v>35</v>
      </c>
    </row>
    <row r="39" spans="1:19" ht="20.25" customHeight="1">
      <c r="A39" s="2" t="s">
        <v>36</v>
      </c>
      <c r="F39" s="34">
        <v>0</v>
      </c>
      <c r="G39" s="34">
        <v>-1397397</v>
      </c>
      <c r="H39" s="34">
        <v>-2111511</v>
      </c>
      <c r="I39" s="34">
        <v>-405631</v>
      </c>
      <c r="J39" s="34">
        <v>-454732</v>
      </c>
      <c r="K39" s="34">
        <v>-644391</v>
      </c>
      <c r="L39" s="34">
        <v>-314039</v>
      </c>
      <c r="M39" s="34">
        <v>-2344139</v>
      </c>
      <c r="N39" s="34">
        <v>-67008</v>
      </c>
      <c r="O39" s="34">
        <v>-762797</v>
      </c>
      <c r="P39" s="34">
        <v>-2017389</v>
      </c>
      <c r="Q39" s="34" t="s">
        <v>19</v>
      </c>
      <c r="R39" s="56"/>
    </row>
    <row r="40" spans="1:19" ht="24.75" customHeight="1">
      <c r="A40" s="44" t="s">
        <v>37</v>
      </c>
      <c r="B40" s="44"/>
      <c r="C40" s="44"/>
      <c r="D40" s="42">
        <v>10519034</v>
      </c>
      <c r="E40" s="42"/>
      <c r="F40" s="57">
        <v>0</v>
      </c>
      <c r="G40" s="57">
        <v>1397397</v>
      </c>
      <c r="H40" s="57">
        <v>2111511</v>
      </c>
      <c r="I40" s="57">
        <v>405631</v>
      </c>
      <c r="J40" s="57">
        <v>454732</v>
      </c>
      <c r="K40" s="57">
        <v>644391</v>
      </c>
      <c r="L40" s="57">
        <v>314039</v>
      </c>
      <c r="M40" s="57">
        <v>2344139</v>
      </c>
      <c r="N40" s="57">
        <v>67008</v>
      </c>
      <c r="O40" s="57">
        <v>762797</v>
      </c>
      <c r="P40" s="57">
        <v>2017389</v>
      </c>
      <c r="Q40" s="57" t="s">
        <v>19</v>
      </c>
      <c r="R40" s="52"/>
    </row>
    <row r="41" spans="1:19" ht="26.25" customHeight="1" thickBot="1">
      <c r="A41" s="58" t="s">
        <v>38</v>
      </c>
      <c r="B41" s="58"/>
      <c r="C41" s="58"/>
      <c r="D41" s="59"/>
      <c r="E41" s="59"/>
      <c r="F41" s="60">
        <v>-2357154</v>
      </c>
      <c r="G41" s="60">
        <v>-4465799</v>
      </c>
      <c r="H41" s="60">
        <v>-5169636</v>
      </c>
      <c r="I41" s="60">
        <v>-5304846</v>
      </c>
      <c r="J41" s="60">
        <v>-5456424</v>
      </c>
      <c r="K41" s="60">
        <v>-5557074</v>
      </c>
      <c r="L41" s="60">
        <v>-5591967</v>
      </c>
      <c r="M41" s="60">
        <v>-5852427</v>
      </c>
      <c r="N41" s="60">
        <v>-5859872</v>
      </c>
      <c r="O41" s="60">
        <v>-5944627</v>
      </c>
      <c r="P41" s="60">
        <v>-6168781</v>
      </c>
      <c r="Q41" s="60" t="s">
        <v>19</v>
      </c>
      <c r="R41" s="2" t="s">
        <v>39</v>
      </c>
    </row>
    <row r="42" spans="1:19" ht="13.5" thickTop="1">
      <c r="A42" s="61"/>
    </row>
    <row r="43" spans="1:19">
      <c r="E43" s="62"/>
      <c r="F43" s="63"/>
      <c r="Q43" s="34"/>
      <c r="R43" s="33"/>
    </row>
    <row r="44" spans="1:19" ht="13.15">
      <c r="E44" s="64"/>
      <c r="F44"/>
      <c r="H44" s="65"/>
      <c r="I44" s="65"/>
      <c r="J44" s="65"/>
      <c r="K44" s="65"/>
      <c r="Q44" s="66"/>
      <c r="R44" s="33"/>
    </row>
    <row r="45" spans="1:19" ht="13.15">
      <c r="E45" s="62"/>
      <c r="F45" s="67"/>
      <c r="H45" s="65"/>
      <c r="I45" s="65"/>
      <c r="J45" s="65"/>
      <c r="K45" s="65"/>
      <c r="Q45" s="66"/>
      <c r="R45" s="33"/>
    </row>
    <row r="46" spans="1:19">
      <c r="H46" s="65"/>
      <c r="I46" s="65"/>
      <c r="J46" s="65"/>
      <c r="K46" s="65"/>
    </row>
    <row r="47" spans="1:19">
      <c r="F47" s="68"/>
      <c r="H47" s="65"/>
      <c r="I47" s="65"/>
      <c r="J47" s="65"/>
      <c r="K47" s="65"/>
    </row>
    <row r="48" spans="1:19">
      <c r="F48" s="68"/>
      <c r="H48" s="65"/>
      <c r="I48" s="65"/>
      <c r="J48" s="65"/>
      <c r="K48" s="65"/>
      <c r="Q48" s="33"/>
    </row>
    <row r="49" spans="8:11">
      <c r="H49" s="65"/>
      <c r="I49" s="65"/>
      <c r="J49" s="65"/>
      <c r="K49" s="65"/>
    </row>
    <row r="50" spans="8:11">
      <c r="H50" s="65"/>
      <c r="I50" s="65"/>
      <c r="J50" s="65"/>
      <c r="K50" s="65"/>
    </row>
    <row r="51" spans="8:11">
      <c r="H51" s="65"/>
      <c r="I51" s="65"/>
      <c r="J51" s="65"/>
      <c r="K51" s="65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B32:C32"/>
    <mergeCell ref="A40:C40"/>
    <mergeCell ref="D40:E40"/>
    <mergeCell ref="A41:C41"/>
    <mergeCell ref="D28:E28"/>
    <mergeCell ref="D29:E29"/>
    <mergeCell ref="B30:C30"/>
    <mergeCell ref="D30:E30"/>
    <mergeCell ref="B31:C31"/>
    <mergeCell ref="D31:E31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7:R37">
    <cfRule type="expression" dxfId="0" priority="1" stopIfTrue="1">
      <formula>ABS(F37)&gt;0.1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F5B5-77DA-4883-B28C-22140C07EA74}">
  <sheetPr>
    <tabColor theme="8" tint="-0.249977111117893"/>
  </sheetPr>
  <dimension ref="A1:T501"/>
  <sheetViews>
    <sheetView zoomScaleNormal="100" zoomScaleSheetLayoutView="100" workbookViewId="0">
      <pane xSplit="4" ySplit="5" topLeftCell="I66" activePane="bottomRight" state="frozen"/>
      <selection activeCell="M42" sqref="M42"/>
      <selection pane="topRight" activeCell="M42" sqref="M42"/>
      <selection pane="bottomLeft" activeCell="M42" sqref="M42"/>
      <selection pane="bottomRight" activeCell="M42" sqref="M42"/>
    </sheetView>
  </sheetViews>
  <sheetFormatPr defaultColWidth="11.3984375" defaultRowHeight="12.75" outlineLevelRow="2" outlineLevelCol="1"/>
  <cols>
    <col min="1" max="1" width="5" style="81" customWidth="1"/>
    <col min="2" max="2" width="46.1328125" customWidth="1"/>
    <col min="3" max="3" width="33.59765625" hidden="1" customWidth="1" outlineLevel="1"/>
    <col min="4" max="4" width="13.3984375" bestFit="1" customWidth="1" collapsed="1"/>
    <col min="5" max="5" width="13.73046875" customWidth="1"/>
    <col min="6" max="6" width="12.73046875" customWidth="1"/>
    <col min="7" max="7" width="12.3984375" customWidth="1"/>
    <col min="8" max="8" width="12.59765625" customWidth="1"/>
    <col min="9" max="9" width="12.1328125" customWidth="1"/>
    <col min="10" max="10" width="12.59765625" customWidth="1"/>
    <col min="11" max="16" width="12.73046875" customWidth="1"/>
    <col min="17" max="17" width="2.73046875" hidden="1" customWidth="1" outlineLevel="1"/>
    <col min="18" max="18" width="14.265625" hidden="1" customWidth="1" outlineLevel="1"/>
    <col min="19" max="19" width="11.3984375" collapsed="1"/>
    <col min="20" max="20" width="13.265625" bestFit="1" customWidth="1"/>
  </cols>
  <sheetData>
    <row r="1" spans="1:18" ht="13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3.15">
      <c r="A2" s="6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38.25" customHeight="1">
      <c r="A3"/>
    </row>
    <row r="4" spans="1:18">
      <c r="A4" s="69" t="s">
        <v>2</v>
      </c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8" ht="13.15">
      <c r="A5" s="71" t="s">
        <v>3</v>
      </c>
      <c r="C5" t="s">
        <v>41</v>
      </c>
      <c r="D5" s="72" t="s">
        <v>5</v>
      </c>
      <c r="E5" s="10">
        <v>43861</v>
      </c>
      <c r="F5" s="10">
        <f t="shared" ref="F5:P5" si="0">EOMONTH(E5,1)</f>
        <v>43890</v>
      </c>
      <c r="G5" s="10">
        <f t="shared" si="0"/>
        <v>43921</v>
      </c>
      <c r="H5" s="10">
        <f t="shared" si="0"/>
        <v>43951</v>
      </c>
      <c r="I5" s="10">
        <f t="shared" si="0"/>
        <v>43982</v>
      </c>
      <c r="J5" s="10">
        <f t="shared" si="0"/>
        <v>44012</v>
      </c>
      <c r="K5" s="10">
        <f t="shared" si="0"/>
        <v>44043</v>
      </c>
      <c r="L5" s="10">
        <f t="shared" si="0"/>
        <v>44074</v>
      </c>
      <c r="M5" s="10">
        <f t="shared" si="0"/>
        <v>44104</v>
      </c>
      <c r="N5" s="10">
        <f t="shared" si="0"/>
        <v>44135</v>
      </c>
      <c r="O5" s="10">
        <f t="shared" si="0"/>
        <v>44165</v>
      </c>
      <c r="P5" s="10">
        <f t="shared" si="0"/>
        <v>44196</v>
      </c>
      <c r="Q5" s="73"/>
      <c r="R5" s="10" t="s">
        <v>42</v>
      </c>
    </row>
    <row r="6" spans="1:18" ht="13.15">
      <c r="A6" s="69"/>
      <c r="B6" s="74" t="s">
        <v>43</v>
      </c>
      <c r="C6" s="75"/>
    </row>
    <row r="7" spans="1:18">
      <c r="A7" s="69">
        <f>A6+1</f>
        <v>1</v>
      </c>
      <c r="B7" s="2" t="s">
        <v>44</v>
      </c>
      <c r="C7" s="4"/>
      <c r="D7" s="12">
        <f>SUM(E7:P7)</f>
        <v>24043245.090378668</v>
      </c>
      <c r="E7" s="12">
        <f>E24-SUM(E8:E23)</f>
        <v>3386200.8097333331</v>
      </c>
      <c r="F7" s="12">
        <f t="shared" ref="F7:P7" si="1">F24-SUM(F8:F23)</f>
        <v>2505206.7413333338</v>
      </c>
      <c r="G7" s="12">
        <f t="shared" si="1"/>
        <v>663857.35013333336</v>
      </c>
      <c r="H7" s="12">
        <f t="shared" si="1"/>
        <v>2142586.1823333343</v>
      </c>
      <c r="I7" s="12">
        <f t="shared" si="1"/>
        <v>1517506.671533335</v>
      </c>
      <c r="J7" s="12">
        <f t="shared" si="1"/>
        <v>945252.27923333365</v>
      </c>
      <c r="K7" s="12">
        <f t="shared" si="1"/>
        <v>2235892.0575333331</v>
      </c>
      <c r="L7" s="12">
        <f t="shared" si="1"/>
        <v>3781311.9325333321</v>
      </c>
      <c r="M7" s="12">
        <f t="shared" si="1"/>
        <v>2246883.7955423333</v>
      </c>
      <c r="N7" s="12">
        <f t="shared" si="1"/>
        <v>1790218.7485363344</v>
      </c>
      <c r="O7" s="12">
        <f t="shared" si="1"/>
        <v>2828328.5219333321</v>
      </c>
      <c r="P7" s="12">
        <f t="shared" si="1"/>
        <v>0</v>
      </c>
      <c r="Q7" s="76"/>
      <c r="R7" s="77">
        <f t="shared" ref="R7:R23" si="2">SUM(E7:P7)</f>
        <v>24043245.090378668</v>
      </c>
    </row>
    <row r="8" spans="1:18">
      <c r="A8" s="69">
        <v>2</v>
      </c>
      <c r="B8" s="78" t="s">
        <v>45</v>
      </c>
      <c r="C8" s="79">
        <v>100096</v>
      </c>
      <c r="D8" s="12">
        <f t="shared" ref="D8:D23" si="3">SUM(E8:P8)</f>
        <v>15394265.309999997</v>
      </c>
      <c r="E8" s="26">
        <f>'[1]Input Tab'!C19</f>
        <v>1399478.31</v>
      </c>
      <c r="F8" s="26">
        <f>'[1]Input Tab'!D19</f>
        <v>1399478.7</v>
      </c>
      <c r="G8" s="26">
        <f>'[1]Input Tab'!E19</f>
        <v>1399478.7</v>
      </c>
      <c r="H8" s="26">
        <f>'[1]Input Tab'!F19</f>
        <v>1399478.7</v>
      </c>
      <c r="I8" s="26">
        <f>'[1]Input Tab'!G19</f>
        <v>1399478.7</v>
      </c>
      <c r="J8" s="26">
        <f>'[1]Input Tab'!H19</f>
        <v>1399478.7</v>
      </c>
      <c r="K8" s="26">
        <f>'[1]Input Tab'!I19</f>
        <v>1399478.7</v>
      </c>
      <c r="L8" s="26">
        <f>'[1]Input Tab'!J19</f>
        <v>1399478.7</v>
      </c>
      <c r="M8" s="26">
        <f>'[1]Input Tab'!K19</f>
        <v>1399478.7</v>
      </c>
      <c r="N8" s="26">
        <f>'[1]Input Tab'!L19</f>
        <v>1399478.7</v>
      </c>
      <c r="O8" s="26">
        <f>'[1]Input Tab'!M19</f>
        <v>1399478.7</v>
      </c>
      <c r="P8" s="26">
        <f>'[1]Input Tab'!N19</f>
        <v>0</v>
      </c>
      <c r="Q8" s="76"/>
      <c r="R8" s="77">
        <f t="shared" si="2"/>
        <v>15394265.309999997</v>
      </c>
    </row>
    <row r="9" spans="1:18">
      <c r="A9" s="69">
        <v>3</v>
      </c>
      <c r="B9" s="78" t="s">
        <v>46</v>
      </c>
      <c r="C9" s="79">
        <v>107240</v>
      </c>
      <c r="D9" s="12">
        <f t="shared" si="3"/>
        <v>1737139.7599999998</v>
      </c>
      <c r="E9" s="26">
        <f>'[1]Input Tab'!C20</f>
        <v>128411.73</v>
      </c>
      <c r="F9" s="26">
        <f>'[1]Input Tab'!D20</f>
        <v>137330.93</v>
      </c>
      <c r="G9" s="26">
        <f>'[1]Input Tab'!E20</f>
        <v>81843.8</v>
      </c>
      <c r="H9" s="26">
        <f>'[1]Input Tab'!F20</f>
        <v>100045.66</v>
      </c>
      <c r="I9" s="26">
        <f>'[1]Input Tab'!G20</f>
        <v>134694.49</v>
      </c>
      <c r="J9" s="26">
        <f>'[1]Input Tab'!H20</f>
        <v>132024.47</v>
      </c>
      <c r="K9" s="26">
        <f>'[1]Input Tab'!I20</f>
        <v>286565.39</v>
      </c>
      <c r="L9" s="26">
        <f>'[1]Input Tab'!J20</f>
        <v>290571.23</v>
      </c>
      <c r="M9" s="26">
        <f>'[1]Input Tab'!K20</f>
        <v>151212.51999999999</v>
      </c>
      <c r="N9" s="26">
        <f>'[1]Input Tab'!L20</f>
        <v>139959.9</v>
      </c>
      <c r="O9" s="26">
        <f>'[1]Input Tab'!M20</f>
        <v>154479.64000000001</v>
      </c>
      <c r="P9" s="26">
        <f>'[1]Input Tab'!N20</f>
        <v>0</v>
      </c>
      <c r="Q9" s="76"/>
      <c r="R9" s="77">
        <f>SUM(E9:P9)</f>
        <v>1737139.7599999998</v>
      </c>
    </row>
    <row r="10" spans="1:18">
      <c r="A10" s="69">
        <v>4</v>
      </c>
      <c r="B10" s="2" t="s">
        <v>47</v>
      </c>
      <c r="C10" s="4">
        <v>100131</v>
      </c>
      <c r="D10" s="12">
        <f t="shared" si="3"/>
        <v>2277000</v>
      </c>
      <c r="E10" s="26">
        <f>'[1]Input Tab'!C21</f>
        <v>207000</v>
      </c>
      <c r="F10" s="26">
        <f>'[1]Input Tab'!D21</f>
        <v>207000</v>
      </c>
      <c r="G10" s="26">
        <f>'[1]Input Tab'!E21</f>
        <v>207000</v>
      </c>
      <c r="H10" s="26">
        <f>'[1]Input Tab'!F21</f>
        <v>207000</v>
      </c>
      <c r="I10" s="26">
        <f>'[1]Input Tab'!G21</f>
        <v>207000</v>
      </c>
      <c r="J10" s="26">
        <f>'[1]Input Tab'!H21</f>
        <v>207000</v>
      </c>
      <c r="K10" s="26">
        <f>'[1]Input Tab'!I21</f>
        <v>207000</v>
      </c>
      <c r="L10" s="26">
        <f>'[1]Input Tab'!J21</f>
        <v>207000</v>
      </c>
      <c r="M10" s="26">
        <f>'[1]Input Tab'!K21</f>
        <v>207000</v>
      </c>
      <c r="N10" s="26">
        <f>'[1]Input Tab'!L21</f>
        <v>207000</v>
      </c>
      <c r="O10" s="26">
        <f>'[1]Input Tab'!M21</f>
        <v>207000</v>
      </c>
      <c r="P10" s="26">
        <f>'[1]Input Tab'!N21</f>
        <v>0</v>
      </c>
      <c r="Q10" s="76"/>
      <c r="R10" s="77">
        <f t="shared" si="2"/>
        <v>2277000</v>
      </c>
    </row>
    <row r="11" spans="1:18" ht="13.5" customHeight="1">
      <c r="A11" s="69">
        <v>5</v>
      </c>
      <c r="B11" s="2" t="s">
        <v>48</v>
      </c>
      <c r="C11" s="4">
        <v>100085</v>
      </c>
      <c r="D11" s="12">
        <f t="shared" si="3"/>
        <v>9134404.290000001</v>
      </c>
      <c r="E11" s="80">
        <f>'[1]Input Tab'!C22</f>
        <v>845499.03</v>
      </c>
      <c r="F11" s="80">
        <f>'[1]Input Tab'!D22</f>
        <v>845499.03</v>
      </c>
      <c r="G11" s="80">
        <f>'[1]Input Tab'!E22</f>
        <v>845499.03</v>
      </c>
      <c r="H11" s="80">
        <f>'[1]Input Tab'!F22</f>
        <v>679413.99</v>
      </c>
      <c r="I11" s="80">
        <f>'[1]Input Tab'!G22</f>
        <v>845499.03</v>
      </c>
      <c r="J11" s="80">
        <f>'[1]Input Tab'!H22</f>
        <v>845499.03</v>
      </c>
      <c r="K11" s="80">
        <f>'[1]Input Tab'!I22</f>
        <v>845499.03</v>
      </c>
      <c r="L11" s="80">
        <f>'[1]Input Tab'!J22</f>
        <v>845499.03</v>
      </c>
      <c r="M11" s="80">
        <f>'[1]Input Tab'!K22</f>
        <v>845499.03</v>
      </c>
      <c r="N11" s="80">
        <f>'[1]Input Tab'!L22</f>
        <v>845499.03</v>
      </c>
      <c r="O11" s="80">
        <f>'[1]Input Tab'!M22</f>
        <v>845499.03</v>
      </c>
      <c r="P11" s="80">
        <f>'[1]Input Tab'!N22</f>
        <v>0</v>
      </c>
      <c r="Q11" s="76"/>
      <c r="R11" s="77">
        <f t="shared" si="2"/>
        <v>9134404.290000001</v>
      </c>
    </row>
    <row r="12" spans="1:18" ht="14.25">
      <c r="A12" s="69">
        <f>A11+1</f>
        <v>6</v>
      </c>
      <c r="B12" s="2" t="s">
        <v>49</v>
      </c>
      <c r="C12" s="81" t="s">
        <v>50</v>
      </c>
      <c r="D12" s="12">
        <f t="shared" si="3"/>
        <v>0</v>
      </c>
      <c r="E12" s="80">
        <f>'[1]Input Tab'!C23</f>
        <v>0</v>
      </c>
      <c r="F12" s="80">
        <f>'[1]Input Tab'!D23</f>
        <v>0</v>
      </c>
      <c r="G12" s="80">
        <f>'[1]Input Tab'!E23</f>
        <v>0</v>
      </c>
      <c r="H12" s="80">
        <f>'[1]Input Tab'!F23</f>
        <v>0</v>
      </c>
      <c r="I12" s="80">
        <f>'[1]Input Tab'!G23</f>
        <v>0</v>
      </c>
      <c r="J12" s="80">
        <f>'[1]Input Tab'!H23</f>
        <v>0</v>
      </c>
      <c r="K12" s="80">
        <f>'[1]Input Tab'!I23</f>
        <v>0</v>
      </c>
      <c r="L12" s="80">
        <f>'[1]Input Tab'!J23</f>
        <v>0</v>
      </c>
      <c r="M12" s="26">
        <f>'[1]Input Tab'!K23</f>
        <v>0</v>
      </c>
      <c r="N12" s="26">
        <f>'[1]Input Tab'!L23</f>
        <v>0</v>
      </c>
      <c r="O12" s="80">
        <f>'[1]Input Tab'!M23</f>
        <v>0</v>
      </c>
      <c r="P12" s="80">
        <f>'[1]Input Tab'!N23</f>
        <v>0</v>
      </c>
      <c r="Q12" s="76"/>
      <c r="R12" s="77">
        <f t="shared" si="2"/>
        <v>0</v>
      </c>
    </row>
    <row r="13" spans="1:18">
      <c r="A13" s="69">
        <f t="shared" ref="A13:A16" si="4">A12+1</f>
        <v>7</v>
      </c>
      <c r="B13" t="s">
        <v>51</v>
      </c>
      <c r="C13" s="81">
        <v>100137</v>
      </c>
      <c r="D13" s="12">
        <f t="shared" si="3"/>
        <v>10817.45</v>
      </c>
      <c r="E13" s="80">
        <f>'[1]Input Tab'!C24</f>
        <v>968.55</v>
      </c>
      <c r="F13" s="80">
        <f>'[1]Input Tab'!D24</f>
        <v>1161.75</v>
      </c>
      <c r="G13" s="80">
        <f>'[1]Input Tab'!E24</f>
        <v>1170.1500000000001</v>
      </c>
      <c r="H13" s="80">
        <f>'[1]Input Tab'!F24</f>
        <v>1074.55</v>
      </c>
      <c r="I13" s="80">
        <f>'[1]Input Tab'!G24</f>
        <v>1120.75</v>
      </c>
      <c r="J13" s="80">
        <f>'[1]Input Tab'!H24</f>
        <v>931.75</v>
      </c>
      <c r="K13" s="80">
        <f>'[1]Input Tab'!I24</f>
        <v>839.35</v>
      </c>
      <c r="L13" s="80">
        <f>'[1]Input Tab'!J24</f>
        <v>919.15</v>
      </c>
      <c r="M13" s="80">
        <f>'[1]Input Tab'!K24</f>
        <v>851.95</v>
      </c>
      <c r="N13" s="80">
        <f>'[1]Input Tab'!L24</f>
        <v>814.15</v>
      </c>
      <c r="O13" s="80">
        <f>'[1]Input Tab'!M24</f>
        <v>965.35</v>
      </c>
      <c r="P13" s="80">
        <f>'[1]Input Tab'!N24</f>
        <v>0</v>
      </c>
      <c r="Q13" s="76"/>
      <c r="R13" s="77">
        <f t="shared" si="2"/>
        <v>10817.45</v>
      </c>
    </row>
    <row r="14" spans="1:18">
      <c r="A14" s="69">
        <f t="shared" si="4"/>
        <v>8</v>
      </c>
      <c r="B14" t="s">
        <v>52</v>
      </c>
      <c r="C14" s="4" t="s">
        <v>53</v>
      </c>
      <c r="D14" s="12">
        <f t="shared" si="3"/>
        <v>1379141.9500000002</v>
      </c>
      <c r="E14" s="80">
        <f>'[1]Input Tab'!C25</f>
        <v>135480.57999999999</v>
      </c>
      <c r="F14" s="80">
        <f>'[1]Input Tab'!D25</f>
        <v>178167.95</v>
      </c>
      <c r="G14" s="80">
        <f>'[1]Input Tab'!E25</f>
        <v>136054.45000000001</v>
      </c>
      <c r="H14" s="80">
        <f>'[1]Input Tab'!F25</f>
        <v>148758.28</v>
      </c>
      <c r="I14" s="80">
        <f>'[1]Input Tab'!G25</f>
        <v>128742.88</v>
      </c>
      <c r="J14" s="80">
        <f>'[1]Input Tab'!H25</f>
        <v>142915.95000000001</v>
      </c>
      <c r="K14" s="80">
        <f>'[1]Input Tab'!I25</f>
        <v>177518.57</v>
      </c>
      <c r="L14" s="80">
        <f>'[1]Input Tab'!J25</f>
        <v>94180.56</v>
      </c>
      <c r="M14" s="80">
        <f>'[1]Input Tab'!K25</f>
        <v>63439.91</v>
      </c>
      <c r="N14" s="80">
        <f>'[1]Input Tab'!L25</f>
        <v>77908.820000000007</v>
      </c>
      <c r="O14" s="80">
        <f>'[1]Input Tab'!M25</f>
        <v>95974</v>
      </c>
      <c r="P14" s="80">
        <f>'[1]Input Tab'!N25</f>
        <v>0</v>
      </c>
      <c r="Q14" s="76"/>
      <c r="R14" s="77">
        <f t="shared" si="2"/>
        <v>1379141.9500000002</v>
      </c>
    </row>
    <row r="15" spans="1:18">
      <c r="A15" s="69">
        <f t="shared" si="4"/>
        <v>9</v>
      </c>
      <c r="B15" s="2" t="s">
        <v>54</v>
      </c>
      <c r="C15" s="4">
        <v>185895</v>
      </c>
      <c r="D15" s="12">
        <f t="shared" si="3"/>
        <v>1567309.5199999998</v>
      </c>
      <c r="E15" s="80">
        <f>'[1]Input Tab'!C35</f>
        <v>160535.57999999999</v>
      </c>
      <c r="F15" s="80">
        <f>'[1]Input Tab'!D35</f>
        <v>132053.53</v>
      </c>
      <c r="G15" s="80">
        <f>'[1]Input Tab'!E35</f>
        <v>109083</v>
      </c>
      <c r="H15" s="80">
        <f>'[1]Input Tab'!F35</f>
        <v>75548.62</v>
      </c>
      <c r="I15" s="80">
        <f>'[1]Input Tab'!G35</f>
        <v>149166.75</v>
      </c>
      <c r="J15" s="80">
        <f>'[1]Input Tab'!H35</f>
        <v>140831.19</v>
      </c>
      <c r="K15" s="80">
        <f>'[1]Input Tab'!I35</f>
        <v>196042.7</v>
      </c>
      <c r="L15" s="80">
        <f>'[1]Input Tab'!J35</f>
        <v>106038.75</v>
      </c>
      <c r="M15" s="80">
        <f>'[1]Input Tab'!K35</f>
        <v>188824.99</v>
      </c>
      <c r="N15" s="80">
        <f>'[1]Input Tab'!L35</f>
        <v>181680.73</v>
      </c>
      <c r="O15" s="80">
        <f>'[1]Input Tab'!M35</f>
        <v>127503.67999999999</v>
      </c>
      <c r="P15" s="80">
        <f>'[1]Input Tab'!N35</f>
        <v>0</v>
      </c>
      <c r="Q15" s="76"/>
      <c r="R15" s="77">
        <f t="shared" si="2"/>
        <v>1567309.5199999998</v>
      </c>
    </row>
    <row r="16" spans="1:18" ht="12.75" customHeight="1">
      <c r="A16" s="69">
        <f t="shared" si="4"/>
        <v>10</v>
      </c>
      <c r="B16" t="s">
        <v>55</v>
      </c>
      <c r="C16" s="4">
        <v>186298</v>
      </c>
      <c r="D16" s="12">
        <f t="shared" si="3"/>
        <v>1710999.98</v>
      </c>
      <c r="E16" s="80">
        <f>'[1]Input Tab'!C36</f>
        <v>220402.28</v>
      </c>
      <c r="F16" s="80">
        <f>'[1]Input Tab'!D36</f>
        <v>348736.64</v>
      </c>
      <c r="G16" s="80">
        <f>'[1]Input Tab'!E36</f>
        <v>173787.24</v>
      </c>
      <c r="H16" s="80">
        <f>'[1]Input Tab'!F36</f>
        <v>254261.04</v>
      </c>
      <c r="I16" s="80">
        <f>'[1]Input Tab'!G36</f>
        <v>196120.98</v>
      </c>
      <c r="J16" s="80">
        <f>'[1]Input Tab'!H36</f>
        <v>212728.12</v>
      </c>
      <c r="K16" s="80">
        <f>'[1]Input Tab'!I36</f>
        <v>56660.66</v>
      </c>
      <c r="L16" s="80">
        <f>'[1]Input Tab'!J36</f>
        <v>0</v>
      </c>
      <c r="M16" s="80">
        <f>'[1]Input Tab'!K36</f>
        <v>90.44</v>
      </c>
      <c r="N16" s="80">
        <f>'[1]Input Tab'!L36</f>
        <v>58107.7</v>
      </c>
      <c r="O16" s="80">
        <f>'[1]Input Tab'!M36</f>
        <v>190104.88</v>
      </c>
      <c r="P16" s="80">
        <f>'[1]Input Tab'!N36</f>
        <v>0</v>
      </c>
      <c r="Q16" s="76"/>
      <c r="R16" s="77">
        <f t="shared" si="2"/>
        <v>1710999.98</v>
      </c>
    </row>
    <row r="17" spans="1:20">
      <c r="A17" s="69">
        <f>A16+1</f>
        <v>11</v>
      </c>
      <c r="B17" s="2" t="s">
        <v>56</v>
      </c>
      <c r="C17" s="4">
        <v>223063</v>
      </c>
      <c r="D17" s="12">
        <f t="shared" si="3"/>
        <v>5266124.22</v>
      </c>
      <c r="E17" s="80">
        <f>'[1]Input Tab'!C37</f>
        <v>539215.56000000006</v>
      </c>
      <c r="F17" s="80">
        <f>'[1]Input Tab'!D37</f>
        <v>522866.52</v>
      </c>
      <c r="G17" s="80">
        <f>'[1]Input Tab'!E37</f>
        <v>444785.4</v>
      </c>
      <c r="H17" s="80">
        <f>'[1]Input Tab'!F37</f>
        <v>423831.24</v>
      </c>
      <c r="I17" s="80">
        <f>'[1]Input Tab'!G37</f>
        <v>339112.08</v>
      </c>
      <c r="J17" s="80">
        <f>'[1]Input Tab'!H37</f>
        <v>470134.44</v>
      </c>
      <c r="K17" s="80">
        <f>'[1]Input Tab'!I37</f>
        <v>573175.14</v>
      </c>
      <c r="L17" s="80">
        <f>'[1]Input Tab'!J37</f>
        <v>483558.18</v>
      </c>
      <c r="M17" s="80">
        <f>'[1]Input Tab'!K37</f>
        <v>500664.12</v>
      </c>
      <c r="N17" s="80">
        <f>'[1]Input Tab'!L37</f>
        <v>533261.28</v>
      </c>
      <c r="O17" s="80">
        <f>'[1]Input Tab'!M37</f>
        <v>435520.26</v>
      </c>
      <c r="P17" s="80">
        <f>'[1]Input Tab'!N37</f>
        <v>0</v>
      </c>
      <c r="Q17" s="76"/>
      <c r="R17" s="77">
        <f t="shared" si="2"/>
        <v>5266124.22</v>
      </c>
    </row>
    <row r="18" spans="1:20">
      <c r="A18" s="69">
        <f>A17+1</f>
        <v>12</v>
      </c>
      <c r="B18" s="2" t="s">
        <v>57</v>
      </c>
      <c r="C18" s="4">
        <v>102475</v>
      </c>
      <c r="D18" s="12">
        <f t="shared" si="3"/>
        <v>12989.95</v>
      </c>
      <c r="E18" s="26">
        <f>'[1]Input Tab'!C38</f>
        <v>-310.67</v>
      </c>
      <c r="F18" s="26">
        <f>'[1]Input Tab'!D38</f>
        <v>1667.01</v>
      </c>
      <c r="G18" s="26">
        <f>'[1]Input Tab'!E38</f>
        <v>1578.6</v>
      </c>
      <c r="H18" s="26">
        <f>'[1]Input Tab'!F38</f>
        <v>1431.24</v>
      </c>
      <c r="I18" s="26">
        <f>'[1]Input Tab'!G38</f>
        <v>1519.65</v>
      </c>
      <c r="J18" s="26">
        <f>'[1]Input Tab'!H38</f>
        <v>1309.6600000000001</v>
      </c>
      <c r="K18" s="26">
        <f>'[1]Input Tab'!I38</f>
        <v>1309.6600000000001</v>
      </c>
      <c r="L18" s="26">
        <f>'[1]Input Tab'!J38</f>
        <v>1324.4</v>
      </c>
      <c r="M18" s="26">
        <f>'[1]Input Tab'!K38</f>
        <v>1490.18</v>
      </c>
      <c r="N18" s="26">
        <f>'[1]Input Tab'!L38</f>
        <v>426.87</v>
      </c>
      <c r="O18" s="26">
        <f>'[1]Input Tab'!M38</f>
        <v>1243.3499999999999</v>
      </c>
      <c r="P18" s="26">
        <f>'[1]Input Tab'!N38</f>
        <v>0</v>
      </c>
      <c r="Q18" s="76"/>
      <c r="R18" s="77">
        <f t="shared" si="2"/>
        <v>12989.95</v>
      </c>
    </row>
    <row r="19" spans="1:20">
      <c r="A19" s="69">
        <f>A18+1</f>
        <v>13</v>
      </c>
      <c r="B19" s="2" t="s">
        <v>58</v>
      </c>
      <c r="C19" s="4" t="s">
        <v>59</v>
      </c>
      <c r="D19" s="12">
        <f t="shared" si="3"/>
        <v>25636581.240000002</v>
      </c>
      <c r="E19" s="26">
        <f>'[1]Input Tab'!C39</f>
        <v>2414740.9500000002</v>
      </c>
      <c r="F19" s="26">
        <f>'[1]Input Tab'!D39</f>
        <v>2327885.33</v>
      </c>
      <c r="G19" s="26">
        <f>'[1]Input Tab'!E39</f>
        <v>2427120.0099999998</v>
      </c>
      <c r="H19" s="26">
        <f>'[1]Input Tab'!F39</f>
        <v>2402619.56</v>
      </c>
      <c r="I19" s="26">
        <f>'[1]Input Tab'!G39</f>
        <v>2109927.89</v>
      </c>
      <c r="J19" s="26">
        <f>'[1]Input Tab'!H39</f>
        <v>2056488.14</v>
      </c>
      <c r="K19" s="26">
        <f>'[1]Input Tab'!I39</f>
        <v>2224624.33</v>
      </c>
      <c r="L19" s="26">
        <f>'[1]Input Tab'!J39</f>
        <v>2406556.9900000002</v>
      </c>
      <c r="M19" s="26">
        <f>'[1]Input Tab'!K39</f>
        <v>2426541.3199999998</v>
      </c>
      <c r="N19" s="26">
        <f>'[1]Input Tab'!L39</f>
        <v>2416329.25</v>
      </c>
      <c r="O19" s="26">
        <f>'[1]Input Tab'!M39</f>
        <v>2423747.4700000002</v>
      </c>
      <c r="P19" s="26">
        <f>'[1]Input Tab'!N39</f>
        <v>0</v>
      </c>
      <c r="Q19" s="76"/>
      <c r="R19" s="77">
        <f t="shared" si="2"/>
        <v>25636581.240000002</v>
      </c>
    </row>
    <row r="20" spans="1:20">
      <c r="A20" s="69">
        <f>A19+1</f>
        <v>14</v>
      </c>
      <c r="B20" s="2" t="s">
        <v>60</v>
      </c>
      <c r="C20" s="4">
        <v>181462</v>
      </c>
      <c r="D20" s="12">
        <f t="shared" si="3"/>
        <v>21390593.279999997</v>
      </c>
      <c r="E20" s="26">
        <f>'[1]Input Tab'!C40</f>
        <v>3334132.48</v>
      </c>
      <c r="F20" s="26">
        <f>'[1]Input Tab'!D40</f>
        <v>2160327.6800000002</v>
      </c>
      <c r="G20" s="26">
        <f>'[1]Input Tab'!E40</f>
        <v>2406190.0800000001</v>
      </c>
      <c r="H20" s="26">
        <f>'[1]Input Tab'!F40</f>
        <v>1890255.36</v>
      </c>
      <c r="I20" s="26">
        <f>'[1]Input Tab'!G40</f>
        <v>1607701.76</v>
      </c>
      <c r="J20" s="26">
        <f>'[1]Input Tab'!H40</f>
        <v>1548995.84</v>
      </c>
      <c r="K20" s="26">
        <f>'[1]Input Tab'!I40</f>
        <v>1461187.84</v>
      </c>
      <c r="L20" s="26">
        <f>'[1]Input Tab'!J40</f>
        <v>1087063.04</v>
      </c>
      <c r="M20" s="26">
        <f>'[1]Input Tab'!K40</f>
        <v>1207861.76</v>
      </c>
      <c r="N20" s="26">
        <f>'[1]Input Tab'!L40</f>
        <v>2037333.76</v>
      </c>
      <c r="O20" s="26">
        <f>'[1]Input Tab'!M40</f>
        <v>2649543.6800000002</v>
      </c>
      <c r="P20" s="26">
        <f>'[1]Input Tab'!N40</f>
        <v>0</v>
      </c>
      <c r="Q20" s="76"/>
      <c r="R20" s="77">
        <f t="shared" si="2"/>
        <v>21390593.279999997</v>
      </c>
    </row>
    <row r="21" spans="1:20">
      <c r="A21" s="69">
        <f t="shared" ref="A21:A24" si="5">A20+1</f>
        <v>15</v>
      </c>
      <c r="B21" s="2" t="s">
        <v>61</v>
      </c>
      <c r="C21" s="4"/>
      <c r="D21" s="12">
        <f t="shared" si="3"/>
        <v>296267.46000000002</v>
      </c>
      <c r="E21" s="26">
        <f>'[1]Input Tab'!C41</f>
        <v>0</v>
      </c>
      <c r="F21" s="26">
        <f>'[1]Input Tab'!D41</f>
        <v>0</v>
      </c>
      <c r="G21" s="26">
        <f>'[1]Input Tab'!E41</f>
        <v>0</v>
      </c>
      <c r="H21" s="26">
        <f>'[1]Input Tab'!F41</f>
        <v>0</v>
      </c>
      <c r="I21" s="26">
        <f>'[1]Input Tab'!G41</f>
        <v>0</v>
      </c>
      <c r="J21" s="26">
        <f>'[1]Input Tab'!H41</f>
        <v>0</v>
      </c>
      <c r="K21" s="26">
        <f>'[1]Input Tab'!I41</f>
        <v>0</v>
      </c>
      <c r="L21" s="26">
        <f>'[1]Input Tab'!J41</f>
        <v>0</v>
      </c>
      <c r="M21" s="26">
        <f>'[1]Input Tab'!K41</f>
        <v>7981.09</v>
      </c>
      <c r="N21" s="26">
        <f>'[1]Input Tab'!L41</f>
        <v>106131.3</v>
      </c>
      <c r="O21" s="26">
        <f>'[1]Input Tab'!M41</f>
        <v>182155.07</v>
      </c>
      <c r="P21" s="26">
        <f>'[1]Input Tab'!N41</f>
        <v>0</v>
      </c>
      <c r="Q21" s="76"/>
      <c r="R21" s="77"/>
    </row>
    <row r="22" spans="1:20">
      <c r="A22" s="69">
        <f t="shared" si="5"/>
        <v>16</v>
      </c>
      <c r="B22" t="s">
        <v>62</v>
      </c>
      <c r="C22" s="81"/>
      <c r="D22" s="12">
        <f t="shared" si="3"/>
        <v>2374338</v>
      </c>
      <c r="E22" s="12">
        <f>E36</f>
        <v>230471</v>
      </c>
      <c r="F22" s="12">
        <f>F36</f>
        <v>284988</v>
      </c>
      <c r="G22" s="12">
        <f t="shared" ref="G22:P22" si="6">G36</f>
        <v>217561</v>
      </c>
      <c r="H22" s="12">
        <f t="shared" si="6"/>
        <v>192205</v>
      </c>
      <c r="I22" s="12">
        <f t="shared" si="6"/>
        <v>174560</v>
      </c>
      <c r="J22" s="12">
        <f t="shared" si="6"/>
        <v>188358</v>
      </c>
      <c r="K22" s="12">
        <f t="shared" si="6"/>
        <v>220740</v>
      </c>
      <c r="L22" s="12">
        <f t="shared" si="6"/>
        <v>226853</v>
      </c>
      <c r="M22" s="12">
        <f>M36</f>
        <v>203178</v>
      </c>
      <c r="N22" s="12">
        <f>N36</f>
        <v>224260</v>
      </c>
      <c r="O22" s="12">
        <f t="shared" si="6"/>
        <v>211164</v>
      </c>
      <c r="P22" s="12">
        <f t="shared" si="6"/>
        <v>0</v>
      </c>
      <c r="Q22" s="12"/>
      <c r="R22" s="77">
        <f t="shared" si="2"/>
        <v>2374338</v>
      </c>
    </row>
    <row r="23" spans="1:20">
      <c r="A23" s="69">
        <f t="shared" si="5"/>
        <v>17</v>
      </c>
      <c r="B23" s="2" t="s">
        <v>63</v>
      </c>
      <c r="C23" s="4"/>
      <c r="D23" s="12">
        <f t="shared" si="3"/>
        <v>72408</v>
      </c>
      <c r="E23" s="82">
        <f>E34</f>
        <v>15496</v>
      </c>
      <c r="F23" s="82">
        <f>F34</f>
        <v>9788</v>
      </c>
      <c r="G23" s="82">
        <f t="shared" ref="G23:P23" si="7">G34</f>
        <v>-27807</v>
      </c>
      <c r="H23" s="82">
        <f t="shared" si="7"/>
        <v>28331</v>
      </c>
      <c r="I23" s="82">
        <f t="shared" si="7"/>
        <v>-13021</v>
      </c>
      <c r="J23" s="82">
        <f t="shared" si="7"/>
        <v>7014</v>
      </c>
      <c r="K23" s="82">
        <f t="shared" si="7"/>
        <v>-16838</v>
      </c>
      <c r="L23" s="82">
        <f t="shared" si="7"/>
        <v>-2255</v>
      </c>
      <c r="M23" s="82">
        <f t="shared" si="7"/>
        <v>118455</v>
      </c>
      <c r="N23" s="82">
        <f>N34</f>
        <v>-751</v>
      </c>
      <c r="O23" s="82">
        <f t="shared" si="7"/>
        <v>-46004</v>
      </c>
      <c r="P23" s="82">
        <f t="shared" si="7"/>
        <v>0</v>
      </c>
      <c r="Q23" s="82"/>
      <c r="R23" s="77">
        <f t="shared" si="2"/>
        <v>72408</v>
      </c>
    </row>
    <row r="24" spans="1:20" s="88" customFormat="1" ht="13.5" thickBot="1">
      <c r="A24" s="69">
        <f t="shared" si="5"/>
        <v>18</v>
      </c>
      <c r="B24" s="83" t="s">
        <v>64</v>
      </c>
      <c r="C24" s="83"/>
      <c r="D24" s="84">
        <f>SUM(E24:P24)</f>
        <v>112303625.50037865</v>
      </c>
      <c r="E24" s="85">
        <f>E39</f>
        <v>13017722.189733334</v>
      </c>
      <c r="F24" s="85">
        <f t="shared" ref="F24:P24" si="8">F39</f>
        <v>11062157.811333334</v>
      </c>
      <c r="G24" s="85">
        <f>G39</f>
        <v>9087201.8101333342</v>
      </c>
      <c r="H24" s="85">
        <f t="shared" si="8"/>
        <v>9946840.4223333336</v>
      </c>
      <c r="I24" s="85">
        <f t="shared" si="8"/>
        <v>8799130.631533334</v>
      </c>
      <c r="J24" s="85">
        <f t="shared" si="8"/>
        <v>8298961.5692333337</v>
      </c>
      <c r="K24" s="85">
        <f t="shared" si="8"/>
        <v>9869695.4275333341</v>
      </c>
      <c r="L24" s="85">
        <f t="shared" si="8"/>
        <v>10928099.962533332</v>
      </c>
      <c r="M24" s="85">
        <f>M39</f>
        <v>9569452.8055423331</v>
      </c>
      <c r="N24" s="85">
        <f>N39</f>
        <v>10017659.238536334</v>
      </c>
      <c r="O24" s="85">
        <f t="shared" si="8"/>
        <v>11706703.631933333</v>
      </c>
      <c r="P24" s="85">
        <f t="shared" si="8"/>
        <v>0</v>
      </c>
      <c r="Q24" s="86"/>
      <c r="R24" s="87">
        <f>SUM(R7:R22)</f>
        <v>111934950.04037867</v>
      </c>
    </row>
    <row r="25" spans="1:20" ht="13.15" thickTop="1">
      <c r="A25" s="69"/>
      <c r="E25" s="89" t="s">
        <v>19</v>
      </c>
      <c r="F25" s="76" t="s">
        <v>19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</row>
    <row r="26" spans="1:20">
      <c r="A26" s="69"/>
      <c r="B26" s="2" t="s">
        <v>65</v>
      </c>
      <c r="C26" s="2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T26" s="25"/>
    </row>
    <row r="27" spans="1:20" outlineLevel="1">
      <c r="A27" s="69"/>
      <c r="B27" s="90" t="s">
        <v>43</v>
      </c>
      <c r="C27" s="90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</row>
    <row r="28" spans="1:20" outlineLevel="1">
      <c r="A28" s="69"/>
      <c r="B28">
        <v>555000</v>
      </c>
      <c r="D28" s="76">
        <f>SUM(E28:P28)</f>
        <v>105158409</v>
      </c>
      <c r="E28" s="34">
        <v>11300933</v>
      </c>
      <c r="F28" s="34">
        <v>9783421</v>
      </c>
      <c r="G28" s="34">
        <v>9368374</v>
      </c>
      <c r="H28" s="34">
        <v>8891163</v>
      </c>
      <c r="I28" s="34">
        <v>8111978</v>
      </c>
      <c r="J28" s="34">
        <v>7524829</v>
      </c>
      <c r="K28" s="34">
        <v>9055084</v>
      </c>
      <c r="L28" s="34">
        <v>10551605</v>
      </c>
      <c r="M28" s="34">
        <v>9673763</v>
      </c>
      <c r="N28" s="34">
        <v>10134076</v>
      </c>
      <c r="O28" s="34">
        <v>10763183</v>
      </c>
      <c r="P28" s="34">
        <v>0</v>
      </c>
      <c r="Q28" s="76"/>
      <c r="R28" s="77">
        <f t="shared" ref="R28:R38" si="9">SUM(E28:P28)</f>
        <v>105158409</v>
      </c>
    </row>
    <row r="29" spans="1:20" outlineLevel="1">
      <c r="A29" s="69"/>
      <c r="B29">
        <v>555030</v>
      </c>
      <c r="D29" s="76">
        <f>SUM(E29:P29)</f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76"/>
      <c r="R29" s="77"/>
    </row>
    <row r="30" spans="1:20" outlineLevel="1">
      <c r="A30" s="69"/>
      <c r="B30">
        <v>555100</v>
      </c>
      <c r="C30" t="s">
        <v>66</v>
      </c>
      <c r="D30" s="76">
        <f t="shared" ref="D30:D38" si="10">SUM(E30:P30)</f>
        <v>2763130</v>
      </c>
      <c r="E30" s="34">
        <v>1256392</v>
      </c>
      <c r="F30" s="34">
        <v>900700</v>
      </c>
      <c r="G30" s="34">
        <v>-662984</v>
      </c>
      <c r="H30" s="34">
        <v>191488</v>
      </c>
      <c r="I30" s="34">
        <v>444892</v>
      </c>
      <c r="J30" s="34">
        <v>539968</v>
      </c>
      <c r="K30" s="34">
        <v>422966</v>
      </c>
      <c r="L30" s="34">
        <v>-6136</v>
      </c>
      <c r="M30" s="34">
        <v>-617892</v>
      </c>
      <c r="N30" s="34">
        <v>-397656</v>
      </c>
      <c r="O30" s="34">
        <v>691392</v>
      </c>
      <c r="P30" s="34">
        <v>0</v>
      </c>
      <c r="Q30" s="76"/>
      <c r="R30" s="77">
        <f t="shared" si="9"/>
        <v>2763130</v>
      </c>
    </row>
    <row r="31" spans="1:20" outlineLevel="1">
      <c r="A31" s="69"/>
      <c r="B31" s="2">
        <v>555312</v>
      </c>
      <c r="C31" s="2" t="s">
        <v>67</v>
      </c>
      <c r="D31" s="76">
        <f t="shared" si="1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76"/>
      <c r="R31" s="77">
        <f>SUM(E31:P31)</f>
        <v>0</v>
      </c>
    </row>
    <row r="32" spans="1:20" outlineLevel="1">
      <c r="A32" s="69"/>
      <c r="B32">
        <v>555313</v>
      </c>
      <c r="C32" t="s">
        <v>67</v>
      </c>
      <c r="D32" s="76">
        <f t="shared" si="10"/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76"/>
      <c r="R32" s="77">
        <f>SUM(E32:P32)</f>
        <v>0</v>
      </c>
    </row>
    <row r="33" spans="1:18" outlineLevel="1">
      <c r="A33" s="69"/>
      <c r="B33">
        <v>555380</v>
      </c>
      <c r="C33" t="s">
        <v>68</v>
      </c>
      <c r="D33" s="76">
        <f t="shared" si="1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76"/>
      <c r="R33" s="77">
        <f>SUM(E33:P33)</f>
        <v>0</v>
      </c>
    </row>
    <row r="34" spans="1:18" outlineLevel="1">
      <c r="A34" s="69"/>
      <c r="B34">
        <v>555550</v>
      </c>
      <c r="C34" t="s">
        <v>69</v>
      </c>
      <c r="D34" s="76">
        <f t="shared" si="10"/>
        <v>72408</v>
      </c>
      <c r="E34" s="34">
        <v>15496</v>
      </c>
      <c r="F34" s="34">
        <v>9788</v>
      </c>
      <c r="G34" s="34">
        <v>-27807</v>
      </c>
      <c r="H34" s="34">
        <v>28331</v>
      </c>
      <c r="I34" s="34">
        <v>-13021</v>
      </c>
      <c r="J34" s="34">
        <v>7014</v>
      </c>
      <c r="K34" s="34">
        <v>-16838</v>
      </c>
      <c r="L34" s="34">
        <v>-2255</v>
      </c>
      <c r="M34" s="34">
        <v>118455</v>
      </c>
      <c r="N34" s="34">
        <v>-751</v>
      </c>
      <c r="O34" s="34">
        <v>-46004</v>
      </c>
      <c r="P34" s="34">
        <v>0</v>
      </c>
      <c r="Q34" s="76"/>
      <c r="R34" s="77">
        <f>SUM(E34:P34)</f>
        <v>72408</v>
      </c>
    </row>
    <row r="35" spans="1:18" outlineLevel="1">
      <c r="A35" s="69"/>
      <c r="B35">
        <v>555700</v>
      </c>
      <c r="C35" t="s">
        <v>70</v>
      </c>
      <c r="D35" s="76">
        <f t="shared" si="10"/>
        <v>2022902</v>
      </c>
      <c r="E35" s="34">
        <v>218942</v>
      </c>
      <c r="F35" s="34">
        <v>89780</v>
      </c>
      <c r="G35" s="34">
        <v>199854</v>
      </c>
      <c r="H35" s="34">
        <v>652725</v>
      </c>
      <c r="I35" s="34">
        <v>90380</v>
      </c>
      <c r="J35" s="34">
        <v>48766</v>
      </c>
      <c r="K35" s="34">
        <v>198595</v>
      </c>
      <c r="L35" s="34">
        <v>167200</v>
      </c>
      <c r="M35" s="34">
        <v>200100</v>
      </c>
      <c r="N35" s="34">
        <v>64360</v>
      </c>
      <c r="O35" s="34">
        <v>92200</v>
      </c>
      <c r="P35" s="34">
        <v>0</v>
      </c>
      <c r="Q35" s="76"/>
      <c r="R35" s="77">
        <f t="shared" si="9"/>
        <v>2022902</v>
      </c>
    </row>
    <row r="36" spans="1:18" outlineLevel="1">
      <c r="A36" s="69"/>
      <c r="B36">
        <v>555710</v>
      </c>
      <c r="C36" t="s">
        <v>71</v>
      </c>
      <c r="D36" s="76">
        <f t="shared" si="10"/>
        <v>2374338</v>
      </c>
      <c r="E36" s="34">
        <v>230471</v>
      </c>
      <c r="F36" s="34">
        <v>284988</v>
      </c>
      <c r="G36" s="34">
        <v>217561</v>
      </c>
      <c r="H36" s="34">
        <v>192205</v>
      </c>
      <c r="I36" s="34">
        <v>174560</v>
      </c>
      <c r="J36" s="34">
        <v>188358</v>
      </c>
      <c r="K36" s="34">
        <v>220740</v>
      </c>
      <c r="L36" s="34">
        <v>226853</v>
      </c>
      <c r="M36" s="34">
        <v>203178</v>
      </c>
      <c r="N36" s="34">
        <v>224260</v>
      </c>
      <c r="O36" s="34">
        <v>211164</v>
      </c>
      <c r="P36" s="34">
        <v>0</v>
      </c>
      <c r="Q36" s="76"/>
      <c r="R36" s="77">
        <f t="shared" si="9"/>
        <v>2374338</v>
      </c>
    </row>
    <row r="37" spans="1:18" outlineLevel="1">
      <c r="A37" s="69"/>
      <c r="C37" t="s">
        <v>72</v>
      </c>
      <c r="D37" s="76">
        <f t="shared" si="10"/>
        <v>-87561.499621333322</v>
      </c>
      <c r="E37" s="34">
        <f>-SUM((41423/12)+(1.24*956)-(E52*0.0063))</f>
        <v>-4511.8102666666664</v>
      </c>
      <c r="F37" s="34">
        <f>-SUM((41423/12)+(1.24*2700)-(F52*0.0063))</f>
        <v>-6519.188666666666</v>
      </c>
      <c r="G37" s="34">
        <f>-SUM((41423/12)+(1.24*3968)-(G52*0.0063))</f>
        <v>-7796.1898666666657</v>
      </c>
      <c r="H37" s="34">
        <f>-SUM((41423/12)+(1.24*4933)-(H52*0.0063))</f>
        <v>-9071.5776666666661</v>
      </c>
      <c r="I37" s="34">
        <f>-SUM((41423/12)+(1.24*5240)-(I52*0.0063))</f>
        <v>-9658.3684666666668</v>
      </c>
      <c r="J37" s="34">
        <f>-SUM((41423/12)+(1.24*5464)-(J52*0.0063))</f>
        <v>-9973.4307666666664</v>
      </c>
      <c r="K37" s="34">
        <f>-SUM((41423/12)+(1.24*6589)-(K52*0.0063))</f>
        <v>-10851.572466666667</v>
      </c>
      <c r="L37" s="34">
        <f>-SUM((41423/12)+(1.24*5750)-(L52*0.0063))</f>
        <v>-9167.0374666666667</v>
      </c>
      <c r="M37" s="34">
        <f>-SUM((41423/12)+(1.24*3943)-(M52*0.0063))</f>
        <v>-8151.1944576666656</v>
      </c>
      <c r="N37" s="34">
        <f>-SUM((41423/12)+(1.24*3198)-(N52*0.0063))</f>
        <v>-6629.7614636666667</v>
      </c>
      <c r="O37" s="34">
        <f>-SUM((41423/12)+(1.24*1646)-(O52*0.0063))</f>
        <v>-5231.3680666666669</v>
      </c>
      <c r="P37" s="34"/>
      <c r="Q37" s="76"/>
      <c r="R37" s="77"/>
    </row>
    <row r="38" spans="1:18" outlineLevel="1">
      <c r="A38" s="69"/>
      <c r="B38" s="64" t="s">
        <v>73</v>
      </c>
      <c r="C38" s="4" t="s">
        <v>74</v>
      </c>
      <c r="D38" s="91">
        <f t="shared" si="10"/>
        <v>0</v>
      </c>
      <c r="E38" s="92">
        <f>'[1]Input Tab'!C42</f>
        <v>0</v>
      </c>
      <c r="F38" s="92">
        <f>'[1]Input Tab'!D42</f>
        <v>0</v>
      </c>
      <c r="G38" s="92">
        <f>'[1]Input Tab'!E42</f>
        <v>0</v>
      </c>
      <c r="H38" s="92">
        <f>'[1]Input Tab'!F42</f>
        <v>0</v>
      </c>
      <c r="I38" s="92">
        <f>'[1]Input Tab'!G42</f>
        <v>0</v>
      </c>
      <c r="J38" s="92">
        <f>'[1]Input Tab'!H42</f>
        <v>0</v>
      </c>
      <c r="K38" s="92">
        <f>'[1]Input Tab'!I42</f>
        <v>0</v>
      </c>
      <c r="L38" s="92">
        <f>'[1]Input Tab'!J42</f>
        <v>0</v>
      </c>
      <c r="M38" s="92">
        <f>'[1]Input Tab'!K42</f>
        <v>0</v>
      </c>
      <c r="N38" s="92">
        <f>'[1]Input Tab'!L42</f>
        <v>0</v>
      </c>
      <c r="O38" s="92">
        <f>'[1]Input Tab'!M42</f>
        <v>0</v>
      </c>
      <c r="P38" s="92">
        <f>'[1]Input Tab'!N42</f>
        <v>0</v>
      </c>
      <c r="Q38" s="26"/>
      <c r="R38" s="77">
        <f t="shared" si="9"/>
        <v>0</v>
      </c>
    </row>
    <row r="39" spans="1:18" s="88" customFormat="1" ht="13.15" outlineLevel="1">
      <c r="A39" s="6"/>
      <c r="B39" s="93"/>
      <c r="C39" s="93"/>
      <c r="D39" s="94">
        <f>SUM(E39:P39)</f>
        <v>112303625.50037865</v>
      </c>
      <c r="E39" s="94">
        <f t="shared" ref="E39:P39" si="11">SUM(E28:E38)</f>
        <v>13017722.189733334</v>
      </c>
      <c r="F39" s="94">
        <f t="shared" si="11"/>
        <v>11062157.811333334</v>
      </c>
      <c r="G39" s="94">
        <f t="shared" si="11"/>
        <v>9087201.8101333342</v>
      </c>
      <c r="H39" s="94">
        <f t="shared" si="11"/>
        <v>9946840.4223333336</v>
      </c>
      <c r="I39" s="94">
        <f t="shared" si="11"/>
        <v>8799130.631533334</v>
      </c>
      <c r="J39" s="94">
        <f t="shared" si="11"/>
        <v>8298961.5692333337</v>
      </c>
      <c r="K39" s="94">
        <f t="shared" si="11"/>
        <v>9869695.4275333341</v>
      </c>
      <c r="L39" s="94">
        <f t="shared" si="11"/>
        <v>10928099.962533332</v>
      </c>
      <c r="M39" s="94">
        <f t="shared" si="11"/>
        <v>9569452.8055423331</v>
      </c>
      <c r="N39" s="94">
        <f t="shared" si="11"/>
        <v>10017659.238536334</v>
      </c>
      <c r="O39" s="94">
        <f t="shared" si="11"/>
        <v>11706703.631933333</v>
      </c>
      <c r="P39" s="94">
        <f t="shared" si="11"/>
        <v>0</v>
      </c>
      <c r="Q39" s="94"/>
      <c r="R39" s="94">
        <f>SUM(R28:R38)</f>
        <v>112391187</v>
      </c>
    </row>
    <row r="40" spans="1:18" ht="13.15">
      <c r="A40" s="69"/>
      <c r="B40" s="93"/>
      <c r="C40" s="93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</row>
    <row r="41" spans="1:18" ht="19.5" customHeight="1">
      <c r="A41" s="69"/>
      <c r="B41" s="74" t="s">
        <v>75</v>
      </c>
      <c r="C41" s="74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</row>
    <row r="42" spans="1:18" ht="12.95" customHeight="1">
      <c r="A42" s="69">
        <f>A24+1</f>
        <v>19</v>
      </c>
      <c r="B42" t="s">
        <v>76</v>
      </c>
      <c r="C42" s="81"/>
      <c r="D42" s="76">
        <f t="shared" ref="D42:D47" si="12">SUM(E42:P42)</f>
        <v>-58483225.899999984</v>
      </c>
      <c r="E42" s="82">
        <f t="shared" ref="E42:P42" si="13">E47-SUM(E43:E46)</f>
        <v>-6410216.5999999996</v>
      </c>
      <c r="F42" s="82">
        <f t="shared" si="13"/>
        <v>-5567361.1899999995</v>
      </c>
      <c r="G42" s="82">
        <f t="shared" si="13"/>
        <v>-5771824.5800000001</v>
      </c>
      <c r="H42" s="82">
        <f t="shared" si="13"/>
        <v>-6957135.8300000001</v>
      </c>
      <c r="I42" s="82">
        <f t="shared" si="13"/>
        <v>-4643720.88</v>
      </c>
      <c r="J42" s="82">
        <f t="shared" si="13"/>
        <v>-4498258.24</v>
      </c>
      <c r="K42" s="82">
        <f t="shared" si="13"/>
        <v>-5243857.2699999996</v>
      </c>
      <c r="L42" s="82">
        <f t="shared" si="13"/>
        <v>-6564705.9100000001</v>
      </c>
      <c r="M42" s="82">
        <f t="shared" si="13"/>
        <v>-3553855.18</v>
      </c>
      <c r="N42" s="82">
        <f t="shared" si="13"/>
        <v>-4230843.51</v>
      </c>
      <c r="O42" s="82">
        <f t="shared" si="13"/>
        <v>-5041446.71</v>
      </c>
      <c r="P42" s="82">
        <f t="shared" si="13"/>
        <v>0</v>
      </c>
      <c r="Q42" s="12"/>
      <c r="R42" s="76">
        <f>SUM(E42:P42)</f>
        <v>-58483225.899999984</v>
      </c>
    </row>
    <row r="43" spans="1:18">
      <c r="A43" s="69">
        <f>A42+1</f>
        <v>20</v>
      </c>
      <c r="B43" t="s">
        <v>77</v>
      </c>
      <c r="C43" s="81" t="s">
        <v>78</v>
      </c>
      <c r="D43" s="76">
        <f t="shared" si="12"/>
        <v>-803932.96000000008</v>
      </c>
      <c r="E43" s="80">
        <f>'[1]Input Tab'!C45</f>
        <v>-114195.96</v>
      </c>
      <c r="F43" s="80">
        <f>'[1]Input Tab'!D45</f>
        <v>-57978.06</v>
      </c>
      <c r="G43" s="80">
        <f>'[1]Input Tab'!E45</f>
        <v>-77242.25</v>
      </c>
      <c r="H43" s="80">
        <f>'[1]Input Tab'!F45</f>
        <v>-67203.78</v>
      </c>
      <c r="I43" s="80">
        <f>'[1]Input Tab'!G45</f>
        <v>-32500.65</v>
      </c>
      <c r="J43" s="80">
        <f>'[1]Input Tab'!H45</f>
        <v>-15887.4</v>
      </c>
      <c r="K43" s="80">
        <f>'[1]Input Tab'!I45</f>
        <v>-53470.2</v>
      </c>
      <c r="L43" s="80">
        <f>'[1]Input Tab'!J45</f>
        <v>-112902.3</v>
      </c>
      <c r="M43" s="80">
        <f>'[1]Input Tab'!K45</f>
        <v>-106143.78</v>
      </c>
      <c r="N43" s="80">
        <f>'[1]Input Tab'!L45</f>
        <v>-85307.18</v>
      </c>
      <c r="O43" s="80">
        <f>'[1]Input Tab'!M45</f>
        <v>-81101.399999999994</v>
      </c>
      <c r="P43" s="80">
        <f>'[1]Input Tab'!N45</f>
        <v>0</v>
      </c>
      <c r="Q43" s="12"/>
      <c r="R43" s="76">
        <f>SUM(E43:P43)</f>
        <v>-803932.96000000008</v>
      </c>
    </row>
    <row r="44" spans="1:18">
      <c r="A44" s="69">
        <f>A43+1</f>
        <v>21</v>
      </c>
      <c r="B44" s="2" t="s">
        <v>79</v>
      </c>
      <c r="C44" s="4" t="s">
        <v>80</v>
      </c>
      <c r="D44" s="76">
        <f t="shared" si="12"/>
        <v>-121597.78000000003</v>
      </c>
      <c r="E44" s="80">
        <f>'[1]Input Tab'!C46</f>
        <v>-12941.86</v>
      </c>
      <c r="F44" s="80">
        <f>'[1]Input Tab'!D46</f>
        <v>-12179.47</v>
      </c>
      <c r="G44" s="80">
        <f>'[1]Input Tab'!E46</f>
        <v>-12625.97</v>
      </c>
      <c r="H44" s="80">
        <f>'[1]Input Tab'!F46</f>
        <v>-12124.37</v>
      </c>
      <c r="I44" s="80">
        <f>'[1]Input Tab'!G46</f>
        <v>-12236.47</v>
      </c>
      <c r="J44" s="80">
        <f>'[1]Input Tab'!H46</f>
        <v>-10556.4</v>
      </c>
      <c r="K44" s="80">
        <f>'[1]Input Tab'!I46</f>
        <v>-9099.57</v>
      </c>
      <c r="L44" s="80">
        <f>'[1]Input Tab'!J46</f>
        <v>-9146.1299999999992</v>
      </c>
      <c r="M44" s="80">
        <f>'[1]Input Tab'!K46</f>
        <v>-10129.69</v>
      </c>
      <c r="N44" s="80">
        <f>'[1]Input Tab'!L46</f>
        <v>-10317.780000000001</v>
      </c>
      <c r="O44" s="80">
        <f>'[1]Input Tab'!M46</f>
        <v>-10240.07</v>
      </c>
      <c r="P44" s="80">
        <f>'[1]Input Tab'!N46</f>
        <v>0</v>
      </c>
      <c r="Q44" s="12"/>
      <c r="R44" s="76">
        <f>SUM(E44:P44)</f>
        <v>-121597.78000000003</v>
      </c>
    </row>
    <row r="45" spans="1:18">
      <c r="A45" s="69">
        <f>A44+1</f>
        <v>22</v>
      </c>
      <c r="B45" t="s">
        <v>81</v>
      </c>
      <c r="C45" s="95" t="s">
        <v>82</v>
      </c>
      <c r="D45" s="76">
        <f t="shared" si="12"/>
        <v>-402838.11999999994</v>
      </c>
      <c r="E45" s="80">
        <f>'[1]Input Tab'!C47</f>
        <v>-57586.58</v>
      </c>
      <c r="F45" s="80">
        <f>'[1]Input Tab'!D47</f>
        <v>-47591.28</v>
      </c>
      <c r="G45" s="80">
        <f>'[1]Input Tab'!E47</f>
        <v>-55025.2</v>
      </c>
      <c r="H45" s="80">
        <f>'[1]Input Tab'!F47</f>
        <v>-52181.02</v>
      </c>
      <c r="I45" s="80">
        <f>'[1]Input Tab'!G47</f>
        <v>-40336</v>
      </c>
      <c r="J45" s="80">
        <f>'[1]Input Tab'!H47</f>
        <v>-25066.959999999999</v>
      </c>
      <c r="K45" s="80">
        <f>'[1]Input Tab'!I47</f>
        <v>-24560.959999999999</v>
      </c>
      <c r="L45" s="80">
        <f>'[1]Input Tab'!J47</f>
        <v>-21079.66</v>
      </c>
      <c r="M45" s="80">
        <f>'[1]Input Tab'!K47</f>
        <v>-19637.919999999998</v>
      </c>
      <c r="N45" s="80">
        <f>'[1]Input Tab'!L47</f>
        <v>-29773.72</v>
      </c>
      <c r="O45" s="80">
        <f>'[1]Input Tab'!M47</f>
        <v>-29998.82</v>
      </c>
      <c r="P45" s="80">
        <f>'[1]Input Tab'!N47</f>
        <v>0</v>
      </c>
      <c r="Q45" s="12"/>
      <c r="R45" s="76">
        <f>SUM(E45:P45)</f>
        <v>-402838.11999999994</v>
      </c>
    </row>
    <row r="46" spans="1:18">
      <c r="A46" s="69">
        <f>A45+1</f>
        <v>23</v>
      </c>
      <c r="B46" t="s">
        <v>83</v>
      </c>
      <c r="C46" s="81"/>
      <c r="D46" s="76">
        <f t="shared" si="12"/>
        <v>-15212048</v>
      </c>
      <c r="E46" s="82">
        <f>E57</f>
        <v>-1223281</v>
      </c>
      <c r="F46" s="82">
        <f>F57</f>
        <v>-1274514</v>
      </c>
      <c r="G46" s="82">
        <f t="shared" ref="G46:P47" si="14">G57</f>
        <v>-1236581</v>
      </c>
      <c r="H46" s="82">
        <f t="shared" si="14"/>
        <v>-1823276</v>
      </c>
      <c r="I46" s="82">
        <f t="shared" si="14"/>
        <v>-1705686</v>
      </c>
      <c r="J46" s="82">
        <f>J57</f>
        <v>-1654839</v>
      </c>
      <c r="K46" s="82">
        <f>K57</f>
        <v>-1510579</v>
      </c>
      <c r="L46" s="82">
        <f t="shared" si="14"/>
        <v>-1115169</v>
      </c>
      <c r="M46" s="82">
        <f t="shared" si="14"/>
        <v>-1162308</v>
      </c>
      <c r="N46" s="82">
        <f t="shared" si="14"/>
        <v>-1250634</v>
      </c>
      <c r="O46" s="82">
        <f t="shared" si="14"/>
        <v>-1255181</v>
      </c>
      <c r="P46" s="82">
        <f t="shared" si="14"/>
        <v>0</v>
      </c>
      <c r="Q46" s="12"/>
      <c r="R46" s="76">
        <f>SUM(E46:P46)</f>
        <v>-15212048</v>
      </c>
    </row>
    <row r="47" spans="1:18" s="88" customFormat="1" ht="24.75" customHeight="1" thickBot="1">
      <c r="A47" s="96">
        <f>A46+1</f>
        <v>24</v>
      </c>
      <c r="B47" s="83" t="s">
        <v>84</v>
      </c>
      <c r="C47" s="83"/>
      <c r="D47" s="84">
        <f t="shared" si="12"/>
        <v>-75023642.760000005</v>
      </c>
      <c r="E47" s="85">
        <f>E58</f>
        <v>-7818222</v>
      </c>
      <c r="F47" s="85">
        <f>F58</f>
        <v>-6959624</v>
      </c>
      <c r="G47" s="85">
        <f t="shared" si="14"/>
        <v>-7153299</v>
      </c>
      <c r="H47" s="85">
        <f>H58</f>
        <v>-8911921</v>
      </c>
      <c r="I47" s="85">
        <f>I58</f>
        <v>-6434480</v>
      </c>
      <c r="J47" s="85">
        <f t="shared" si="14"/>
        <v>-6204608</v>
      </c>
      <c r="K47" s="85">
        <f t="shared" si="14"/>
        <v>-6841567</v>
      </c>
      <c r="L47" s="85">
        <f t="shared" si="14"/>
        <v>-7823003</v>
      </c>
      <c r="M47" s="85">
        <f>M58</f>
        <v>-4852074.57</v>
      </c>
      <c r="N47" s="85">
        <f t="shared" si="14"/>
        <v>-5606876.1899999995</v>
      </c>
      <c r="O47" s="85">
        <f t="shared" si="14"/>
        <v>-6417968</v>
      </c>
      <c r="P47" s="85">
        <f t="shared" si="14"/>
        <v>0</v>
      </c>
      <c r="Q47" s="97"/>
      <c r="R47" s="87">
        <f>SUM(R42:R46)</f>
        <v>-75023642.75999999</v>
      </c>
    </row>
    <row r="48" spans="1:18" ht="13.15" thickTop="1">
      <c r="A48" s="69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25"/>
    </row>
    <row r="49" spans="1:18" outlineLevel="2">
      <c r="A49" s="69"/>
      <c r="E49" s="76"/>
      <c r="F49" s="76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25"/>
    </row>
    <row r="50" spans="1:18" outlineLevel="2">
      <c r="A50" s="69"/>
      <c r="B50" s="98" t="s">
        <v>75</v>
      </c>
      <c r="C50" s="98"/>
      <c r="E50" s="76"/>
      <c r="F50" s="76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25"/>
    </row>
    <row r="51" spans="1:18" outlineLevel="2">
      <c r="A51" s="69"/>
      <c r="B51">
        <v>447000</v>
      </c>
      <c r="D51" s="76">
        <f t="shared" ref="D51:D58" si="15">SUM(E51:P51)</f>
        <v>-31517877</v>
      </c>
      <c r="E51" s="34">
        <v>-3835467</v>
      </c>
      <c r="F51" s="34">
        <v>-2627687</v>
      </c>
      <c r="G51" s="34">
        <v>-3877053</v>
      </c>
      <c r="H51" s="34">
        <v>-4628479</v>
      </c>
      <c r="I51" s="34">
        <v>-1311184</v>
      </c>
      <c r="J51" s="34">
        <v>-185383</v>
      </c>
      <c r="K51" s="34">
        <v>-2143356</v>
      </c>
      <c r="L51" s="34">
        <v>-5007788</v>
      </c>
      <c r="M51" s="34">
        <v>-2447337</v>
      </c>
      <c r="N51" s="34">
        <v>-2799736</v>
      </c>
      <c r="O51" s="34">
        <v>-2654407</v>
      </c>
      <c r="P51" s="34">
        <v>0</v>
      </c>
      <c r="Q51" s="99"/>
      <c r="R51" s="77">
        <f t="shared" ref="R51:R57" si="16">SUM(E51:P51)</f>
        <v>-31517877</v>
      </c>
    </row>
    <row r="52" spans="1:18" ht="13.15" outlineLevel="2">
      <c r="A52" s="69"/>
      <c r="B52" t="s">
        <v>85</v>
      </c>
      <c r="C52" s="88" t="s">
        <v>86</v>
      </c>
      <c r="D52" s="76">
        <f t="shared" si="15"/>
        <v>864994.24</v>
      </c>
      <c r="E52" s="34">
        <v>19928</v>
      </c>
      <c r="F52" s="34">
        <v>44560</v>
      </c>
      <c r="G52" s="34">
        <v>91436</v>
      </c>
      <c r="H52" s="34">
        <v>78930</v>
      </c>
      <c r="I52" s="34">
        <v>46214</v>
      </c>
      <c r="J52" s="34">
        <v>40293</v>
      </c>
      <c r="K52" s="34">
        <v>122334</v>
      </c>
      <c r="L52" s="34">
        <v>224584</v>
      </c>
      <c r="M52" s="34">
        <f>109845.46-79680.03</f>
        <v>30165.430000000008</v>
      </c>
      <c r="N52" s="34">
        <f>87676.37+37351.44</f>
        <v>125027.81</v>
      </c>
      <c r="O52" s="34">
        <v>41522</v>
      </c>
      <c r="P52" s="34"/>
      <c r="Q52" s="99"/>
      <c r="R52" s="77"/>
    </row>
    <row r="53" spans="1:18" outlineLevel="2">
      <c r="A53" s="69"/>
      <c r="B53">
        <v>447100</v>
      </c>
      <c r="D53" s="76">
        <f t="shared" si="15"/>
        <v>-11264174</v>
      </c>
      <c r="E53" s="34">
        <v>-1028302</v>
      </c>
      <c r="F53" s="34">
        <v>-1145634</v>
      </c>
      <c r="G53" s="34">
        <v>-328879</v>
      </c>
      <c r="H53" s="34">
        <v>-737252</v>
      </c>
      <c r="I53" s="34">
        <v>-2395170</v>
      </c>
      <c r="J53" s="34">
        <v>-3583660</v>
      </c>
      <c r="K53" s="34">
        <v>-2209558</v>
      </c>
      <c r="L53" s="34">
        <v>386306</v>
      </c>
      <c r="M53" s="34">
        <v>168236</v>
      </c>
      <c r="N53" s="34">
        <v>533250</v>
      </c>
      <c r="O53" s="34">
        <v>-923511</v>
      </c>
      <c r="P53" s="34">
        <v>0</v>
      </c>
      <c r="Q53" s="99"/>
      <c r="R53" s="77">
        <f t="shared" si="16"/>
        <v>-11264174</v>
      </c>
    </row>
    <row r="54" spans="1:18" outlineLevel="2">
      <c r="A54" s="69"/>
      <c r="B54">
        <v>447150</v>
      </c>
      <c r="D54" s="76">
        <f t="shared" si="15"/>
        <v>-13061743</v>
      </c>
      <c r="E54" s="34">
        <v>-1265005</v>
      </c>
      <c r="F54" s="34">
        <v>-1503561</v>
      </c>
      <c r="G54" s="34">
        <v>-1358611</v>
      </c>
      <c r="H54" s="34">
        <v>-884798</v>
      </c>
      <c r="I54" s="34">
        <v>-700094</v>
      </c>
      <c r="J54" s="34">
        <v>-498100</v>
      </c>
      <c r="K54" s="34">
        <v>-644975</v>
      </c>
      <c r="L54" s="34">
        <v>-1900295</v>
      </c>
      <c r="M54" s="34">
        <v>-1076953</v>
      </c>
      <c r="N54" s="34">
        <v>-1920874</v>
      </c>
      <c r="O54" s="34">
        <v>-1308477</v>
      </c>
      <c r="P54" s="34">
        <v>0</v>
      </c>
      <c r="Q54" s="99"/>
      <c r="R54" s="77">
        <f t="shared" si="16"/>
        <v>-13061743</v>
      </c>
    </row>
    <row r="55" spans="1:18" outlineLevel="2">
      <c r="A55" s="69"/>
      <c r="B55">
        <v>447700</v>
      </c>
      <c r="D55" s="76">
        <f t="shared" si="15"/>
        <v>-2458457</v>
      </c>
      <c r="E55" s="34">
        <v>-255624</v>
      </c>
      <c r="F55" s="34">
        <v>-167800</v>
      </c>
      <c r="G55" s="34">
        <v>-226050</v>
      </c>
      <c r="H55" s="34">
        <v>-724841</v>
      </c>
      <c r="I55" s="34">
        <v>-194000</v>
      </c>
      <c r="J55" s="34">
        <v>-134561</v>
      </c>
      <c r="K55" s="34">
        <v>-234693</v>
      </c>
      <c r="L55" s="34">
        <v>-183788</v>
      </c>
      <c r="M55" s="34">
        <v>-160700</v>
      </c>
      <c r="N55" s="34">
        <v>-69650</v>
      </c>
      <c r="O55" s="34">
        <v>-106750</v>
      </c>
      <c r="P55" s="34">
        <v>0</v>
      </c>
      <c r="Q55" s="99"/>
      <c r="R55" s="77">
        <f t="shared" si="16"/>
        <v>-2458457</v>
      </c>
    </row>
    <row r="56" spans="1:18" outlineLevel="2">
      <c r="A56" s="69"/>
      <c r="B56">
        <v>447710</v>
      </c>
      <c r="D56" s="76">
        <f t="shared" si="15"/>
        <v>-2374338</v>
      </c>
      <c r="E56" s="34">
        <v>-230471</v>
      </c>
      <c r="F56" s="34">
        <v>-284988</v>
      </c>
      <c r="G56" s="34">
        <v>-217561</v>
      </c>
      <c r="H56" s="34">
        <v>-192205</v>
      </c>
      <c r="I56" s="34">
        <v>-174560</v>
      </c>
      <c r="J56" s="34">
        <v>-188358</v>
      </c>
      <c r="K56" s="34">
        <v>-220740</v>
      </c>
      <c r="L56" s="34">
        <v>-226853</v>
      </c>
      <c r="M56" s="34">
        <v>-203178</v>
      </c>
      <c r="N56" s="34">
        <v>-224260</v>
      </c>
      <c r="O56" s="34">
        <v>-211164</v>
      </c>
      <c r="P56" s="34">
        <v>0</v>
      </c>
      <c r="Q56" s="99"/>
      <c r="R56" s="77">
        <f t="shared" si="16"/>
        <v>-2374338</v>
      </c>
    </row>
    <row r="57" spans="1:18" outlineLevel="2">
      <c r="A57" s="69"/>
      <c r="B57">
        <v>447720</v>
      </c>
      <c r="C57" s="2" t="s">
        <v>87</v>
      </c>
      <c r="D57" s="91">
        <f t="shared" si="15"/>
        <v>-15212048</v>
      </c>
      <c r="E57" s="100">
        <v>-1223281</v>
      </c>
      <c r="F57" s="100">
        <v>-1274514</v>
      </c>
      <c r="G57" s="100">
        <v>-1236581</v>
      </c>
      <c r="H57" s="100">
        <v>-1823276</v>
      </c>
      <c r="I57" s="100">
        <v>-1705686</v>
      </c>
      <c r="J57" s="100">
        <v>-1654839</v>
      </c>
      <c r="K57" s="100">
        <v>-1510579</v>
      </c>
      <c r="L57" s="100">
        <v>-1115169</v>
      </c>
      <c r="M57" s="100">
        <v>-1162308</v>
      </c>
      <c r="N57" s="100">
        <v>-1250634</v>
      </c>
      <c r="O57" s="100">
        <v>-1255181</v>
      </c>
      <c r="P57" s="100">
        <v>0</v>
      </c>
      <c r="Q57" s="99"/>
      <c r="R57" s="101">
        <f t="shared" si="16"/>
        <v>-15212048</v>
      </c>
    </row>
    <row r="58" spans="1:18" s="88" customFormat="1" ht="13.15" outlineLevel="2">
      <c r="A58" s="6"/>
      <c r="D58" s="94">
        <f t="shared" si="15"/>
        <v>-75023642.760000005</v>
      </c>
      <c r="E58" s="102">
        <f t="shared" ref="E58:P58" si="17">SUM(E51:E57)</f>
        <v>-7818222</v>
      </c>
      <c r="F58" s="102">
        <f t="shared" si="17"/>
        <v>-6959624</v>
      </c>
      <c r="G58" s="102">
        <f t="shared" si="17"/>
        <v>-7153299</v>
      </c>
      <c r="H58" s="102">
        <f t="shared" si="17"/>
        <v>-8911921</v>
      </c>
      <c r="I58" s="102">
        <f t="shared" si="17"/>
        <v>-6434480</v>
      </c>
      <c r="J58" s="102">
        <f t="shared" si="17"/>
        <v>-6204608</v>
      </c>
      <c r="K58" s="102">
        <f t="shared" si="17"/>
        <v>-6841567</v>
      </c>
      <c r="L58" s="102">
        <f t="shared" si="17"/>
        <v>-7823003</v>
      </c>
      <c r="M58" s="102">
        <f>SUM(M51:M57)</f>
        <v>-4852074.57</v>
      </c>
      <c r="N58" s="102">
        <f t="shared" si="17"/>
        <v>-5606876.1899999995</v>
      </c>
      <c r="O58" s="102">
        <f t="shared" si="17"/>
        <v>-6417968</v>
      </c>
      <c r="P58" s="102">
        <f t="shared" si="17"/>
        <v>0</v>
      </c>
      <c r="Q58" s="103"/>
      <c r="R58" s="94">
        <f>SUM(R51:R57)</f>
        <v>-75888637</v>
      </c>
    </row>
    <row r="59" spans="1:18" outlineLevel="2">
      <c r="A59" s="69"/>
      <c r="E59" s="76"/>
      <c r="F59" s="76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99"/>
      <c r="R59" s="76"/>
    </row>
    <row r="60" spans="1:18" ht="13.15">
      <c r="A60" s="69"/>
      <c r="B60" s="74" t="s">
        <v>88</v>
      </c>
      <c r="C60" s="7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99"/>
      <c r="R60" s="76"/>
    </row>
    <row r="61" spans="1:18">
      <c r="A61" s="69">
        <f>A47+1</f>
        <v>25</v>
      </c>
      <c r="B61" s="2" t="s">
        <v>89</v>
      </c>
      <c r="C61" s="2"/>
      <c r="D61" s="76">
        <f>SUM(E61:P61)</f>
        <v>5332487</v>
      </c>
      <c r="E61" s="34">
        <v>669436</v>
      </c>
      <c r="F61" s="34">
        <v>586372</v>
      </c>
      <c r="G61" s="34">
        <v>520044</v>
      </c>
      <c r="H61" s="34">
        <v>588601</v>
      </c>
      <c r="I61" s="34">
        <v>-1484</v>
      </c>
      <c r="J61" s="34">
        <v>4598</v>
      </c>
      <c r="K61" s="34">
        <v>332272</v>
      </c>
      <c r="L61" s="34">
        <v>659968</v>
      </c>
      <c r="M61" s="34">
        <v>805116</v>
      </c>
      <c r="N61" s="34">
        <v>744164</v>
      </c>
      <c r="O61" s="34">
        <v>423400</v>
      </c>
      <c r="P61" s="34">
        <v>0</v>
      </c>
      <c r="Q61" s="99"/>
      <c r="R61" s="33">
        <f>SUM(E61:P61)</f>
        <v>5332487</v>
      </c>
    </row>
    <row r="62" spans="1:18">
      <c r="A62" s="69">
        <f>+A61+1</f>
        <v>26</v>
      </c>
      <c r="B62" s="2" t="s">
        <v>90</v>
      </c>
      <c r="C62" s="2"/>
      <c r="D62" s="76">
        <f>SUM(E62:P62)</f>
        <v>10762</v>
      </c>
      <c r="E62" s="34">
        <v>466</v>
      </c>
      <c r="F62" s="34">
        <v>2150</v>
      </c>
      <c r="G62" s="34">
        <v>602</v>
      </c>
      <c r="H62" s="34">
        <v>929</v>
      </c>
      <c r="I62" s="34">
        <v>-19</v>
      </c>
      <c r="J62" s="34">
        <v>751</v>
      </c>
      <c r="K62" s="34">
        <v>620</v>
      </c>
      <c r="L62" s="34">
        <v>1687</v>
      </c>
      <c r="M62" s="34">
        <v>-95</v>
      </c>
      <c r="N62" s="34">
        <v>1356</v>
      </c>
      <c r="O62" s="34">
        <v>2315</v>
      </c>
      <c r="P62" s="34">
        <v>0</v>
      </c>
      <c r="Q62" s="99"/>
      <c r="R62" s="33">
        <f>SUM(E62:P62)</f>
        <v>10762</v>
      </c>
    </row>
    <row r="63" spans="1:18">
      <c r="A63" s="69">
        <f>+A62+1</f>
        <v>27</v>
      </c>
      <c r="B63" t="s">
        <v>91</v>
      </c>
      <c r="D63" s="76">
        <f>SUM(E63:P63)</f>
        <v>19600477</v>
      </c>
      <c r="E63" s="34">
        <v>2514090</v>
      </c>
      <c r="F63" s="34">
        <v>2811018</v>
      </c>
      <c r="G63" s="34">
        <v>2357564</v>
      </c>
      <c r="H63" s="34">
        <v>2203760</v>
      </c>
      <c r="I63" s="34">
        <v>739924</v>
      </c>
      <c r="J63" s="34">
        <v>785937</v>
      </c>
      <c r="K63" s="34">
        <v>1770445</v>
      </c>
      <c r="L63" s="34">
        <v>2452135</v>
      </c>
      <c r="M63" s="34">
        <v>1458669</v>
      </c>
      <c r="N63" s="34">
        <v>993505</v>
      </c>
      <c r="O63" s="34">
        <v>1513430</v>
      </c>
      <c r="P63" s="34">
        <v>0</v>
      </c>
      <c r="Q63" s="99"/>
      <c r="R63" s="104">
        <f>SUM(E63:P63)</f>
        <v>19600477</v>
      </c>
    </row>
    <row r="64" spans="1:18">
      <c r="A64" s="69">
        <f>+A63+1</f>
        <v>28</v>
      </c>
      <c r="B64" t="s">
        <v>92</v>
      </c>
      <c r="D64" s="76">
        <f>SUM(E64:P64)</f>
        <v>167517</v>
      </c>
      <c r="E64" s="34">
        <v>55086</v>
      </c>
      <c r="F64" s="34">
        <v>0</v>
      </c>
      <c r="G64" s="34">
        <v>0</v>
      </c>
      <c r="H64" s="34">
        <v>10854</v>
      </c>
      <c r="I64" s="34">
        <v>0</v>
      </c>
      <c r="J64" s="34">
        <v>39179</v>
      </c>
      <c r="K64" s="34">
        <v>16708</v>
      </c>
      <c r="L64" s="34">
        <v>2292</v>
      </c>
      <c r="M64" s="34">
        <v>9906</v>
      </c>
      <c r="N64" s="34">
        <v>20217</v>
      </c>
      <c r="O64" s="34">
        <v>13275</v>
      </c>
      <c r="P64" s="34">
        <v>0</v>
      </c>
      <c r="Q64" s="99"/>
      <c r="R64" s="104">
        <f>SUM(E64:P64)</f>
        <v>167517</v>
      </c>
    </row>
    <row r="65" spans="1:18" s="88" customFormat="1" ht="27.75" customHeight="1" thickBot="1">
      <c r="A65" s="96">
        <f>+A64+1</f>
        <v>29</v>
      </c>
      <c r="B65" s="83" t="s">
        <v>93</v>
      </c>
      <c r="C65" s="83"/>
      <c r="D65" s="84">
        <f>SUM(E65:P65)</f>
        <v>25111243</v>
      </c>
      <c r="E65" s="57">
        <f>SUM(E61:E64)</f>
        <v>3239078</v>
      </c>
      <c r="F65" s="57">
        <f t="shared" ref="F65:P65" si="18">SUM(F61:F64)</f>
        <v>3399540</v>
      </c>
      <c r="G65" s="57">
        <f t="shared" si="18"/>
        <v>2878210</v>
      </c>
      <c r="H65" s="57">
        <f t="shared" si="18"/>
        <v>2804144</v>
      </c>
      <c r="I65" s="57">
        <f t="shared" si="18"/>
        <v>738421</v>
      </c>
      <c r="J65" s="57">
        <f t="shared" si="18"/>
        <v>830465</v>
      </c>
      <c r="K65" s="57">
        <f t="shared" si="18"/>
        <v>2120045</v>
      </c>
      <c r="L65" s="57">
        <f t="shared" si="18"/>
        <v>3116082</v>
      </c>
      <c r="M65" s="57">
        <f t="shared" si="18"/>
        <v>2273596</v>
      </c>
      <c r="N65" s="57">
        <f t="shared" si="18"/>
        <v>1759242</v>
      </c>
      <c r="O65" s="57">
        <f t="shared" si="18"/>
        <v>1952420</v>
      </c>
      <c r="P65" s="57">
        <f t="shared" si="18"/>
        <v>0</v>
      </c>
      <c r="Q65" s="105"/>
      <c r="R65" s="87">
        <f>SUM(E65:P65)</f>
        <v>25111243</v>
      </c>
    </row>
    <row r="66" spans="1:18" ht="13.15" thickTop="1">
      <c r="A66" s="69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25"/>
    </row>
    <row r="67" spans="1:18" ht="18.75" customHeight="1">
      <c r="A67" s="69"/>
      <c r="B67" s="74" t="s">
        <v>94</v>
      </c>
      <c r="C67" s="74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25"/>
    </row>
    <row r="68" spans="1:18">
      <c r="A68" s="69">
        <f>A65+1</f>
        <v>30</v>
      </c>
      <c r="B68" t="s">
        <v>95</v>
      </c>
      <c r="C68" s="2" t="s">
        <v>96</v>
      </c>
      <c r="D68" s="106">
        <f>SUM(E68:P68)</f>
        <v>413880</v>
      </c>
      <c r="E68" s="107">
        <f>'[1]Input Tab'!C50</f>
        <v>53540</v>
      </c>
      <c r="F68" s="107">
        <f>'[1]Input Tab'!D50</f>
        <v>47910</v>
      </c>
      <c r="G68" s="107">
        <f>'[1]Input Tab'!E50</f>
        <v>43672</v>
      </c>
      <c r="H68" s="107">
        <f>'[1]Input Tab'!F50</f>
        <v>49482</v>
      </c>
      <c r="I68" s="107">
        <f>'[1]Input Tab'!G50</f>
        <v>0</v>
      </c>
      <c r="J68" s="107">
        <f>'[1]Input Tab'!H50</f>
        <v>372</v>
      </c>
      <c r="K68" s="107">
        <f>'[1]Input Tab'!I50</f>
        <v>26216</v>
      </c>
      <c r="L68" s="107">
        <f>'[1]Input Tab'!J50</f>
        <v>50160</v>
      </c>
      <c r="M68" s="107">
        <f>'[1]Input Tab'!K50</f>
        <v>58138</v>
      </c>
      <c r="N68" s="107">
        <f>'[1]Input Tab'!L50</f>
        <v>53378</v>
      </c>
      <c r="O68" s="107">
        <f>'[1]Input Tab'!M50</f>
        <v>31012</v>
      </c>
      <c r="P68" s="107">
        <f>'[1]Input Tab'!N50</f>
        <v>0</v>
      </c>
      <c r="Q68" s="25"/>
      <c r="R68" s="108">
        <f>SUM(E68:P68)</f>
        <v>413880</v>
      </c>
    </row>
    <row r="69" spans="1:18">
      <c r="A69" s="69">
        <f>A68+1</f>
        <v>31</v>
      </c>
      <c r="B69" t="s">
        <v>97</v>
      </c>
      <c r="C69" s="2" t="s">
        <v>98</v>
      </c>
      <c r="D69" s="106">
        <f>SUM(E69:P69)</f>
        <v>674757</v>
      </c>
      <c r="E69" s="107">
        <f>'[1]Input Tab'!C51</f>
        <v>94106</v>
      </c>
      <c r="F69" s="107">
        <f>'[1]Input Tab'!D51</f>
        <v>71708</v>
      </c>
      <c r="G69" s="107">
        <f>'[1]Input Tab'!E51</f>
        <v>82836</v>
      </c>
      <c r="H69" s="107">
        <f>'[1]Input Tab'!F51</f>
        <v>78696</v>
      </c>
      <c r="I69" s="107">
        <f>'[1]Input Tab'!G51</f>
        <v>25604</v>
      </c>
      <c r="J69" s="107">
        <f>'[1]Input Tab'!H51</f>
        <v>28502</v>
      </c>
      <c r="K69" s="107">
        <f>'[1]Input Tab'!I51</f>
        <v>62875</v>
      </c>
      <c r="L69" s="107">
        <f>'[1]Input Tab'!J51</f>
        <v>88085</v>
      </c>
      <c r="M69" s="107">
        <f>'[1]Input Tab'!K51</f>
        <v>51780</v>
      </c>
      <c r="N69" s="107">
        <f>'[1]Input Tab'!L51</f>
        <v>35440</v>
      </c>
      <c r="O69" s="107">
        <f>'[1]Input Tab'!M51</f>
        <v>55125</v>
      </c>
      <c r="P69" s="107">
        <f>'[1]Input Tab'!N51</f>
        <v>0</v>
      </c>
      <c r="Q69" s="25"/>
      <c r="R69" s="108">
        <f>SUM(E69:P69)</f>
        <v>674757</v>
      </c>
    </row>
    <row r="70" spans="1:18">
      <c r="A70" s="69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25"/>
    </row>
    <row r="71" spans="1:18" ht="21" customHeight="1">
      <c r="A71" s="69"/>
      <c r="B71" s="74" t="s">
        <v>99</v>
      </c>
      <c r="C71" s="7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25"/>
    </row>
    <row r="72" spans="1:18">
      <c r="A72" s="69">
        <f>A69+1</f>
        <v>32</v>
      </c>
      <c r="B72" t="s">
        <v>95</v>
      </c>
      <c r="D72" s="69" t="s">
        <v>100</v>
      </c>
      <c r="E72" s="109">
        <f>IF(E68=0," ",E61/E68)</f>
        <v>12.503474038102354</v>
      </c>
      <c r="F72" s="109">
        <f>IF(F68=0," ",F61/F68)</f>
        <v>12.239031517428511</v>
      </c>
      <c r="G72" s="109">
        <f>IF(G68=0," ",G61/G68)</f>
        <v>11.907950174024547</v>
      </c>
      <c r="H72" s="109">
        <f t="shared" ref="H72:P72" si="19">IF(H68=0," ",H61/H68)</f>
        <v>11.89525484014389</v>
      </c>
      <c r="I72" s="109" t="str">
        <f>IF(I68=0," ",I61/I68)</f>
        <v xml:space="preserve"> </v>
      </c>
      <c r="J72" s="109">
        <f t="shared" si="19"/>
        <v>12.36021505376344</v>
      </c>
      <c r="K72" s="109">
        <f>IF(K68=0," ",K61/K68)</f>
        <v>12.674397314617028</v>
      </c>
      <c r="L72" s="109">
        <f t="shared" si="19"/>
        <v>13.15725677830941</v>
      </c>
      <c r="M72" s="109">
        <f t="shared" si="19"/>
        <v>13.848360796725034</v>
      </c>
      <c r="N72" s="109">
        <f t="shared" si="19"/>
        <v>13.941399078271948</v>
      </c>
      <c r="O72" s="109">
        <f t="shared" si="19"/>
        <v>13.652779569199019</v>
      </c>
      <c r="P72" s="109" t="str">
        <f t="shared" si="19"/>
        <v xml:space="preserve"> </v>
      </c>
      <c r="Q72" s="110"/>
      <c r="R72" s="110">
        <f>R61/R68</f>
        <v>12.884137914371316</v>
      </c>
    </row>
    <row r="73" spans="1:18">
      <c r="A73" s="69">
        <f>A72+1</f>
        <v>33</v>
      </c>
      <c r="B73" t="s">
        <v>101</v>
      </c>
      <c r="D73" s="69" t="s">
        <v>102</v>
      </c>
      <c r="E73" s="109">
        <f>IF(E69=0," ",E63/E69)</f>
        <v>26.715512294646462</v>
      </c>
      <c r="F73" s="109">
        <f>IF(F69=0," ",F63/F69)</f>
        <v>39.200898086684887</v>
      </c>
      <c r="G73" s="109">
        <f t="shared" ref="G73:P73" si="20">IF(G69=0," ",G63/G69)</f>
        <v>28.460620986044717</v>
      </c>
      <c r="H73" s="109">
        <f t="shared" si="20"/>
        <v>28.003456338314528</v>
      </c>
      <c r="I73" s="109">
        <f>IF(I69=0," ",I63/I69)</f>
        <v>28.898765817840964</v>
      </c>
      <c r="J73" s="109">
        <f t="shared" si="20"/>
        <v>27.574801768296961</v>
      </c>
      <c r="K73" s="109">
        <f t="shared" si="20"/>
        <v>28.15817097415507</v>
      </c>
      <c r="L73" s="109">
        <f t="shared" si="20"/>
        <v>27.83828120565363</v>
      </c>
      <c r="M73" s="109">
        <f t="shared" si="20"/>
        <v>28.170509849362688</v>
      </c>
      <c r="N73" s="109">
        <f t="shared" si="20"/>
        <v>28.033436794582393</v>
      </c>
      <c r="O73" s="109">
        <f t="shared" si="20"/>
        <v>27.454512471655327</v>
      </c>
      <c r="P73" s="109" t="str">
        <f t="shared" si="20"/>
        <v xml:space="preserve"> </v>
      </c>
      <c r="Q73" s="110"/>
      <c r="R73" s="110">
        <f>R63/R69</f>
        <v>29.048201056083894</v>
      </c>
    </row>
    <row r="74" spans="1:18">
      <c r="A74" s="69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25"/>
    </row>
    <row r="75" spans="1:18" ht="13.15">
      <c r="A75" s="69"/>
      <c r="B75" s="74" t="s">
        <v>103</v>
      </c>
      <c r="C75" s="74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25"/>
    </row>
    <row r="76" spans="1:18">
      <c r="A76" s="69">
        <f>A73+1</f>
        <v>34</v>
      </c>
      <c r="B76" t="s">
        <v>104</v>
      </c>
      <c r="D76" s="76">
        <f t="shared" ref="D76:D82" si="21">SUM(E76:P76)</f>
        <v>15488</v>
      </c>
      <c r="E76" s="34">
        <v>-1839</v>
      </c>
      <c r="F76" s="34">
        <v>35</v>
      </c>
      <c r="G76" s="34">
        <v>-23</v>
      </c>
      <c r="H76" s="34">
        <v>82</v>
      </c>
      <c r="I76" s="34">
        <v>29</v>
      </c>
      <c r="J76" s="34">
        <v>76</v>
      </c>
      <c r="K76" s="34">
        <v>-93</v>
      </c>
      <c r="L76" s="34">
        <v>-216</v>
      </c>
      <c r="M76" s="34">
        <v>1053</v>
      </c>
      <c r="N76" s="34">
        <v>1132</v>
      </c>
      <c r="O76" s="34">
        <v>15252</v>
      </c>
      <c r="P76" s="34">
        <v>0</v>
      </c>
      <c r="Q76" s="111"/>
      <c r="R76" s="112">
        <f t="shared" ref="R76:R81" si="22">SUM(E76:P76)</f>
        <v>15488</v>
      </c>
    </row>
    <row r="77" spans="1:18">
      <c r="A77" s="69">
        <f t="shared" ref="A77:A82" si="23">A76+1</f>
        <v>35</v>
      </c>
      <c r="B77" t="s">
        <v>105</v>
      </c>
      <c r="D77" s="76">
        <f t="shared" si="21"/>
        <v>784034</v>
      </c>
      <c r="E77" s="34">
        <v>20130</v>
      </c>
      <c r="F77" s="34">
        <v>11475</v>
      </c>
      <c r="G77" s="34">
        <v>80312</v>
      </c>
      <c r="H77" s="34">
        <v>98567</v>
      </c>
      <c r="I77" s="34">
        <v>10548</v>
      </c>
      <c r="J77" s="34">
        <v>19509</v>
      </c>
      <c r="K77" s="34">
        <v>40446</v>
      </c>
      <c r="L77" s="34">
        <v>85902</v>
      </c>
      <c r="M77" s="34">
        <v>153725</v>
      </c>
      <c r="N77" s="34">
        <v>204879</v>
      </c>
      <c r="O77" s="34">
        <v>58541</v>
      </c>
      <c r="P77" s="34">
        <v>0</v>
      </c>
      <c r="Q77" s="111"/>
      <c r="R77" s="112">
        <f t="shared" si="22"/>
        <v>784034</v>
      </c>
    </row>
    <row r="78" spans="1:18">
      <c r="A78" s="69">
        <f t="shared" si="23"/>
        <v>36</v>
      </c>
      <c r="B78" t="s">
        <v>106</v>
      </c>
      <c r="D78" s="76">
        <f t="shared" si="21"/>
        <v>28050</v>
      </c>
      <c r="E78" s="34">
        <v>2625</v>
      </c>
      <c r="F78" s="34">
        <v>3871</v>
      </c>
      <c r="G78" s="34">
        <v>2594</v>
      </c>
      <c r="H78" s="34">
        <v>1268</v>
      </c>
      <c r="I78" s="34">
        <v>1772</v>
      </c>
      <c r="J78" s="34">
        <v>614</v>
      </c>
      <c r="K78" s="34">
        <v>1472</v>
      </c>
      <c r="L78" s="34">
        <v>9330</v>
      </c>
      <c r="M78" s="34">
        <v>4616</v>
      </c>
      <c r="N78" s="34">
        <v>2289</v>
      </c>
      <c r="O78" s="34">
        <v>-2401</v>
      </c>
      <c r="P78" s="34">
        <v>0</v>
      </c>
      <c r="Q78" s="111"/>
      <c r="R78" s="112">
        <f t="shared" si="22"/>
        <v>28050</v>
      </c>
    </row>
    <row r="79" spans="1:18">
      <c r="A79" s="69">
        <f t="shared" si="23"/>
        <v>37</v>
      </c>
      <c r="B79" t="s">
        <v>107</v>
      </c>
      <c r="D79" s="76">
        <f t="shared" si="21"/>
        <v>21960954</v>
      </c>
      <c r="E79" s="34">
        <v>2553876</v>
      </c>
      <c r="F79" s="34">
        <v>2266934</v>
      </c>
      <c r="G79" s="34">
        <v>2517341</v>
      </c>
      <c r="H79" s="34">
        <v>1550090</v>
      </c>
      <c r="I79" s="34">
        <v>447698</v>
      </c>
      <c r="J79" s="34">
        <v>564243</v>
      </c>
      <c r="K79" s="34">
        <v>1543423</v>
      </c>
      <c r="L79" s="34">
        <v>2739420</v>
      </c>
      <c r="M79" s="34">
        <v>2564111</v>
      </c>
      <c r="N79" s="34">
        <v>2505960</v>
      </c>
      <c r="O79" s="34">
        <v>2707858</v>
      </c>
      <c r="P79" s="34">
        <v>0</v>
      </c>
      <c r="Q79" s="111"/>
      <c r="R79" s="112">
        <f t="shared" si="22"/>
        <v>21960954</v>
      </c>
    </row>
    <row r="80" spans="1:18">
      <c r="A80" s="69">
        <f>A79+1</f>
        <v>38</v>
      </c>
      <c r="B80" s="2" t="s">
        <v>108</v>
      </c>
      <c r="C80" s="2"/>
      <c r="D80" s="76">
        <f t="shared" si="21"/>
        <v>21164735</v>
      </c>
      <c r="E80" s="34">
        <v>2326662</v>
      </c>
      <c r="F80" s="34">
        <v>1755204</v>
      </c>
      <c r="G80" s="34">
        <v>2352441</v>
      </c>
      <c r="H80" s="34">
        <v>2028732</v>
      </c>
      <c r="I80" s="34">
        <v>711804</v>
      </c>
      <c r="J80" s="34">
        <v>471786</v>
      </c>
      <c r="K80" s="34">
        <v>1331921</v>
      </c>
      <c r="L80" s="34">
        <v>2462679</v>
      </c>
      <c r="M80" s="34">
        <v>2362221</v>
      </c>
      <c r="N80" s="34">
        <v>2426723</v>
      </c>
      <c r="O80" s="34">
        <v>2934562</v>
      </c>
      <c r="P80" s="34">
        <v>0</v>
      </c>
      <c r="Q80" s="111"/>
      <c r="R80" s="112">
        <f>SUM(E80:P80)</f>
        <v>21164735</v>
      </c>
    </row>
    <row r="81" spans="1:18">
      <c r="A81" s="69">
        <f>A80+1</f>
        <v>39</v>
      </c>
      <c r="B81" s="113" t="s">
        <v>109</v>
      </c>
      <c r="C81" s="113"/>
      <c r="D81" s="76">
        <f t="shared" si="21"/>
        <v>3107430</v>
      </c>
      <c r="E81" s="100">
        <v>24298</v>
      </c>
      <c r="F81" s="100">
        <v>61420</v>
      </c>
      <c r="G81" s="100">
        <v>522576</v>
      </c>
      <c r="H81" s="100">
        <v>693800</v>
      </c>
      <c r="I81" s="100">
        <v>44933</v>
      </c>
      <c r="J81" s="100">
        <v>42765</v>
      </c>
      <c r="K81" s="100">
        <v>113802</v>
      </c>
      <c r="L81" s="100">
        <v>290438</v>
      </c>
      <c r="M81" s="100">
        <v>480922</v>
      </c>
      <c r="N81" s="100">
        <v>804113</v>
      </c>
      <c r="O81" s="100">
        <v>28363</v>
      </c>
      <c r="P81" s="100">
        <v>0</v>
      </c>
      <c r="Q81" s="111"/>
      <c r="R81" s="114">
        <f t="shared" si="22"/>
        <v>3107430</v>
      </c>
    </row>
    <row r="82" spans="1:18" s="88" customFormat="1" ht="21.75" customHeight="1">
      <c r="A82" s="96">
        <f t="shared" si="23"/>
        <v>40</v>
      </c>
      <c r="B82" s="83" t="s">
        <v>110</v>
      </c>
      <c r="C82" s="83"/>
      <c r="D82" s="84">
        <f t="shared" si="21"/>
        <v>47060691</v>
      </c>
      <c r="E82" s="57">
        <f t="shared" ref="E82:P82" si="24">SUM(E76:E81)</f>
        <v>4925752</v>
      </c>
      <c r="F82" s="57">
        <f t="shared" si="24"/>
        <v>4098939</v>
      </c>
      <c r="G82" s="57">
        <f t="shared" si="24"/>
        <v>5475241</v>
      </c>
      <c r="H82" s="57">
        <f t="shared" si="24"/>
        <v>4372539</v>
      </c>
      <c r="I82" s="57">
        <f t="shared" si="24"/>
        <v>1216784</v>
      </c>
      <c r="J82" s="57">
        <f t="shared" si="24"/>
        <v>1098993</v>
      </c>
      <c r="K82" s="57">
        <f t="shared" si="24"/>
        <v>3030971</v>
      </c>
      <c r="L82" s="57">
        <f t="shared" si="24"/>
        <v>5587553</v>
      </c>
      <c r="M82" s="57">
        <f t="shared" si="24"/>
        <v>5566648</v>
      </c>
      <c r="N82" s="57">
        <f t="shared" si="24"/>
        <v>5945096</v>
      </c>
      <c r="O82" s="57">
        <f t="shared" si="24"/>
        <v>5742175</v>
      </c>
      <c r="P82" s="57">
        <f t="shared" si="24"/>
        <v>0</v>
      </c>
      <c r="Q82" s="115"/>
      <c r="R82" s="116">
        <f>SUM(R76:R81)</f>
        <v>47060691</v>
      </c>
    </row>
    <row r="83" spans="1:18" ht="15.75" customHeight="1">
      <c r="A83" s="69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11"/>
      <c r="R83" s="112"/>
    </row>
    <row r="84" spans="1:18" ht="21" customHeight="1">
      <c r="A84" s="96">
        <f>A82+1</f>
        <v>41</v>
      </c>
      <c r="B84" s="117" t="s">
        <v>111</v>
      </c>
      <c r="C84" s="117"/>
      <c r="D84" s="118">
        <f>SUM(E84:P84)</f>
        <v>109451916.74037866</v>
      </c>
      <c r="E84" s="57">
        <f t="shared" ref="E84:P84" si="25">E24+E47+E65+E82</f>
        <v>13364330.189733334</v>
      </c>
      <c r="F84" s="57">
        <f t="shared" si="25"/>
        <v>11601012.811333334</v>
      </c>
      <c r="G84" s="57">
        <f t="shared" si="25"/>
        <v>10287353.810133334</v>
      </c>
      <c r="H84" s="57">
        <f t="shared" si="25"/>
        <v>8211602.4223333336</v>
      </c>
      <c r="I84" s="57">
        <f t="shared" si="25"/>
        <v>4319855.631533334</v>
      </c>
      <c r="J84" s="57">
        <f t="shared" si="25"/>
        <v>4023811.5692333337</v>
      </c>
      <c r="K84" s="57">
        <f t="shared" si="25"/>
        <v>8179144.4275333341</v>
      </c>
      <c r="L84" s="57">
        <f t="shared" si="25"/>
        <v>11808731.962533332</v>
      </c>
      <c r="M84" s="57">
        <f t="shared" si="25"/>
        <v>12557622.235542333</v>
      </c>
      <c r="N84" s="57">
        <f t="shared" si="25"/>
        <v>12115121.048536334</v>
      </c>
      <c r="O84" s="57">
        <f t="shared" si="25"/>
        <v>12983330.631933333</v>
      </c>
      <c r="P84" s="57">
        <f t="shared" si="25"/>
        <v>0</v>
      </c>
      <c r="Q84" s="119"/>
      <c r="R84" s="120">
        <f>R24-R47+R65+R82</f>
        <v>259130526.80037868</v>
      </c>
    </row>
    <row r="85" spans="1:18" ht="12" customHeight="1"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25"/>
    </row>
    <row r="86" spans="1:18" outlineLevel="1">
      <c r="B86" s="121" t="s">
        <v>19</v>
      </c>
      <c r="C86" s="121"/>
      <c r="E86" s="122">
        <v>202001</v>
      </c>
      <c r="F86" s="122">
        <v>202002</v>
      </c>
      <c r="G86" s="122">
        <v>202003</v>
      </c>
      <c r="H86" s="122">
        <v>202004</v>
      </c>
      <c r="I86" s="122">
        <v>202005</v>
      </c>
      <c r="J86" s="122">
        <v>202006</v>
      </c>
      <c r="K86" s="122">
        <v>202007</v>
      </c>
      <c r="L86" s="122">
        <v>202008</v>
      </c>
      <c r="M86" s="122">
        <v>202009</v>
      </c>
      <c r="N86" s="122">
        <v>202010</v>
      </c>
      <c r="O86" s="122">
        <v>202011</v>
      </c>
      <c r="P86" s="122">
        <v>202012</v>
      </c>
      <c r="Q86" s="25"/>
    </row>
    <row r="87" spans="1:18" ht="13.15">
      <c r="B87" s="75" t="s">
        <v>112</v>
      </c>
      <c r="C87" s="75"/>
      <c r="D87" s="123"/>
      <c r="E87" s="12"/>
      <c r="F87" s="12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25"/>
    </row>
    <row r="88" spans="1:18">
      <c r="A88" s="69">
        <f>A84+1</f>
        <v>42</v>
      </c>
      <c r="B88" s="121" t="s">
        <v>113</v>
      </c>
      <c r="C88" s="121"/>
      <c r="D88" s="76">
        <f t="shared" ref="D88:D96" si="26">SUM(E88:P88)</f>
        <v>-12066884</v>
      </c>
      <c r="E88" s="34">
        <v>-675313</v>
      </c>
      <c r="F88" s="34">
        <v>-919841</v>
      </c>
      <c r="G88" s="34">
        <v>-748908</v>
      </c>
      <c r="H88" s="34">
        <v>-697529</v>
      </c>
      <c r="I88" s="34">
        <v>-1150361</v>
      </c>
      <c r="J88" s="34">
        <v>-1310572</v>
      </c>
      <c r="K88" s="34">
        <v>-1487265</v>
      </c>
      <c r="L88" s="34">
        <v>-1709458</v>
      </c>
      <c r="M88" s="34">
        <v>-1395252</v>
      </c>
      <c r="N88" s="34">
        <v>-1326087</v>
      </c>
      <c r="O88" s="34">
        <v>-646298</v>
      </c>
      <c r="P88" s="34">
        <v>0</v>
      </c>
      <c r="Q88" s="111"/>
      <c r="R88" s="112">
        <f t="shared" ref="R88:R96" si="27">SUM(E88:P88)</f>
        <v>-12066884</v>
      </c>
    </row>
    <row r="89" spans="1:18">
      <c r="A89" s="69">
        <v>45</v>
      </c>
      <c r="B89" s="121" t="s">
        <v>114</v>
      </c>
      <c r="C89" s="121"/>
      <c r="D89" s="76">
        <f t="shared" si="26"/>
        <v>-847000</v>
      </c>
      <c r="E89" s="23">
        <v>-77000</v>
      </c>
      <c r="F89" s="23">
        <v>-77000</v>
      </c>
      <c r="G89" s="23">
        <v>-77000</v>
      </c>
      <c r="H89" s="23">
        <v>-77000</v>
      </c>
      <c r="I89" s="23">
        <v>-77000</v>
      </c>
      <c r="J89" s="23">
        <v>-77000</v>
      </c>
      <c r="K89" s="23">
        <v>-77000</v>
      </c>
      <c r="L89" s="23">
        <v>-77000</v>
      </c>
      <c r="M89" s="23">
        <v>-77000</v>
      </c>
      <c r="N89" s="23">
        <v>-77000</v>
      </c>
      <c r="O89" s="23">
        <v>-77000</v>
      </c>
      <c r="P89" s="23">
        <v>0</v>
      </c>
      <c r="Q89" s="111"/>
      <c r="R89" s="112">
        <f t="shared" si="27"/>
        <v>-847000</v>
      </c>
    </row>
    <row r="90" spans="1:18">
      <c r="A90" s="69">
        <f>A89+1</f>
        <v>46</v>
      </c>
      <c r="B90" s="121" t="s">
        <v>115</v>
      </c>
      <c r="C90" s="121"/>
      <c r="D90" s="76">
        <f t="shared" si="26"/>
        <v>-206209</v>
      </c>
      <c r="E90" s="34">
        <v>0</v>
      </c>
      <c r="F90" s="34">
        <v>0</v>
      </c>
      <c r="G90" s="34">
        <v>0</v>
      </c>
      <c r="H90" s="34">
        <v>-8563</v>
      </c>
      <c r="I90" s="34">
        <v>-111418</v>
      </c>
      <c r="J90" s="34">
        <v>-32555</v>
      </c>
      <c r="K90" s="34">
        <v>-52809</v>
      </c>
      <c r="L90" s="34">
        <v>-364</v>
      </c>
      <c r="M90" s="34">
        <v>0</v>
      </c>
      <c r="N90" s="34">
        <v>-500</v>
      </c>
      <c r="O90" s="34">
        <v>0</v>
      </c>
      <c r="P90" s="34">
        <v>0</v>
      </c>
      <c r="Q90" s="34"/>
      <c r="R90" s="112">
        <f t="shared" si="27"/>
        <v>-206209</v>
      </c>
    </row>
    <row r="91" spans="1:18">
      <c r="A91" s="69">
        <f>A90+1</f>
        <v>47</v>
      </c>
      <c r="B91" s="121" t="s">
        <v>116</v>
      </c>
      <c r="C91" s="121"/>
      <c r="D91" s="76">
        <f t="shared" si="26"/>
        <v>-1157590</v>
      </c>
      <c r="E91" s="34">
        <v>-105538</v>
      </c>
      <c r="F91" s="34">
        <v>-104338</v>
      </c>
      <c r="G91" s="34">
        <v>-102857</v>
      </c>
      <c r="H91" s="34">
        <v>-103784</v>
      </c>
      <c r="I91" s="34">
        <v>-101938</v>
      </c>
      <c r="J91" s="34">
        <v>-100000</v>
      </c>
      <c r="K91" s="34">
        <v>-100000</v>
      </c>
      <c r="L91" s="34">
        <v>-107384</v>
      </c>
      <c r="M91" s="34">
        <v>-116245</v>
      </c>
      <c r="N91" s="34">
        <v>-115506</v>
      </c>
      <c r="O91" s="34">
        <v>-100000</v>
      </c>
      <c r="P91" s="34">
        <v>0</v>
      </c>
      <c r="Q91" s="34"/>
      <c r="R91" s="112"/>
    </row>
    <row r="92" spans="1:18">
      <c r="A92" s="69">
        <f>A91+1</f>
        <v>48</v>
      </c>
      <c r="B92" s="121" t="s">
        <v>117</v>
      </c>
      <c r="C92" s="121"/>
      <c r="D92" s="76">
        <f t="shared" si="26"/>
        <v>-2376735</v>
      </c>
      <c r="E92" s="34">
        <v>-230471</v>
      </c>
      <c r="F92" s="34">
        <v>-287385</v>
      </c>
      <c r="G92" s="34">
        <v>-217561</v>
      </c>
      <c r="H92" s="34">
        <v>-192205</v>
      </c>
      <c r="I92" s="34">
        <v>-174560</v>
      </c>
      <c r="J92" s="34">
        <v>-188358</v>
      </c>
      <c r="K92" s="34">
        <v>-220740</v>
      </c>
      <c r="L92" s="34">
        <v>-226853</v>
      </c>
      <c r="M92" s="34">
        <v>-203178</v>
      </c>
      <c r="N92" s="34">
        <v>-224260</v>
      </c>
      <c r="O92" s="34">
        <v>-211164</v>
      </c>
      <c r="P92" s="34">
        <v>0</v>
      </c>
      <c r="Q92" s="111"/>
      <c r="R92" s="112">
        <f t="shared" si="27"/>
        <v>-2376735</v>
      </c>
    </row>
    <row r="93" spans="1:18">
      <c r="A93" s="69">
        <f>+A92+1</f>
        <v>49</v>
      </c>
      <c r="B93" s="2" t="s">
        <v>118</v>
      </c>
      <c r="C93" s="2"/>
      <c r="D93" s="33">
        <f>SUM(E93:P93)</f>
        <v>-63558</v>
      </c>
      <c r="E93" s="125">
        <v>-5778</v>
      </c>
      <c r="F93" s="125">
        <v>-5778</v>
      </c>
      <c r="G93" s="125">
        <v>-5778</v>
      </c>
      <c r="H93" s="125">
        <v>-5778</v>
      </c>
      <c r="I93" s="125">
        <v>-5778</v>
      </c>
      <c r="J93" s="125">
        <v>-5778</v>
      </c>
      <c r="K93" s="125">
        <v>-5778</v>
      </c>
      <c r="L93" s="125">
        <v>-5778</v>
      </c>
      <c r="M93" s="125">
        <v>-5778</v>
      </c>
      <c r="N93" s="125">
        <v>-5778</v>
      </c>
      <c r="O93" s="125">
        <v>-5778</v>
      </c>
      <c r="P93" s="125">
        <v>0</v>
      </c>
      <c r="Q93" s="111"/>
      <c r="R93" s="112">
        <f t="shared" si="27"/>
        <v>-63558</v>
      </c>
    </row>
    <row r="94" spans="1:18">
      <c r="A94" s="69">
        <f>+A93+1</f>
        <v>50</v>
      </c>
      <c r="B94" s="121" t="s">
        <v>119</v>
      </c>
      <c r="C94" s="121"/>
      <c r="D94" s="76">
        <f t="shared" si="26"/>
        <v>-104318</v>
      </c>
      <c r="E94" s="34">
        <v>-9378</v>
      </c>
      <c r="F94" s="34">
        <v>-9378</v>
      </c>
      <c r="G94" s="34">
        <v>-9378</v>
      </c>
      <c r="H94" s="34">
        <v>-9523</v>
      </c>
      <c r="I94" s="34">
        <v>-9523</v>
      </c>
      <c r="J94" s="34">
        <v>-9523</v>
      </c>
      <c r="K94" s="34">
        <v>-9523</v>
      </c>
      <c r="L94" s="34">
        <v>-9523</v>
      </c>
      <c r="M94" s="34">
        <v>-9523</v>
      </c>
      <c r="N94" s="34">
        <v>-9523</v>
      </c>
      <c r="O94" s="34">
        <v>-9523</v>
      </c>
      <c r="P94" s="34">
        <v>0</v>
      </c>
      <c r="Q94" s="111"/>
      <c r="R94" s="112">
        <f t="shared" si="27"/>
        <v>-104318</v>
      </c>
    </row>
    <row r="95" spans="1:18">
      <c r="A95" s="69">
        <f>+A94+1</f>
        <v>51</v>
      </c>
      <c r="B95" s="126" t="s">
        <v>120</v>
      </c>
      <c r="C95" s="126" t="s">
        <v>121</v>
      </c>
      <c r="D95" s="76">
        <f t="shared" si="26"/>
        <v>-1539703</v>
      </c>
      <c r="E95" s="100">
        <v>-139973</v>
      </c>
      <c r="F95" s="100">
        <v>-139973</v>
      </c>
      <c r="G95" s="100">
        <v>-139973</v>
      </c>
      <c r="H95" s="100">
        <v>-139973</v>
      </c>
      <c r="I95" s="100">
        <v>-139973</v>
      </c>
      <c r="J95" s="100">
        <v>-139973</v>
      </c>
      <c r="K95" s="100">
        <v>-139973</v>
      </c>
      <c r="L95" s="100">
        <v>-139973</v>
      </c>
      <c r="M95" s="100">
        <v>-139973</v>
      </c>
      <c r="N95" s="100">
        <v>-139973</v>
      </c>
      <c r="O95" s="100">
        <v>-139973</v>
      </c>
      <c r="P95" s="100">
        <v>0</v>
      </c>
      <c r="Q95" s="111"/>
      <c r="R95" s="114">
        <f t="shared" si="27"/>
        <v>-1539703</v>
      </c>
    </row>
    <row r="96" spans="1:18" s="88" customFormat="1" ht="20.25" customHeight="1">
      <c r="A96" s="96">
        <f>A95+1</f>
        <v>52</v>
      </c>
      <c r="B96" s="127" t="s">
        <v>122</v>
      </c>
      <c r="C96" s="127"/>
      <c r="D96" s="84">
        <f t="shared" si="26"/>
        <v>-18361997</v>
      </c>
      <c r="E96" s="84">
        <f>SUM(E88:E95)</f>
        <v>-1243451</v>
      </c>
      <c r="F96" s="84">
        <f t="shared" ref="F96:P96" si="28">SUM(F88:F95)</f>
        <v>-1543693</v>
      </c>
      <c r="G96" s="84">
        <f t="shared" si="28"/>
        <v>-1301455</v>
      </c>
      <c r="H96" s="84">
        <f t="shared" si="28"/>
        <v>-1234355</v>
      </c>
      <c r="I96" s="84">
        <f t="shared" si="28"/>
        <v>-1770551</v>
      </c>
      <c r="J96" s="84">
        <f t="shared" si="28"/>
        <v>-1863759</v>
      </c>
      <c r="K96" s="84">
        <f t="shared" si="28"/>
        <v>-2093088</v>
      </c>
      <c r="L96" s="84">
        <f t="shared" si="28"/>
        <v>-2276333</v>
      </c>
      <c r="M96" s="84">
        <f t="shared" si="28"/>
        <v>-1946949</v>
      </c>
      <c r="N96" s="84">
        <f t="shared" si="28"/>
        <v>-1898627</v>
      </c>
      <c r="O96" s="84">
        <f t="shared" si="28"/>
        <v>-1189736</v>
      </c>
      <c r="P96" s="84">
        <f t="shared" si="28"/>
        <v>0</v>
      </c>
      <c r="Q96" s="115"/>
      <c r="R96" s="116">
        <f t="shared" si="27"/>
        <v>-18361997</v>
      </c>
    </row>
    <row r="97" spans="1:18">
      <c r="A97" s="69"/>
      <c r="E97" s="76"/>
      <c r="F97" s="76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11"/>
      <c r="R97" s="112"/>
    </row>
    <row r="98" spans="1:18" ht="13.15">
      <c r="A98" s="69"/>
      <c r="B98" s="74" t="s">
        <v>123</v>
      </c>
      <c r="C98" s="74"/>
      <c r="E98" s="76"/>
      <c r="F98" s="76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11"/>
      <c r="R98" s="112"/>
    </row>
    <row r="99" spans="1:18">
      <c r="A99" s="69">
        <f>A96+1</f>
        <v>53</v>
      </c>
      <c r="B99" s="2" t="s">
        <v>124</v>
      </c>
      <c r="C99" s="2"/>
      <c r="D99" s="76">
        <f>SUM(E99:P99)</f>
        <v>15114194</v>
      </c>
      <c r="E99" s="34">
        <v>1397531</v>
      </c>
      <c r="F99" s="34">
        <v>1371808</v>
      </c>
      <c r="G99" s="34">
        <v>1397309</v>
      </c>
      <c r="H99" s="34">
        <v>1358060</v>
      </c>
      <c r="I99" s="34">
        <v>1324154</v>
      </c>
      <c r="J99" s="34">
        <v>1322847</v>
      </c>
      <c r="K99" s="34">
        <v>1403302</v>
      </c>
      <c r="L99" s="34">
        <v>1370414</v>
      </c>
      <c r="M99" s="34">
        <v>1390397</v>
      </c>
      <c r="N99" s="34">
        <v>1426238</v>
      </c>
      <c r="O99" s="34">
        <v>1352134</v>
      </c>
      <c r="P99" s="34">
        <v>0</v>
      </c>
      <c r="Q99" s="111"/>
      <c r="R99" s="112">
        <f>SUM(E99:P99)</f>
        <v>15114194</v>
      </c>
    </row>
    <row r="100" spans="1:18">
      <c r="A100" s="69">
        <f>A99+1</f>
        <v>54</v>
      </c>
      <c r="B100" s="2" t="s">
        <v>125</v>
      </c>
      <c r="C100" s="2" t="s">
        <v>67</v>
      </c>
      <c r="D100" s="76">
        <f>SUM(E100:P100)</f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34">
        <v>0</v>
      </c>
      <c r="P100" s="34">
        <v>0</v>
      </c>
      <c r="Q100" s="111"/>
      <c r="R100" s="112">
        <f>SUM(E100:P100)</f>
        <v>0</v>
      </c>
    </row>
    <row r="101" spans="1:18">
      <c r="A101" s="128">
        <f>A100+1</f>
        <v>55</v>
      </c>
      <c r="B101" s="8" t="s">
        <v>126</v>
      </c>
      <c r="C101" s="8"/>
      <c r="D101" s="76">
        <f>SUM(E101:P101)</f>
        <v>49896</v>
      </c>
      <c r="E101" s="100">
        <v>4536</v>
      </c>
      <c r="F101" s="100">
        <v>4536</v>
      </c>
      <c r="G101" s="100">
        <v>4536</v>
      </c>
      <c r="H101" s="100">
        <v>4536</v>
      </c>
      <c r="I101" s="100">
        <v>4536</v>
      </c>
      <c r="J101" s="100">
        <v>4536</v>
      </c>
      <c r="K101" s="100">
        <v>4536</v>
      </c>
      <c r="L101" s="100">
        <v>4536</v>
      </c>
      <c r="M101" s="100">
        <v>4536</v>
      </c>
      <c r="N101" s="100">
        <v>4536</v>
      </c>
      <c r="O101" s="100">
        <v>4536</v>
      </c>
      <c r="P101" s="100">
        <v>0</v>
      </c>
      <c r="Q101" s="111"/>
      <c r="R101" s="114">
        <f>SUM(E101:P101)</f>
        <v>49896</v>
      </c>
    </row>
    <row r="102" spans="1:18" s="88" customFormat="1" ht="20.25" customHeight="1">
      <c r="A102" s="96">
        <f>A101+1</f>
        <v>56</v>
      </c>
      <c r="B102" s="127" t="s">
        <v>127</v>
      </c>
      <c r="C102" s="127"/>
      <c r="D102" s="84">
        <f>SUM(E102:P102)</f>
        <v>15164090</v>
      </c>
      <c r="E102" s="57">
        <f t="shared" ref="E102:P102" si="29">SUM(E99:E101)</f>
        <v>1402067</v>
      </c>
      <c r="F102" s="57">
        <f t="shared" si="29"/>
        <v>1376344</v>
      </c>
      <c r="G102" s="57">
        <f t="shared" si="29"/>
        <v>1401845</v>
      </c>
      <c r="H102" s="57">
        <f t="shared" si="29"/>
        <v>1362596</v>
      </c>
      <c r="I102" s="57">
        <f t="shared" si="29"/>
        <v>1328690</v>
      </c>
      <c r="J102" s="57">
        <f t="shared" si="29"/>
        <v>1327383</v>
      </c>
      <c r="K102" s="57">
        <f t="shared" si="29"/>
        <v>1407838</v>
      </c>
      <c r="L102" s="57">
        <f t="shared" si="29"/>
        <v>1374950</v>
      </c>
      <c r="M102" s="57">
        <f t="shared" si="29"/>
        <v>1394933</v>
      </c>
      <c r="N102" s="57">
        <f t="shared" si="29"/>
        <v>1430774</v>
      </c>
      <c r="O102" s="57">
        <f t="shared" si="29"/>
        <v>1356670</v>
      </c>
      <c r="P102" s="57">
        <f t="shared" si="29"/>
        <v>0</v>
      </c>
      <c r="Q102" s="115"/>
      <c r="R102" s="116">
        <f>SUM(E102:P102)</f>
        <v>15164090</v>
      </c>
    </row>
    <row r="103" spans="1:18">
      <c r="A103" s="69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11"/>
      <c r="R103" s="112"/>
    </row>
    <row r="104" spans="1:18" ht="13.15">
      <c r="A104" s="69"/>
      <c r="B104" s="74" t="s">
        <v>128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11"/>
      <c r="R104" s="112"/>
    </row>
    <row r="105" spans="1:18">
      <c r="A105" s="69">
        <f>A102+1</f>
        <v>57</v>
      </c>
      <c r="B105" s="2" t="s">
        <v>129</v>
      </c>
      <c r="D105" s="76">
        <f>SUM(E105:P105)</f>
        <v>278504</v>
      </c>
      <c r="E105" s="12">
        <v>21723</v>
      </c>
      <c r="F105" s="12">
        <v>20506</v>
      </c>
      <c r="G105" s="12">
        <v>29019</v>
      </c>
      <c r="H105" s="12">
        <v>34482</v>
      </c>
      <c r="I105" s="12">
        <v>26833</v>
      </c>
      <c r="J105" s="12">
        <v>21959</v>
      </c>
      <c r="K105" s="12">
        <v>28102</v>
      </c>
      <c r="L105" s="12">
        <v>19120</v>
      </c>
      <c r="M105" s="12">
        <v>24903</v>
      </c>
      <c r="N105" s="12">
        <v>28564</v>
      </c>
      <c r="O105" s="12">
        <v>23293</v>
      </c>
      <c r="P105" s="12">
        <v>0</v>
      </c>
      <c r="Q105" s="111"/>
      <c r="R105" s="112"/>
    </row>
    <row r="106" spans="1:18">
      <c r="A106" s="69">
        <f>A105+1</f>
        <v>58</v>
      </c>
      <c r="B106" t="s">
        <v>130</v>
      </c>
      <c r="D106" s="76">
        <f>SUM(E106:P106)</f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11"/>
      <c r="R106" s="112"/>
    </row>
    <row r="107" spans="1:18">
      <c r="A107" s="69">
        <f>A106+1</f>
        <v>59</v>
      </c>
      <c r="B107" t="s">
        <v>131</v>
      </c>
      <c r="C107" t="s">
        <v>132</v>
      </c>
      <c r="D107" s="76">
        <f>SUM(E107:P107)</f>
        <v>144169</v>
      </c>
      <c r="E107" s="12">
        <v>12599</v>
      </c>
      <c r="F107" s="12">
        <v>11796</v>
      </c>
      <c r="G107" s="12">
        <v>12353</v>
      </c>
      <c r="H107" s="12">
        <v>11201</v>
      </c>
      <c r="I107" s="12">
        <v>12072</v>
      </c>
      <c r="J107" s="12">
        <v>10211</v>
      </c>
      <c r="K107" s="12">
        <v>14682</v>
      </c>
      <c r="L107" s="12">
        <v>-3569</v>
      </c>
      <c r="M107" s="12">
        <v>40875</v>
      </c>
      <c r="N107" s="12">
        <v>12288</v>
      </c>
      <c r="O107" s="12">
        <v>9661</v>
      </c>
      <c r="P107" s="12">
        <v>0</v>
      </c>
      <c r="Q107" s="111"/>
      <c r="R107" s="112"/>
    </row>
    <row r="108" spans="1:18">
      <c r="A108" s="69">
        <f>A107+1</f>
        <v>60</v>
      </c>
      <c r="B108" t="s">
        <v>133</v>
      </c>
      <c r="C108" t="s">
        <v>134</v>
      </c>
      <c r="D108" s="76">
        <f>SUM(E108:P108)</f>
        <v>52952</v>
      </c>
      <c r="E108" s="12">
        <v>4220</v>
      </c>
      <c r="F108" s="12">
        <v>4121</v>
      </c>
      <c r="G108" s="12">
        <v>4133</v>
      </c>
      <c r="H108" s="12">
        <v>4386</v>
      </c>
      <c r="I108" s="12">
        <v>5853</v>
      </c>
      <c r="J108" s="12">
        <v>5949</v>
      </c>
      <c r="K108" s="12">
        <v>4949</v>
      </c>
      <c r="L108" s="12">
        <v>5398</v>
      </c>
      <c r="M108" s="12">
        <v>5360</v>
      </c>
      <c r="N108" s="12">
        <v>4597</v>
      </c>
      <c r="O108" s="12">
        <v>3986</v>
      </c>
      <c r="P108" s="12">
        <v>0</v>
      </c>
      <c r="Q108" s="111"/>
      <c r="R108" s="112"/>
    </row>
    <row r="109" spans="1:18" s="88" customFormat="1" ht="20.25" customHeight="1">
      <c r="A109" s="69">
        <f>A108+1</f>
        <v>61</v>
      </c>
      <c r="B109" s="127" t="s">
        <v>135</v>
      </c>
      <c r="C109" s="127"/>
      <c r="D109" s="84">
        <f>D105+D106+D107+D108</f>
        <v>475625</v>
      </c>
      <c r="E109" s="84">
        <f>E105+E106+E107+E108</f>
        <v>38542</v>
      </c>
      <c r="F109" s="84">
        <f t="shared" ref="F109:P109" si="30">F105+F106+F107+F108</f>
        <v>36423</v>
      </c>
      <c r="G109" s="84">
        <f t="shared" si="30"/>
        <v>45505</v>
      </c>
      <c r="H109" s="84">
        <f t="shared" si="30"/>
        <v>50069</v>
      </c>
      <c r="I109" s="84">
        <f t="shared" si="30"/>
        <v>44758</v>
      </c>
      <c r="J109" s="84">
        <f t="shared" si="30"/>
        <v>38119</v>
      </c>
      <c r="K109" s="84">
        <f t="shared" si="30"/>
        <v>47733</v>
      </c>
      <c r="L109" s="84">
        <f t="shared" si="30"/>
        <v>20949</v>
      </c>
      <c r="M109" s="84">
        <f t="shared" si="30"/>
        <v>71138</v>
      </c>
      <c r="N109" s="84">
        <f t="shared" si="30"/>
        <v>45449</v>
      </c>
      <c r="O109" s="84">
        <f t="shared" si="30"/>
        <v>36940</v>
      </c>
      <c r="P109" s="84">
        <f t="shared" si="30"/>
        <v>0</v>
      </c>
      <c r="Q109" s="115"/>
      <c r="R109" s="116"/>
    </row>
    <row r="110" spans="1:18" ht="9" customHeight="1">
      <c r="A110" s="69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11"/>
      <c r="R110" s="112"/>
    </row>
    <row r="111" spans="1:18" ht="13.15">
      <c r="A111" s="69"/>
      <c r="B111" s="129" t="s">
        <v>136</v>
      </c>
      <c r="C111" s="129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11"/>
      <c r="R111" s="112"/>
    </row>
    <row r="112" spans="1:18">
      <c r="A112" s="69">
        <f>A109+1</f>
        <v>62</v>
      </c>
      <c r="B112" t="s">
        <v>137</v>
      </c>
      <c r="D112" s="76">
        <f>SUM(E112:P112)</f>
        <v>-11764520</v>
      </c>
      <c r="E112" s="12">
        <v>-2368594</v>
      </c>
      <c r="F112" s="12">
        <v>-671118</v>
      </c>
      <c r="G112" s="12">
        <v>-25598</v>
      </c>
      <c r="H112" s="12">
        <v>-188223</v>
      </c>
      <c r="I112" s="12">
        <v>-677854</v>
      </c>
      <c r="J112" s="12">
        <v>-753848</v>
      </c>
      <c r="K112" s="12">
        <v>-730267</v>
      </c>
      <c r="L112" s="12">
        <v>-618001</v>
      </c>
      <c r="M112" s="12">
        <v>-1688025</v>
      </c>
      <c r="N112" s="12">
        <v>-1552992</v>
      </c>
      <c r="O112" s="12">
        <v>-2490000</v>
      </c>
      <c r="P112" s="12">
        <v>0</v>
      </c>
      <c r="Q112" s="111"/>
      <c r="R112" s="112">
        <f t="shared" ref="R112:R123" si="31">SUM(E112:P112)</f>
        <v>-11764520</v>
      </c>
    </row>
    <row r="113" spans="1:18">
      <c r="A113" s="69">
        <f>A112+1</f>
        <v>63</v>
      </c>
      <c r="B113" t="s">
        <v>138</v>
      </c>
      <c r="D113" s="76">
        <f t="shared" ref="D113:D123" si="32">SUM(E113:P113)</f>
        <v>-5432723</v>
      </c>
      <c r="E113" s="12">
        <v>421057</v>
      </c>
      <c r="F113" s="12">
        <v>-976644</v>
      </c>
      <c r="G113" s="12">
        <v>-3228749</v>
      </c>
      <c r="H113" s="12">
        <v>-1490149</v>
      </c>
      <c r="I113" s="12">
        <v>697868</v>
      </c>
      <c r="J113" s="12">
        <v>881733</v>
      </c>
      <c r="K113" s="12">
        <v>61800</v>
      </c>
      <c r="L113" s="12">
        <v>-1620693</v>
      </c>
      <c r="M113" s="12">
        <v>-274590</v>
      </c>
      <c r="N113" s="12">
        <v>-272230</v>
      </c>
      <c r="O113" s="12">
        <v>367874</v>
      </c>
      <c r="P113" s="12">
        <v>0</v>
      </c>
      <c r="Q113" s="111"/>
      <c r="R113" s="112">
        <f t="shared" si="31"/>
        <v>-5432723</v>
      </c>
    </row>
    <row r="114" spans="1:18">
      <c r="A114" s="69">
        <f t="shared" ref="A114:A123" si="33">A113+1</f>
        <v>64</v>
      </c>
      <c r="B114" t="s">
        <v>139</v>
      </c>
      <c r="D114" s="76">
        <f t="shared" si="32"/>
        <v>1883145</v>
      </c>
      <c r="E114" s="12">
        <v>11952</v>
      </c>
      <c r="F114" s="12">
        <v>8400</v>
      </c>
      <c r="G114" s="12">
        <v>148028</v>
      </c>
      <c r="H114" s="12">
        <v>176080</v>
      </c>
      <c r="I114" s="12">
        <v>477176</v>
      </c>
      <c r="J114" s="12">
        <v>359359</v>
      </c>
      <c r="K114" s="12">
        <v>374375</v>
      </c>
      <c r="L114" s="12">
        <v>146405</v>
      </c>
      <c r="M114" s="12">
        <v>0</v>
      </c>
      <c r="N114" s="12">
        <v>181370</v>
      </c>
      <c r="O114" s="12">
        <v>0</v>
      </c>
      <c r="P114" s="12">
        <v>0</v>
      </c>
      <c r="Q114" s="111"/>
      <c r="R114" s="112">
        <f t="shared" si="31"/>
        <v>1883145</v>
      </c>
    </row>
    <row r="115" spans="1:18">
      <c r="A115" s="69">
        <f t="shared" si="33"/>
        <v>65</v>
      </c>
      <c r="B115" s="2" t="s">
        <v>140</v>
      </c>
      <c r="C115" s="2"/>
      <c r="D115" s="76">
        <f t="shared" si="32"/>
        <v>-1883145</v>
      </c>
      <c r="E115" s="12">
        <v>-11952</v>
      </c>
      <c r="F115" s="12">
        <v>-8400</v>
      </c>
      <c r="G115" s="12">
        <v>-148028</v>
      </c>
      <c r="H115" s="12">
        <v>-176080</v>
      </c>
      <c r="I115" s="12">
        <v>-477176</v>
      </c>
      <c r="J115" s="12">
        <v>-359359</v>
      </c>
      <c r="K115" s="12">
        <v>-374375</v>
      </c>
      <c r="L115" s="12">
        <v>-146405</v>
      </c>
      <c r="M115" s="12">
        <v>0</v>
      </c>
      <c r="N115" s="12">
        <v>-181370</v>
      </c>
      <c r="O115" s="12">
        <v>0</v>
      </c>
      <c r="P115" s="12">
        <v>0</v>
      </c>
      <c r="Q115" s="111"/>
      <c r="R115" s="112">
        <f>SUM(E115:P115)</f>
        <v>-1883145</v>
      </c>
    </row>
    <row r="116" spans="1:18">
      <c r="A116" s="69">
        <f t="shared" si="33"/>
        <v>66</v>
      </c>
      <c r="B116" t="s">
        <v>141</v>
      </c>
      <c r="D116" s="76">
        <f t="shared" si="32"/>
        <v>47065661</v>
      </c>
      <c r="E116" s="12">
        <v>4115776</v>
      </c>
      <c r="F116" s="12">
        <v>3319418</v>
      </c>
      <c r="G116" s="12">
        <v>5391617</v>
      </c>
      <c r="H116" s="12">
        <v>4419630</v>
      </c>
      <c r="I116" s="12">
        <v>3917436</v>
      </c>
      <c r="J116" s="12">
        <v>2910728</v>
      </c>
      <c r="K116" s="12">
        <v>3649197</v>
      </c>
      <c r="L116" s="12">
        <v>5625775</v>
      </c>
      <c r="M116" s="12">
        <v>4484938</v>
      </c>
      <c r="N116" s="12">
        <v>4106333</v>
      </c>
      <c r="O116" s="12">
        <v>5124813</v>
      </c>
      <c r="P116" s="12">
        <v>0</v>
      </c>
      <c r="Q116" s="111"/>
      <c r="R116" s="112">
        <f t="shared" si="31"/>
        <v>47065661</v>
      </c>
    </row>
    <row r="117" spans="1:18">
      <c r="A117" s="69">
        <f t="shared" si="33"/>
        <v>67</v>
      </c>
      <c r="B117" s="2" t="s">
        <v>142</v>
      </c>
      <c r="C117" s="2"/>
      <c r="D117" s="76">
        <f t="shared" si="32"/>
        <v>10054894</v>
      </c>
      <c r="E117" s="12">
        <v>1882010</v>
      </c>
      <c r="F117" s="12">
        <v>342468</v>
      </c>
      <c r="G117" s="12">
        <v>266445</v>
      </c>
      <c r="H117" s="12">
        <v>574200</v>
      </c>
      <c r="I117" s="12">
        <v>875363</v>
      </c>
      <c r="J117" s="12">
        <v>928200</v>
      </c>
      <c r="K117" s="12">
        <v>1141087</v>
      </c>
      <c r="L117" s="12">
        <v>880927</v>
      </c>
      <c r="M117" s="12">
        <v>879750</v>
      </c>
      <c r="N117" s="12">
        <v>1384646</v>
      </c>
      <c r="O117" s="12">
        <v>899798</v>
      </c>
      <c r="P117" s="12">
        <v>0</v>
      </c>
      <c r="Q117" s="111"/>
      <c r="R117" s="112">
        <f t="shared" si="31"/>
        <v>10054894</v>
      </c>
    </row>
    <row r="118" spans="1:18">
      <c r="A118" s="69">
        <f t="shared" si="33"/>
        <v>68</v>
      </c>
      <c r="B118" t="s">
        <v>143</v>
      </c>
      <c r="D118" s="76">
        <f t="shared" si="32"/>
        <v>-4812448</v>
      </c>
      <c r="E118" s="12">
        <v>-1280600</v>
      </c>
      <c r="F118" s="12">
        <v>-83595</v>
      </c>
      <c r="G118" s="12">
        <v>-18180</v>
      </c>
      <c r="H118" s="12">
        <v>-107775</v>
      </c>
      <c r="I118" s="12">
        <v>-2289799</v>
      </c>
      <c r="J118" s="12">
        <v>-324473</v>
      </c>
      <c r="K118" s="12">
        <v>-652348</v>
      </c>
      <c r="L118" s="12">
        <v>0</v>
      </c>
      <c r="M118" s="12">
        <v>0</v>
      </c>
      <c r="N118" s="12">
        <v>0</v>
      </c>
      <c r="O118" s="12">
        <v>-55678</v>
      </c>
      <c r="P118" s="12">
        <v>0</v>
      </c>
      <c r="Q118" s="111"/>
      <c r="R118" s="112">
        <f t="shared" si="31"/>
        <v>-4812448</v>
      </c>
    </row>
    <row r="119" spans="1:18">
      <c r="A119" s="69">
        <f t="shared" si="33"/>
        <v>69</v>
      </c>
      <c r="B119" t="s">
        <v>144</v>
      </c>
      <c r="D119" s="76">
        <f t="shared" si="32"/>
        <v>-161172</v>
      </c>
      <c r="E119" s="12">
        <v>-25507</v>
      </c>
      <c r="F119" s="12">
        <v>-22738</v>
      </c>
      <c r="G119" s="12">
        <v>-16974</v>
      </c>
      <c r="H119" s="12">
        <v>-7021</v>
      </c>
      <c r="I119" s="12">
        <v>-9386</v>
      </c>
      <c r="J119" s="12">
        <v>-14749</v>
      </c>
      <c r="K119" s="12">
        <v>-17235</v>
      </c>
      <c r="L119" s="12">
        <v>-11500</v>
      </c>
      <c r="M119" s="12">
        <v>-13457</v>
      </c>
      <c r="N119" s="12">
        <v>-10154</v>
      </c>
      <c r="O119" s="12">
        <v>-12451</v>
      </c>
      <c r="P119" s="12">
        <v>0</v>
      </c>
      <c r="Q119" s="111"/>
      <c r="R119" s="112"/>
    </row>
    <row r="120" spans="1:18">
      <c r="A120" s="69">
        <f t="shared" si="33"/>
        <v>70</v>
      </c>
      <c r="B120" t="s">
        <v>145</v>
      </c>
      <c r="D120" s="76">
        <f t="shared" si="32"/>
        <v>-434331</v>
      </c>
      <c r="E120" s="12">
        <v>-141375</v>
      </c>
      <c r="F120" s="12">
        <v>-21125</v>
      </c>
      <c r="G120" s="12">
        <v>0</v>
      </c>
      <c r="H120" s="12">
        <v>-89920</v>
      </c>
      <c r="I120" s="12">
        <v>-92668</v>
      </c>
      <c r="J120" s="12">
        <v>-89243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11"/>
      <c r="R120" s="112"/>
    </row>
    <row r="121" spans="1:18">
      <c r="A121" s="69">
        <f t="shared" si="33"/>
        <v>71</v>
      </c>
      <c r="B121" t="s">
        <v>146</v>
      </c>
      <c r="D121" s="76">
        <f t="shared" si="32"/>
        <v>-32436296</v>
      </c>
      <c r="E121" s="12">
        <v>-2112693</v>
      </c>
      <c r="F121" s="12">
        <v>-1793764</v>
      </c>
      <c r="G121" s="12">
        <v>-2219955</v>
      </c>
      <c r="H121" s="12">
        <v>-2874242</v>
      </c>
      <c r="I121" s="12">
        <v>-2434321</v>
      </c>
      <c r="J121" s="12">
        <v>-3443792</v>
      </c>
      <c r="K121" s="12">
        <v>-2753235</v>
      </c>
      <c r="L121" s="12">
        <v>-4156543</v>
      </c>
      <c r="M121" s="12">
        <v>-3288675</v>
      </c>
      <c r="N121" s="12">
        <v>-3058759</v>
      </c>
      <c r="O121" s="12">
        <v>-4300317</v>
      </c>
      <c r="P121" s="12">
        <v>0</v>
      </c>
      <c r="Q121" s="111"/>
      <c r="R121" s="112">
        <f t="shared" si="31"/>
        <v>-32436296</v>
      </c>
    </row>
    <row r="122" spans="1:18">
      <c r="A122" s="69">
        <f t="shared" si="33"/>
        <v>72</v>
      </c>
      <c r="B122" s="2" t="s">
        <v>147</v>
      </c>
      <c r="C122" s="2"/>
      <c r="D122" s="76">
        <f t="shared" si="32"/>
        <v>916050</v>
      </c>
      <c r="E122" s="12">
        <v>32000</v>
      </c>
      <c r="F122" s="12">
        <v>8300</v>
      </c>
      <c r="G122" s="12">
        <v>0</v>
      </c>
      <c r="H122" s="12">
        <v>0</v>
      </c>
      <c r="I122" s="12">
        <v>515375</v>
      </c>
      <c r="J122" s="12">
        <v>0</v>
      </c>
      <c r="K122" s="12">
        <v>360375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11"/>
      <c r="R122" s="112">
        <f>SUM(E122:P122)</f>
        <v>916050</v>
      </c>
    </row>
    <row r="123" spans="1:18">
      <c r="A123" s="69">
        <f t="shared" si="33"/>
        <v>73</v>
      </c>
      <c r="B123" s="113" t="s">
        <v>148</v>
      </c>
      <c r="C123" s="113"/>
      <c r="D123" s="76">
        <f t="shared" si="32"/>
        <v>-916050</v>
      </c>
      <c r="E123" s="130">
        <v>-32000</v>
      </c>
      <c r="F123" s="130">
        <v>-8300</v>
      </c>
      <c r="G123" s="130">
        <v>0</v>
      </c>
      <c r="H123" s="130">
        <v>0</v>
      </c>
      <c r="I123" s="130">
        <v>-515375</v>
      </c>
      <c r="J123" s="130">
        <v>0</v>
      </c>
      <c r="K123" s="130">
        <v>-360375</v>
      </c>
      <c r="L123" s="130">
        <v>0</v>
      </c>
      <c r="M123" s="130">
        <v>0</v>
      </c>
      <c r="N123" s="130">
        <v>0</v>
      </c>
      <c r="O123" s="130">
        <v>0</v>
      </c>
      <c r="P123" s="130">
        <v>0</v>
      </c>
      <c r="Q123" s="111"/>
      <c r="R123" s="114">
        <f t="shared" si="31"/>
        <v>-916050</v>
      </c>
    </row>
    <row r="124" spans="1:18" ht="22.5" customHeight="1">
      <c r="A124" s="131">
        <f>+A123+1</f>
        <v>74</v>
      </c>
      <c r="B124" s="127" t="s">
        <v>149</v>
      </c>
      <c r="C124" s="127"/>
      <c r="D124" s="84">
        <f>SUM(E124:P124)</f>
        <v>2079065</v>
      </c>
      <c r="E124" s="132">
        <f>SUM(E112:E123)</f>
        <v>490074</v>
      </c>
      <c r="F124" s="132">
        <f t="shared" ref="F124:P124" si="34">SUM(F112:F123)</f>
        <v>92902</v>
      </c>
      <c r="G124" s="132">
        <f t="shared" si="34"/>
        <v>148606</v>
      </c>
      <c r="H124" s="132">
        <f t="shared" si="34"/>
        <v>236500</v>
      </c>
      <c r="I124" s="132">
        <f t="shared" si="34"/>
        <v>-13361</v>
      </c>
      <c r="J124" s="132">
        <f t="shared" si="34"/>
        <v>94556</v>
      </c>
      <c r="K124" s="132">
        <f t="shared" si="34"/>
        <v>698999</v>
      </c>
      <c r="L124" s="132">
        <f t="shared" si="34"/>
        <v>99965</v>
      </c>
      <c r="M124" s="132">
        <f t="shared" si="34"/>
        <v>99941</v>
      </c>
      <c r="N124" s="132">
        <f t="shared" si="34"/>
        <v>596844</v>
      </c>
      <c r="O124" s="132">
        <f t="shared" si="34"/>
        <v>-465961</v>
      </c>
      <c r="P124" s="132">
        <f t="shared" si="34"/>
        <v>0</v>
      </c>
      <c r="Q124" s="111"/>
      <c r="R124" s="133">
        <f>SUM(R112:R123)</f>
        <v>2674568</v>
      </c>
    </row>
    <row r="125" spans="1:18" ht="9" customHeight="1">
      <c r="A125" s="69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11"/>
      <c r="R125" s="112"/>
    </row>
    <row r="126" spans="1:18" ht="9" customHeight="1">
      <c r="A126" s="69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11"/>
      <c r="R126" s="112"/>
    </row>
    <row r="127" spans="1:18">
      <c r="A127" s="69">
        <f>A124+1</f>
        <v>75</v>
      </c>
      <c r="B127" s="4" t="s">
        <v>150</v>
      </c>
      <c r="C127" s="4"/>
      <c r="D127" s="134">
        <f>SUM(E127:P127)</f>
        <v>1681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228</v>
      </c>
      <c r="M127" s="34">
        <v>938</v>
      </c>
      <c r="N127" s="34">
        <v>515</v>
      </c>
      <c r="O127" s="34">
        <v>0</v>
      </c>
      <c r="P127" s="34">
        <v>0</v>
      </c>
      <c r="Q127" s="111"/>
      <c r="R127" s="112">
        <f>SUM(E127:P127)</f>
        <v>1681</v>
      </c>
    </row>
    <row r="128" spans="1:18" ht="18.75" customHeight="1">
      <c r="A128" s="131">
        <f>A127+1</f>
        <v>76</v>
      </c>
      <c r="B128" s="127" t="s">
        <v>151</v>
      </c>
      <c r="C128" s="127"/>
      <c r="D128" s="100">
        <f>SUM(E128:P128)</f>
        <v>1681</v>
      </c>
      <c r="E128" s="57">
        <f t="shared" ref="E128:P128" si="35">IF(E24=0," ",E127)</f>
        <v>0</v>
      </c>
      <c r="F128" s="57">
        <f t="shared" si="35"/>
        <v>0</v>
      </c>
      <c r="G128" s="57">
        <f t="shared" si="35"/>
        <v>0</v>
      </c>
      <c r="H128" s="57">
        <f t="shared" si="35"/>
        <v>0</v>
      </c>
      <c r="I128" s="57">
        <f t="shared" si="35"/>
        <v>0</v>
      </c>
      <c r="J128" s="57">
        <f t="shared" si="35"/>
        <v>0</v>
      </c>
      <c r="K128" s="57">
        <f t="shared" si="35"/>
        <v>0</v>
      </c>
      <c r="L128" s="57">
        <f t="shared" si="35"/>
        <v>228</v>
      </c>
      <c r="M128" s="57">
        <f t="shared" si="35"/>
        <v>938</v>
      </c>
      <c r="N128" s="57">
        <f t="shared" si="35"/>
        <v>515</v>
      </c>
      <c r="O128" s="57">
        <f t="shared" si="35"/>
        <v>0</v>
      </c>
      <c r="P128" s="57" t="str">
        <f t="shared" si="35"/>
        <v xml:space="preserve"> </v>
      </c>
      <c r="Q128" s="111"/>
      <c r="R128" s="112">
        <f>SUM(E128:P128)</f>
        <v>1681</v>
      </c>
    </row>
    <row r="129" spans="1:19" ht="9" customHeight="1">
      <c r="A129" s="69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11"/>
      <c r="R129" s="112"/>
    </row>
    <row r="130" spans="1:19" ht="9" customHeight="1">
      <c r="A130" s="69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11"/>
      <c r="R130" s="112"/>
    </row>
    <row r="131" spans="1:19">
      <c r="A131" s="69">
        <f>A128+1</f>
        <v>77</v>
      </c>
      <c r="B131" s="121" t="s">
        <v>152</v>
      </c>
      <c r="C131" s="121"/>
      <c r="D131" s="34">
        <f>SUM(E131:P131)</f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111"/>
      <c r="R131" s="112">
        <f>SUM(E131:P131)</f>
        <v>0</v>
      </c>
      <c r="S131" s="135" t="s">
        <v>19</v>
      </c>
    </row>
    <row r="132" spans="1:19">
      <c r="A132" s="128">
        <f>A131+1</f>
        <v>78</v>
      </c>
      <c r="B132" s="136" t="s">
        <v>153</v>
      </c>
      <c r="C132" s="136"/>
      <c r="D132" s="100">
        <f>SUM(E132:P132)</f>
        <v>438</v>
      </c>
      <c r="E132" s="100">
        <v>6</v>
      </c>
      <c r="F132" s="100">
        <v>23</v>
      </c>
      <c r="G132" s="100">
        <v>38</v>
      </c>
      <c r="H132" s="100">
        <v>39</v>
      </c>
      <c r="I132" s="100">
        <v>24</v>
      </c>
      <c r="J132" s="100">
        <v>21</v>
      </c>
      <c r="K132" s="100">
        <v>51</v>
      </c>
      <c r="L132" s="100">
        <v>95</v>
      </c>
      <c r="M132" s="100">
        <v>74</v>
      </c>
      <c r="N132" s="100">
        <v>48</v>
      </c>
      <c r="O132" s="100">
        <v>19</v>
      </c>
      <c r="P132" s="100">
        <v>0</v>
      </c>
      <c r="Q132" s="111"/>
      <c r="R132" s="114">
        <f>SUM(E132:P132)</f>
        <v>438</v>
      </c>
    </row>
    <row r="133" spans="1:19" ht="17.25" customHeight="1">
      <c r="A133" s="69">
        <f>A132+1</f>
        <v>79</v>
      </c>
      <c r="B133" s="61" t="s">
        <v>154</v>
      </c>
      <c r="C133" s="61"/>
      <c r="D133" s="102">
        <f>SUM(E133:P133)</f>
        <v>438</v>
      </c>
      <c r="E133" s="102">
        <f>E132-E131</f>
        <v>6</v>
      </c>
      <c r="F133" s="102">
        <f t="shared" ref="F133:P133" si="36">F132-F131</f>
        <v>23</v>
      </c>
      <c r="G133" s="102">
        <f t="shared" si="36"/>
        <v>38</v>
      </c>
      <c r="H133" s="102">
        <f t="shared" si="36"/>
        <v>39</v>
      </c>
      <c r="I133" s="102">
        <f t="shared" si="36"/>
        <v>24</v>
      </c>
      <c r="J133" s="102">
        <f t="shared" si="36"/>
        <v>21</v>
      </c>
      <c r="K133" s="102">
        <f t="shared" si="36"/>
        <v>51</v>
      </c>
      <c r="L133" s="102">
        <f t="shared" si="36"/>
        <v>95</v>
      </c>
      <c r="M133" s="102">
        <f t="shared" si="36"/>
        <v>74</v>
      </c>
      <c r="N133" s="102">
        <f t="shared" si="36"/>
        <v>48</v>
      </c>
      <c r="O133" s="102">
        <f t="shared" si="36"/>
        <v>19</v>
      </c>
      <c r="P133" s="102">
        <f t="shared" si="36"/>
        <v>0</v>
      </c>
      <c r="Q133" s="111"/>
      <c r="R133" s="112">
        <f>SUM(E133:P133)</f>
        <v>438</v>
      </c>
    </row>
    <row r="134" spans="1:19" ht="17.25" customHeight="1">
      <c r="A134" s="69"/>
      <c r="B134" s="61"/>
      <c r="C134" s="61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11"/>
      <c r="R134" s="112"/>
    </row>
    <row r="135" spans="1:19">
      <c r="A135" s="69">
        <f>A133+1</f>
        <v>80</v>
      </c>
      <c r="B135" s="121" t="s">
        <v>155</v>
      </c>
      <c r="C135" s="121"/>
      <c r="D135" s="34">
        <f>SUM(E135:P135)</f>
        <v>0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111"/>
      <c r="R135" s="112">
        <f>SUM(E135:P135)</f>
        <v>0</v>
      </c>
      <c r="S135" s="135" t="s">
        <v>19</v>
      </c>
    </row>
    <row r="136" spans="1:19">
      <c r="A136" s="69">
        <f>A135+1</f>
        <v>81</v>
      </c>
      <c r="B136" s="121" t="s">
        <v>156</v>
      </c>
      <c r="C136" s="121"/>
      <c r="D136" s="34">
        <f>SUM(E136:P136)</f>
        <v>0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  <c r="Q136" s="111"/>
      <c r="R136" s="112"/>
      <c r="S136" s="135"/>
    </row>
    <row r="137" spans="1:19">
      <c r="A137" s="128">
        <f>A136+1</f>
        <v>82</v>
      </c>
      <c r="B137" s="126" t="s">
        <v>157</v>
      </c>
      <c r="C137" s="136"/>
      <c r="D137" s="100">
        <f>SUM(E137:P137)</f>
        <v>0</v>
      </c>
      <c r="E137" s="100">
        <v>0</v>
      </c>
      <c r="F137" s="100">
        <v>0</v>
      </c>
      <c r="G137" s="100">
        <v>0</v>
      </c>
      <c r="H137" s="100">
        <v>0</v>
      </c>
      <c r="I137" s="100">
        <v>0</v>
      </c>
      <c r="J137" s="100">
        <v>0</v>
      </c>
      <c r="K137" s="100">
        <v>0</v>
      </c>
      <c r="L137" s="100">
        <v>0</v>
      </c>
      <c r="M137" s="100">
        <v>0</v>
      </c>
      <c r="N137" s="100">
        <v>0</v>
      </c>
      <c r="O137" s="100">
        <v>0</v>
      </c>
      <c r="P137" s="100">
        <v>0</v>
      </c>
      <c r="Q137" s="111"/>
      <c r="R137" s="114">
        <f>SUM(E137:P137)</f>
        <v>0</v>
      </c>
    </row>
    <row r="138" spans="1:19" ht="17.25" customHeight="1">
      <c r="A138" s="69">
        <f>A137+1</f>
        <v>83</v>
      </c>
      <c r="B138" s="61" t="s">
        <v>158</v>
      </c>
      <c r="C138" s="61"/>
      <c r="D138" s="102">
        <f>E138+F138+G138+H138+I138+J138+K138</f>
        <v>0</v>
      </c>
      <c r="E138" s="102">
        <f>E135+E136+E137</f>
        <v>0</v>
      </c>
      <c r="F138" s="102">
        <f t="shared" ref="F138:P138" si="37">F135+F136+F137</f>
        <v>0</v>
      </c>
      <c r="G138" s="102">
        <f t="shared" si="37"/>
        <v>0</v>
      </c>
      <c r="H138" s="102">
        <f t="shared" si="37"/>
        <v>0</v>
      </c>
      <c r="I138" s="102">
        <f t="shared" si="37"/>
        <v>0</v>
      </c>
      <c r="J138" s="102">
        <f t="shared" si="37"/>
        <v>0</v>
      </c>
      <c r="K138" s="102">
        <f t="shared" si="37"/>
        <v>0</v>
      </c>
      <c r="L138" s="102">
        <f t="shared" si="37"/>
        <v>0</v>
      </c>
      <c r="M138" s="102">
        <f t="shared" si="37"/>
        <v>0</v>
      </c>
      <c r="N138" s="102">
        <f t="shared" si="37"/>
        <v>0</v>
      </c>
      <c r="O138" s="102">
        <f t="shared" si="37"/>
        <v>0</v>
      </c>
      <c r="P138" s="102">
        <f t="shared" si="37"/>
        <v>0</v>
      </c>
      <c r="Q138" s="102">
        <f>Q135+Q136+Q137</f>
        <v>0</v>
      </c>
      <c r="R138" s="102">
        <f>R135+R136+R137</f>
        <v>0</v>
      </c>
    </row>
    <row r="139" spans="1:19" ht="7.5" customHeight="1">
      <c r="A139" s="69"/>
      <c r="B139" s="137"/>
      <c r="C139" s="137"/>
      <c r="D139" s="138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111"/>
      <c r="R139" s="112"/>
    </row>
    <row r="140" spans="1:19" ht="23.25" customHeight="1">
      <c r="A140" s="96">
        <f>A138+1</f>
        <v>84</v>
      </c>
      <c r="B140" s="83" t="s">
        <v>159</v>
      </c>
      <c r="C140" s="83"/>
      <c r="D140" s="84">
        <f>SUM(E140:P140)</f>
        <v>2081184</v>
      </c>
      <c r="E140" s="57">
        <f t="shared" ref="E140:P140" si="38">IF(E24=0," ",E124+E128+E133)</f>
        <v>490080</v>
      </c>
      <c r="F140" s="57">
        <f t="shared" si="38"/>
        <v>92925</v>
      </c>
      <c r="G140" s="57">
        <f t="shared" si="38"/>
        <v>148644</v>
      </c>
      <c r="H140" s="57">
        <f t="shared" si="38"/>
        <v>236539</v>
      </c>
      <c r="I140" s="57">
        <f t="shared" si="38"/>
        <v>-13337</v>
      </c>
      <c r="J140" s="57">
        <f t="shared" si="38"/>
        <v>94577</v>
      </c>
      <c r="K140" s="57">
        <f t="shared" si="38"/>
        <v>699050</v>
      </c>
      <c r="L140" s="57">
        <f t="shared" si="38"/>
        <v>100288</v>
      </c>
      <c r="M140" s="57">
        <f t="shared" si="38"/>
        <v>100953</v>
      </c>
      <c r="N140" s="57">
        <f t="shared" si="38"/>
        <v>597407</v>
      </c>
      <c r="O140" s="57">
        <f t="shared" si="38"/>
        <v>-465942</v>
      </c>
      <c r="P140" s="57" t="str">
        <f t="shared" si="38"/>
        <v xml:space="preserve"> </v>
      </c>
      <c r="Q140" s="111"/>
      <c r="R140" s="112">
        <f>SUM(F140:Q140)</f>
        <v>1591104</v>
      </c>
    </row>
    <row r="141" spans="1:19" ht="9.75" customHeight="1">
      <c r="B141" s="2"/>
      <c r="C141" s="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11"/>
      <c r="R141" s="112"/>
    </row>
    <row r="142" spans="1:19" s="88" customFormat="1" ht="25.5" customHeight="1" thickBot="1">
      <c r="A142" s="139">
        <f>A140+1</f>
        <v>85</v>
      </c>
      <c r="B142" s="140" t="s">
        <v>13</v>
      </c>
      <c r="C142" s="140"/>
      <c r="D142" s="141">
        <f>SUM(E142:P142)</f>
        <v>108810818.74037866</v>
      </c>
      <c r="E142" s="142">
        <f t="shared" ref="E142:P142" si="39">IF(E24=0," ",E84+E96+E102+E109+E140+E138)</f>
        <v>14051568.189733334</v>
      </c>
      <c r="F142" s="142">
        <f t="shared" si="39"/>
        <v>11563011.811333334</v>
      </c>
      <c r="G142" s="142">
        <f t="shared" si="39"/>
        <v>10581892.810133334</v>
      </c>
      <c r="H142" s="142">
        <f t="shared" si="39"/>
        <v>8626451.4223333336</v>
      </c>
      <c r="I142" s="142">
        <f t="shared" si="39"/>
        <v>3909415.631533334</v>
      </c>
      <c r="J142" s="142">
        <f t="shared" si="39"/>
        <v>3620131.5692333337</v>
      </c>
      <c r="K142" s="142">
        <f t="shared" si="39"/>
        <v>8240677.4275333341</v>
      </c>
      <c r="L142" s="142">
        <f t="shared" si="39"/>
        <v>11028585.962533332</v>
      </c>
      <c r="M142" s="142">
        <f t="shared" si="39"/>
        <v>12177697.235542333</v>
      </c>
      <c r="N142" s="142">
        <f t="shared" si="39"/>
        <v>12290124.048536334</v>
      </c>
      <c r="O142" s="142">
        <f t="shared" si="39"/>
        <v>12721262.631933333</v>
      </c>
      <c r="P142" s="142" t="str">
        <f t="shared" si="39"/>
        <v xml:space="preserve"> </v>
      </c>
      <c r="Q142" s="115"/>
      <c r="R142" s="143"/>
    </row>
    <row r="143" spans="1:19" ht="13.15" thickTop="1"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1:19">
      <c r="Q144" s="25"/>
    </row>
    <row r="145" spans="5:17"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5:17"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5:17"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5:17"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5:17"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5:17"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5:17"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5:17"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5:17"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5:17"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5:17"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5:17"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5:17"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5:17"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5:17"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5:17"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5:17"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5:17"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5:17"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5:17"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5:17"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5:17"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5:17"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5:17"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5:17"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5:17"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5:17"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5:17"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5:17"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5:17"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5:17"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5:17"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5:17"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5:17"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5:17"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5:17"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5:17"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5:17"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5:17"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5:17"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5:17"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5:17"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5:17"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5:17"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5:17"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5:17"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5:17"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5:17"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5:17"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5:17"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5:17"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5:17"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5:17"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5:17"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5:17"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5:17"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5:17"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5:17"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5:17"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5:17"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5:17"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5:17"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5:17"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5:17"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5:17"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5:17"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5:17"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5:17"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5:17"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5:17"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5:17"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5:17"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5:17"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5:17"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5:17"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5:17"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5:17"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5:17"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5:17"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5:17"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5:17"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5:17"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5:17"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5:17"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5:17"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5:17"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5:17"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5:17"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5:17"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5:17"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5:17"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5:17"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5:17"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5:17"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5:17"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5:17"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5:17"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5:17"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5:17"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5:17"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5:17"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5:17"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5:17"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5:17"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5:17"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0" spans="5:17"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</row>
    <row r="251" spans="5:17"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5:17"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5:17"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5:17"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5:17"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5:17"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6:17"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6:17"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6:17"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0" spans="6:17"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</row>
    <row r="261" spans="6:17"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6:17"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6:17"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6:17"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6:17"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6:17"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7" spans="6:17"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</row>
    <row r="268" spans="6:17"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6:17"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6:17"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6:17"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6:17"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6:17"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6:17"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5" spans="6:17"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</row>
    <row r="276" spans="6:17"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6:17"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6:17"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6:17"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6:17"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6:17"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6:17"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6:17"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6:17"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6:17"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6" spans="6:17"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</row>
    <row r="287" spans="6:17"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6:17"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89" spans="6:17"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</row>
    <row r="290" spans="6:17"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6:17"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2" spans="6:17"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</row>
    <row r="293" spans="6:17"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6:17"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6:17"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6:17"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6:17"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6:17"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6:17"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6:17"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6:17"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6:17"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6:17"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6:17"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6:17"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  <row r="306" spans="6:17"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</row>
    <row r="307" spans="6:17"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</row>
    <row r="308" spans="6:17"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</row>
    <row r="309" spans="6:17"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</row>
    <row r="310" spans="6:17"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</row>
    <row r="311" spans="6:17"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</row>
    <row r="312" spans="6:17"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</row>
    <row r="313" spans="6:17"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</row>
    <row r="314" spans="6:17"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</row>
    <row r="315" spans="6:17"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</row>
    <row r="316" spans="6:17"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</row>
    <row r="317" spans="6:17"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</row>
    <row r="318" spans="6:17"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</row>
    <row r="319" spans="6:17"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</row>
    <row r="320" spans="6:17"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</row>
    <row r="321" spans="6:17"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</row>
    <row r="322" spans="6:17"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</row>
    <row r="323" spans="6:17"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</row>
    <row r="324" spans="6:17"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</row>
    <row r="325" spans="6:17"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</row>
    <row r="326" spans="6:17"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</row>
    <row r="327" spans="6:17"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</row>
    <row r="328" spans="6:17"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</row>
    <row r="329" spans="6:17"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</row>
    <row r="330" spans="6:17"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</row>
    <row r="331" spans="6:17"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</row>
    <row r="332" spans="6:17"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</row>
    <row r="333" spans="6:17"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</row>
    <row r="334" spans="6:17"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</row>
    <row r="335" spans="6:17"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</row>
    <row r="336" spans="6:17"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</row>
    <row r="337" spans="6:17"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</row>
    <row r="338" spans="6:17"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</row>
    <row r="339" spans="6:17"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</row>
    <row r="340" spans="6:17"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</row>
    <row r="341" spans="6:17"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</row>
    <row r="342" spans="6:17"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</row>
    <row r="343" spans="6:17"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</row>
    <row r="344" spans="6:17"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</row>
    <row r="345" spans="6:17"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</row>
    <row r="346" spans="6:17"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</row>
    <row r="347" spans="6:17"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</row>
    <row r="348" spans="6:17"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</row>
    <row r="349" spans="6:17"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</row>
    <row r="350" spans="6:17"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</row>
    <row r="351" spans="6:17"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</row>
    <row r="352" spans="6:17"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</row>
    <row r="353" spans="6:17"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</row>
    <row r="354" spans="6:17"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</row>
    <row r="355" spans="6:17"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</row>
    <row r="356" spans="6:17"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</row>
    <row r="357" spans="6:17"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</row>
    <row r="358" spans="6:17"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</row>
    <row r="359" spans="6:17"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</row>
    <row r="360" spans="6:17"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</row>
    <row r="361" spans="6:17"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</row>
    <row r="362" spans="6:17"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</row>
    <row r="363" spans="6:17"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</row>
    <row r="364" spans="6:17"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</row>
    <row r="365" spans="6:17"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</row>
    <row r="366" spans="6:17"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</row>
    <row r="367" spans="6:17"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</row>
    <row r="368" spans="6:17"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</row>
    <row r="369" spans="6:17"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</row>
    <row r="370" spans="6:17"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</row>
    <row r="371" spans="6:17"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</row>
    <row r="372" spans="6:17"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</row>
    <row r="373" spans="6:17"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</row>
    <row r="374" spans="6:17"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</row>
    <row r="375" spans="6:17"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</row>
    <row r="376" spans="6:17"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</row>
    <row r="377" spans="6:17"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</row>
    <row r="378" spans="6:17"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</row>
    <row r="379" spans="6:17"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</row>
    <row r="380" spans="6:17"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</row>
    <row r="381" spans="6:17"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</row>
    <row r="382" spans="6:17"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</row>
    <row r="383" spans="6:17"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</row>
    <row r="384" spans="6:17"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</row>
    <row r="385" spans="6:17"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</row>
    <row r="386" spans="6:17"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</row>
    <row r="387" spans="6:17"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</row>
    <row r="388" spans="6:17"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</row>
    <row r="389" spans="6:17"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</row>
    <row r="390" spans="6:17"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</row>
    <row r="391" spans="6:17"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</row>
    <row r="392" spans="6:17"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</row>
    <row r="393" spans="6:17"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</row>
    <row r="394" spans="6:17"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</row>
    <row r="395" spans="6:17"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</row>
    <row r="396" spans="6:17"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</row>
    <row r="397" spans="6:17"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</row>
    <row r="398" spans="6:17"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</row>
    <row r="399" spans="6:17"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</row>
    <row r="400" spans="6:17"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</row>
    <row r="401" spans="6:17"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</row>
    <row r="402" spans="6:17"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</row>
    <row r="403" spans="6:17"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</row>
    <row r="404" spans="6:17"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</row>
    <row r="405" spans="6:17"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</row>
    <row r="406" spans="6:17"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</row>
    <row r="407" spans="6:17"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</row>
    <row r="408" spans="6:17"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</row>
    <row r="409" spans="6:17"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</row>
    <row r="410" spans="6:17"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</row>
    <row r="411" spans="6:17"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</row>
    <row r="412" spans="6:17"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</row>
    <row r="413" spans="6:17"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</row>
    <row r="414" spans="6:17"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</row>
    <row r="415" spans="6:17"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</row>
    <row r="416" spans="6:17"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</row>
    <row r="417" spans="6:17"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</row>
    <row r="418" spans="6:17"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</row>
    <row r="419" spans="6:17"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</row>
    <row r="420" spans="6:17"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</row>
    <row r="421" spans="6:17"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</row>
    <row r="422" spans="6:17"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</row>
    <row r="423" spans="6:17"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</row>
    <row r="424" spans="6:17"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</row>
    <row r="425" spans="6:17"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</row>
    <row r="426" spans="6:17"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</row>
    <row r="427" spans="6:17"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</row>
    <row r="428" spans="6:17"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</row>
    <row r="429" spans="6:17"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</row>
    <row r="430" spans="6:17"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</row>
    <row r="431" spans="6:17"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</row>
    <row r="432" spans="6:17"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</row>
    <row r="433" spans="6:17"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</row>
    <row r="434" spans="6:17"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</row>
    <row r="435" spans="6:17"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</row>
    <row r="436" spans="6:17"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</row>
    <row r="437" spans="6:17"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</row>
    <row r="438" spans="6:17"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</row>
    <row r="439" spans="6:17"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</row>
    <row r="440" spans="6:17"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</row>
    <row r="441" spans="6:17"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</row>
    <row r="442" spans="6:17"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</row>
    <row r="443" spans="6:17"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</row>
    <row r="444" spans="6:17"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</row>
    <row r="445" spans="6:17"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</row>
    <row r="446" spans="6:17"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</row>
    <row r="447" spans="6:17"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</row>
    <row r="448" spans="6:17"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</row>
    <row r="449" spans="6:17"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</row>
    <row r="450" spans="6:17"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</row>
    <row r="451" spans="6:17"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</row>
    <row r="452" spans="6:17"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</row>
    <row r="453" spans="6:17"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</row>
    <row r="454" spans="6:17"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</row>
    <row r="455" spans="6:17"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</row>
    <row r="456" spans="6:17"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</row>
    <row r="457" spans="6:17"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</row>
    <row r="458" spans="6:17"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</row>
    <row r="459" spans="6:17"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</row>
    <row r="460" spans="6:17"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</row>
    <row r="461" spans="6:17"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</row>
    <row r="462" spans="6:17"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</row>
    <row r="463" spans="6:17"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</row>
    <row r="464" spans="6:17"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</row>
    <row r="465" spans="6:17"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</row>
    <row r="466" spans="6:17"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</row>
    <row r="467" spans="6:17"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</row>
    <row r="468" spans="6:17"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</row>
    <row r="469" spans="6:17"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</row>
    <row r="470" spans="6:17"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</row>
    <row r="471" spans="6:17"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</row>
    <row r="472" spans="6:17"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</row>
    <row r="473" spans="6:17"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</row>
    <row r="474" spans="6:17"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</row>
    <row r="475" spans="6:17"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</row>
    <row r="476" spans="6:17"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</row>
    <row r="477" spans="6:17"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</row>
    <row r="478" spans="6:17"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</row>
    <row r="479" spans="6:17"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</row>
    <row r="480" spans="6:17"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</row>
    <row r="481" spans="6:17"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</row>
    <row r="482" spans="6:17"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</row>
    <row r="483" spans="6:17"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</row>
    <row r="484" spans="6:17"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</row>
    <row r="485" spans="6:17"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</row>
    <row r="486" spans="6:17"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</row>
    <row r="487" spans="6:17"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</row>
    <row r="488" spans="6:17"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</row>
    <row r="489" spans="6:17"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</row>
    <row r="490" spans="6:17"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</row>
    <row r="491" spans="6:17"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</row>
    <row r="492" spans="6:17"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</row>
    <row r="493" spans="6:17"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</row>
    <row r="494" spans="6:17"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</row>
    <row r="495" spans="6:17"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</row>
    <row r="496" spans="6:17"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</row>
    <row r="497" spans="6:17"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</row>
    <row r="498" spans="6:17"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</row>
    <row r="499" spans="6:17"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</row>
    <row r="500" spans="6:17"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</row>
    <row r="501" spans="6:17"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</row>
  </sheetData>
  <printOptions horizontalCentered="1"/>
  <pageMargins left="0" right="0" top="0.3" bottom="0.25" header="0.17" footer="0.17"/>
  <pageSetup scale="57" fitToHeight="2" orientation="landscape" r:id="rId1"/>
  <headerFooter alignWithMargins="0">
    <oddFooter>&amp;L&amp;F - &amp;D&amp;R&amp;P</oddFooter>
  </headerFooter>
  <rowBreaks count="1" manualBreakCount="1">
    <brk id="74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65B4-597D-4805-A6BD-6B0F4B8F6656}">
  <sheetPr>
    <pageSetUpPr fitToPage="1"/>
  </sheetPr>
  <dimension ref="A1:Q32"/>
  <sheetViews>
    <sheetView zoomScale="80" zoomScaleNormal="80" workbookViewId="0">
      <selection activeCell="M42" sqref="M42"/>
    </sheetView>
  </sheetViews>
  <sheetFormatPr defaultColWidth="7.73046875" defaultRowHeight="15"/>
  <cols>
    <col min="1" max="1" width="32.3984375" style="144" customWidth="1"/>
    <col min="2" max="2" width="15.73046875" style="144" bestFit="1" customWidth="1"/>
    <col min="3" max="3" width="15.86328125" style="144" bestFit="1" customWidth="1"/>
    <col min="4" max="4" width="15.1328125" style="144" bestFit="1" customWidth="1"/>
    <col min="5" max="5" width="16.3984375" style="144" bestFit="1" customWidth="1"/>
    <col min="6" max="6" width="16.59765625" style="144" bestFit="1" customWidth="1"/>
    <col min="7" max="7" width="15" style="144" bestFit="1" customWidth="1"/>
    <col min="8" max="8" width="15.1328125" style="144" bestFit="1" customWidth="1"/>
    <col min="9" max="9" width="16.3984375" style="144" bestFit="1" customWidth="1"/>
    <col min="10" max="10" width="15" style="144" bestFit="1" customWidth="1"/>
    <col min="11" max="11" width="15.1328125" style="144" bestFit="1" customWidth="1"/>
    <col min="12" max="12" width="15.59765625" style="144" customWidth="1"/>
    <col min="13" max="13" width="15" style="144" bestFit="1" customWidth="1"/>
    <col min="14" max="14" width="17" style="144" bestFit="1" customWidth="1"/>
    <col min="15" max="15" width="7.73046875" style="144"/>
    <col min="16" max="16" width="23" style="144" bestFit="1" customWidth="1"/>
    <col min="17" max="17" width="10.86328125" style="144" bestFit="1" customWidth="1"/>
    <col min="18" max="16384" width="7.73046875" style="144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20.65">
      <c r="A2" s="145" t="s">
        <v>160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7" ht="22.5">
      <c r="A3" s="146" t="s">
        <v>161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7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7" spans="1:17" ht="27" customHeight="1">
      <c r="A7" s="148" t="s">
        <v>162</v>
      </c>
      <c r="B7" s="149">
        <v>43861</v>
      </c>
      <c r="C7" s="149">
        <v>43890</v>
      </c>
      <c r="D7" s="149">
        <v>43921</v>
      </c>
      <c r="E7" s="149">
        <v>43951</v>
      </c>
      <c r="F7" s="149">
        <v>43982</v>
      </c>
      <c r="G7" s="149">
        <v>44012</v>
      </c>
      <c r="H7" s="149">
        <v>44043</v>
      </c>
      <c r="I7" s="149">
        <v>44074</v>
      </c>
      <c r="J7" s="149">
        <v>44104</v>
      </c>
      <c r="K7" s="149">
        <v>44135</v>
      </c>
      <c r="L7" s="149">
        <v>44165</v>
      </c>
      <c r="M7" s="149">
        <v>44196</v>
      </c>
      <c r="N7" s="150" t="s">
        <v>163</v>
      </c>
    </row>
    <row r="8" spans="1:17" ht="24.95" customHeight="1">
      <c r="A8" s="151" t="s">
        <v>164</v>
      </c>
      <c r="B8" s="152">
        <v>537509</v>
      </c>
      <c r="C8" s="152">
        <v>504892</v>
      </c>
      <c r="D8" s="152">
        <v>472625</v>
      </c>
      <c r="E8" s="152">
        <v>438639</v>
      </c>
      <c r="F8" s="152">
        <v>380708</v>
      </c>
      <c r="G8" s="152">
        <v>388252</v>
      </c>
      <c r="H8" s="152">
        <v>401727</v>
      </c>
      <c r="I8" s="152">
        <v>478013</v>
      </c>
      <c r="J8" s="152">
        <v>471186</v>
      </c>
      <c r="K8" s="152">
        <v>407795</v>
      </c>
      <c r="L8" s="152">
        <v>446375</v>
      </c>
      <c r="M8" s="152">
        <v>0</v>
      </c>
      <c r="N8" s="153">
        <v>4927721</v>
      </c>
      <c r="P8" s="154"/>
    </row>
    <row r="9" spans="1:17" ht="24.95" customHeight="1">
      <c r="A9" s="155" t="s">
        <v>165</v>
      </c>
      <c r="B9" s="152">
        <v>-301275</v>
      </c>
      <c r="C9" s="156">
        <v>-299486</v>
      </c>
      <c r="D9" s="156">
        <v>-269928</v>
      </c>
      <c r="E9" s="156">
        <v>-266976</v>
      </c>
      <c r="F9" s="156">
        <v>-231127</v>
      </c>
      <c r="G9" s="156">
        <v>-236448</v>
      </c>
      <c r="H9" s="156">
        <v>-231909</v>
      </c>
      <c r="I9" s="156">
        <v>-287179</v>
      </c>
      <c r="J9" s="156">
        <v>-289870</v>
      </c>
      <c r="K9" s="156">
        <v>-247708</v>
      </c>
      <c r="L9" s="156">
        <v>-288403</v>
      </c>
      <c r="M9" s="156">
        <v>0</v>
      </c>
      <c r="N9" s="153">
        <v>-2950309</v>
      </c>
    </row>
    <row r="10" spans="1:17" ht="24.95" customHeight="1">
      <c r="A10" s="155" t="s">
        <v>166</v>
      </c>
      <c r="B10" s="152">
        <v>299486</v>
      </c>
      <c r="C10" s="152">
        <v>269928</v>
      </c>
      <c r="D10" s="152">
        <v>266976</v>
      </c>
      <c r="E10" s="152">
        <v>231127</v>
      </c>
      <c r="F10" s="152">
        <v>236448</v>
      </c>
      <c r="G10" s="152">
        <v>231909</v>
      </c>
      <c r="H10" s="152">
        <v>287179</v>
      </c>
      <c r="I10" s="152">
        <v>289870</v>
      </c>
      <c r="J10" s="152">
        <v>247708</v>
      </c>
      <c r="K10" s="152">
        <v>288403</v>
      </c>
      <c r="L10" s="152">
        <v>306796</v>
      </c>
      <c r="M10" s="152">
        <v>0</v>
      </c>
      <c r="N10" s="153">
        <v>2955830</v>
      </c>
      <c r="P10" s="157"/>
      <c r="Q10" s="157"/>
    </row>
    <row r="11" spans="1:17" ht="30.75" customHeight="1">
      <c r="A11" s="158" t="s">
        <v>167</v>
      </c>
      <c r="B11" s="159">
        <v>535720</v>
      </c>
      <c r="C11" s="159">
        <v>475334</v>
      </c>
      <c r="D11" s="159">
        <v>469673</v>
      </c>
      <c r="E11" s="159">
        <v>402790</v>
      </c>
      <c r="F11" s="159">
        <v>386029</v>
      </c>
      <c r="G11" s="159">
        <v>383713</v>
      </c>
      <c r="H11" s="159">
        <v>456997</v>
      </c>
      <c r="I11" s="159">
        <v>480704</v>
      </c>
      <c r="J11" s="159">
        <v>429024</v>
      </c>
      <c r="K11" s="159">
        <v>448490</v>
      </c>
      <c r="L11" s="159">
        <v>464768</v>
      </c>
      <c r="M11" s="159">
        <v>0</v>
      </c>
      <c r="N11" s="160">
        <v>4933242</v>
      </c>
      <c r="P11" s="161"/>
      <c r="Q11" s="154"/>
    </row>
    <row r="12" spans="1:17" ht="32.25" customHeight="1">
      <c r="A12" s="162" t="s">
        <v>168</v>
      </c>
      <c r="B12" s="163">
        <v>556117</v>
      </c>
      <c r="C12" s="163">
        <v>486363</v>
      </c>
      <c r="D12" s="163">
        <v>477535</v>
      </c>
      <c r="E12" s="163">
        <v>431246</v>
      </c>
      <c r="F12" s="163">
        <v>432473</v>
      </c>
      <c r="G12" s="163">
        <v>424693</v>
      </c>
      <c r="H12" s="163">
        <v>490670</v>
      </c>
      <c r="I12" s="163">
        <v>464617</v>
      </c>
      <c r="J12" s="163">
        <v>435934</v>
      </c>
      <c r="K12" s="163">
        <v>436959</v>
      </c>
      <c r="L12" s="163">
        <v>468856</v>
      </c>
      <c r="M12" s="163">
        <v>553150</v>
      </c>
      <c r="N12" s="164">
        <v>5105463</v>
      </c>
      <c r="P12" s="106" t="s">
        <v>169</v>
      </c>
    </row>
    <row r="13" spans="1:17" ht="38.25" customHeight="1">
      <c r="A13" s="165" t="s">
        <v>170</v>
      </c>
      <c r="B13" s="166">
        <v>-20397</v>
      </c>
      <c r="C13" s="166">
        <v>-11029</v>
      </c>
      <c r="D13" s="166">
        <v>-7862</v>
      </c>
      <c r="E13" s="166">
        <v>-28456</v>
      </c>
      <c r="F13" s="166">
        <v>-46444</v>
      </c>
      <c r="G13" s="166">
        <v>-40980</v>
      </c>
      <c r="H13" s="166">
        <v>-33673</v>
      </c>
      <c r="I13" s="166">
        <v>16087</v>
      </c>
      <c r="J13" s="166">
        <v>-6910</v>
      </c>
      <c r="K13" s="166">
        <v>11531</v>
      </c>
      <c r="L13" s="166">
        <v>-4088</v>
      </c>
      <c r="M13" s="166" t="s">
        <v>19</v>
      </c>
      <c r="N13" s="167">
        <v>-172221</v>
      </c>
    </row>
    <row r="14" spans="1:17" ht="42.75" customHeight="1">
      <c r="A14" s="165" t="s">
        <v>171</v>
      </c>
      <c r="B14" s="168">
        <v>18.11</v>
      </c>
      <c r="C14" s="168">
        <v>18.11</v>
      </c>
      <c r="D14" s="168">
        <v>18.11</v>
      </c>
      <c r="E14" s="168">
        <v>18.11</v>
      </c>
      <c r="F14" s="168">
        <v>18.11</v>
      </c>
      <c r="G14" s="168">
        <v>18.11</v>
      </c>
      <c r="H14" s="168">
        <v>18.11</v>
      </c>
      <c r="I14" s="168">
        <v>18.11</v>
      </c>
      <c r="J14" s="168">
        <v>18.11</v>
      </c>
      <c r="K14" s="168">
        <v>18.11</v>
      </c>
      <c r="L14" s="168">
        <v>18.11</v>
      </c>
      <c r="M14" s="168">
        <v>18.11</v>
      </c>
      <c r="N14" s="153"/>
    </row>
    <row r="15" spans="1:17" ht="30.75" customHeight="1" thickBot="1">
      <c r="A15" s="169" t="s">
        <v>172</v>
      </c>
      <c r="B15" s="170">
        <v>-369390</v>
      </c>
      <c r="C15" s="170">
        <v>-199735</v>
      </c>
      <c r="D15" s="170">
        <v>-142381</v>
      </c>
      <c r="E15" s="170">
        <v>-515338</v>
      </c>
      <c r="F15" s="170">
        <v>-841101</v>
      </c>
      <c r="G15" s="170">
        <v>-742148</v>
      </c>
      <c r="H15" s="170">
        <v>-609818</v>
      </c>
      <c r="I15" s="170">
        <v>291336</v>
      </c>
      <c r="J15" s="170">
        <v>-125140</v>
      </c>
      <c r="K15" s="170">
        <v>208826</v>
      </c>
      <c r="L15" s="170">
        <v>-74034</v>
      </c>
      <c r="M15" s="170">
        <v>0</v>
      </c>
      <c r="N15" s="170">
        <v>-3118923</v>
      </c>
    </row>
    <row r="16" spans="1:17" ht="20.100000000000001" customHeight="1" thickTop="1">
      <c r="G16" s="171"/>
      <c r="N16" s="154"/>
    </row>
    <row r="17" spans="1:14" ht="20.100000000000001" customHeight="1">
      <c r="A17" s="172"/>
      <c r="N17" s="154"/>
    </row>
    <row r="18" spans="1:14" ht="36.75" customHeight="1">
      <c r="A18" s="173" t="s">
        <v>173</v>
      </c>
      <c r="B18" s="174">
        <v>43861</v>
      </c>
      <c r="C18" s="174">
        <v>43890</v>
      </c>
      <c r="D18" s="174">
        <v>43921</v>
      </c>
      <c r="E18" s="174">
        <v>43951</v>
      </c>
      <c r="F18" s="174">
        <v>43982</v>
      </c>
      <c r="G18" s="174">
        <v>44012</v>
      </c>
      <c r="H18" s="174">
        <v>44043</v>
      </c>
      <c r="I18" s="174">
        <v>44074</v>
      </c>
      <c r="J18" s="174">
        <v>44104</v>
      </c>
      <c r="K18" s="174">
        <v>44135</v>
      </c>
      <c r="L18" s="174">
        <v>44165</v>
      </c>
      <c r="M18" s="174">
        <v>44196</v>
      </c>
      <c r="N18" s="149" t="s">
        <v>163</v>
      </c>
    </row>
    <row r="19" spans="1:14" ht="29.25" customHeight="1">
      <c r="A19" s="175" t="s">
        <v>174</v>
      </c>
      <c r="B19" s="176">
        <v>369390</v>
      </c>
      <c r="C19" s="176">
        <v>199735</v>
      </c>
      <c r="D19" s="176">
        <v>142381</v>
      </c>
      <c r="E19" s="176">
        <v>515338</v>
      </c>
      <c r="F19" s="176">
        <v>841101</v>
      </c>
      <c r="G19" s="176">
        <v>742148</v>
      </c>
      <c r="H19" s="176">
        <v>609818</v>
      </c>
      <c r="I19" s="176">
        <v>-291336</v>
      </c>
      <c r="J19" s="176">
        <v>125140</v>
      </c>
      <c r="K19" s="176">
        <v>-208826</v>
      </c>
      <c r="L19" s="176">
        <v>74034</v>
      </c>
      <c r="M19" s="176" t="s">
        <v>19</v>
      </c>
      <c r="N19" s="176">
        <v>3118923</v>
      </c>
    </row>
    <row r="20" spans="1:14">
      <c r="A20" s="177"/>
      <c r="B20" s="178" t="s">
        <v>175</v>
      </c>
      <c r="C20" s="178" t="s">
        <v>175</v>
      </c>
      <c r="D20" s="178" t="s">
        <v>175</v>
      </c>
      <c r="E20" s="178" t="s">
        <v>175</v>
      </c>
      <c r="F20" s="178" t="s">
        <v>175</v>
      </c>
      <c r="G20" s="178" t="s">
        <v>175</v>
      </c>
      <c r="H20" s="178" t="s">
        <v>175</v>
      </c>
      <c r="I20" s="178" t="s">
        <v>176</v>
      </c>
      <c r="J20" s="178" t="s">
        <v>175</v>
      </c>
      <c r="K20" s="178" t="s">
        <v>176</v>
      </c>
      <c r="L20" s="178" t="s">
        <v>175</v>
      </c>
      <c r="M20" s="178" t="s">
        <v>175</v>
      </c>
      <c r="N20" s="178" t="s">
        <v>175</v>
      </c>
    </row>
    <row r="23" spans="1:14">
      <c r="G23" s="154"/>
    </row>
    <row r="32" spans="1:14" ht="15.4">
      <c r="A32" s="179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2020-12-15T08:00:00+00:00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B19A6-501E-4219-BB4D-36FB3B7651CC}"/>
</file>

<file path=customXml/itemProps2.xml><?xml version="1.0" encoding="utf-8"?>
<ds:datastoreItem xmlns:ds="http://schemas.openxmlformats.org/officeDocument/2006/customXml" ds:itemID="{86C1A210-999B-4D5E-95FE-50F31850DAB2}"/>
</file>

<file path=customXml/itemProps3.xml><?xml version="1.0" encoding="utf-8"?>
<ds:datastoreItem xmlns:ds="http://schemas.openxmlformats.org/officeDocument/2006/customXml" ds:itemID="{EA222C8B-6079-4CAF-831C-748C51D46C1C}"/>
</file>

<file path=customXml/itemProps4.xml><?xml version="1.0" encoding="utf-8"?>
<ds:datastoreItem xmlns:ds="http://schemas.openxmlformats.org/officeDocument/2006/customXml" ds:itemID="{07073E79-30D4-43C2-8E2E-655AA1156F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2020-12-14T18:19:51Z</dcterms:created>
  <dcterms:modified xsi:type="dcterms:W3CDTF">2020-12-14T18:20:42Z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