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Direct Testimony\10) Schlect\Workpapers\"/>
    </mc:Choice>
  </mc:AlternateContent>
  <xr:revisionPtr revIDLastSave="0" documentId="13_ncr:1_{95980F29-A6A1-4B34-A87D-C9A6CCA77D96}" xr6:coauthVersionLast="44" xr6:coauthVersionMax="44" xr10:uidLastSave="{00000000-0000-0000-0000-000000000000}"/>
  <bookViews>
    <workbookView xWindow="28680" yWindow="-195" windowWidth="29040" windowHeight="15840" xr2:uid="{E528599E-C9FD-4D24-A44D-0F83C484A294}"/>
  </bookViews>
  <sheets>
    <sheet name="Exh. JAS-2" sheetId="9" r:id="rId1"/>
    <sheet name="2019 Actual vs Pro Forma" sheetId="7" r:id="rId2"/>
    <sheet name="Tables" sheetId="8" r:id="rId3"/>
    <sheet name="table of contents" sheetId="2" r:id="rId4"/>
    <sheet name="Table No.1" sheetId="5" state="hidden" r:id="rId5"/>
    <sheet name="Table No.2" sheetId="6" state="hidden" r:id="rId6"/>
  </sheets>
  <definedNames>
    <definedName name="_xlnm.Print_Area" localSheetId="1">'2019 Actual vs Pro Forma'!$A$1:$I$95</definedName>
    <definedName name="_xlnm.Print_Area" localSheetId="0">'Exh. JAS-2'!$A$1:$I$78</definedName>
    <definedName name="_xlnm.Print_Area" localSheetId="3">'table of contents'!$A$8:$G$83</definedName>
    <definedName name="_xlnm.Print_Titles" localSheetId="1">'2019 Actual vs Pro Forma'!$1:$10</definedName>
    <definedName name="_xlnm.Print_Titles" localSheetId="0">'Exh. JAS-2'!$1:$9</definedName>
    <definedName name="_xlnm.Print_Titles" localSheetId="3">'table of contents'!$1:$7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8" i="2" l="1"/>
  <c r="A49" i="2"/>
  <c r="A50" i="2"/>
  <c r="A51" i="2"/>
  <c r="A52" i="2" s="1"/>
  <c r="A53" i="2" s="1"/>
  <c r="A54" i="2" s="1"/>
  <c r="A55" i="2" s="1"/>
  <c r="A56" i="2" s="1"/>
  <c r="A57" i="2" s="1"/>
  <c r="A17" i="7"/>
  <c r="A20" i="7" s="1"/>
  <c r="A46" i="7"/>
  <c r="A49" i="7" s="1"/>
  <c r="A16" i="9"/>
  <c r="A19" i="9" s="1"/>
  <c r="A13" i="9"/>
  <c r="A14" i="9" s="1"/>
  <c r="A15" i="9" s="1"/>
  <c r="A29" i="9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5" i="9" s="1"/>
  <c r="A46" i="9" s="1"/>
  <c r="A47" i="9" s="1"/>
  <c r="A48" i="9" s="1"/>
  <c r="A52" i="9" s="1"/>
  <c r="A53" i="9" s="1"/>
  <c r="A56" i="9" s="1"/>
  <c r="A57" i="9" s="1"/>
  <c r="A58" i="9" s="1"/>
  <c r="A59" i="9" s="1"/>
  <c r="A60" i="9" s="1"/>
  <c r="A61" i="9" s="1"/>
  <c r="A64" i="9" s="1"/>
  <c r="A65" i="9" s="1"/>
  <c r="A66" i="9" s="1"/>
  <c r="A67" i="9" s="1"/>
  <c r="A70" i="9" s="1"/>
  <c r="A73" i="9" s="1"/>
  <c r="A75" i="9" s="1"/>
  <c r="A31" i="2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22" i="2"/>
  <c r="A23" i="2" s="1"/>
  <c r="A24" i="2" s="1"/>
  <c r="A25" i="2" s="1"/>
  <c r="A15" i="2"/>
  <c r="A16" i="2" s="1"/>
  <c r="A17" i="2" s="1"/>
  <c r="A20" i="9" l="1"/>
  <c r="A21" i="9" s="1"/>
  <c r="A22" i="9" s="1"/>
  <c r="A24" i="9" s="1"/>
  <c r="E70" i="9"/>
  <c r="H70" i="9" s="1"/>
  <c r="H66" i="9"/>
  <c r="E66" i="9"/>
  <c r="H65" i="9"/>
  <c r="E65" i="9"/>
  <c r="H64" i="9"/>
  <c r="E64" i="9"/>
  <c r="E60" i="9"/>
  <c r="H60" i="9" s="1"/>
  <c r="F60" i="9" s="1"/>
  <c r="E59" i="9"/>
  <c r="H59" i="9" s="1"/>
  <c r="F59" i="9" s="1"/>
  <c r="E58" i="9"/>
  <c r="H58" i="9" s="1"/>
  <c r="F58" i="9" s="1"/>
  <c r="E57" i="9"/>
  <c r="H57" i="9" s="1"/>
  <c r="F57" i="9" s="1"/>
  <c r="E56" i="9"/>
  <c r="H56" i="9" s="1"/>
  <c r="E52" i="9"/>
  <c r="E53" i="9" s="1"/>
  <c r="F48" i="9"/>
  <c r="E47" i="9"/>
  <c r="H47" i="9" s="1"/>
  <c r="F47" i="9" s="1"/>
  <c r="E46" i="9"/>
  <c r="H46" i="9" s="1"/>
  <c r="F46" i="9" s="1"/>
  <c r="E45" i="9"/>
  <c r="E41" i="9"/>
  <c r="H41" i="9" s="1"/>
  <c r="F41" i="9" s="1"/>
  <c r="E40" i="9"/>
  <c r="H40" i="9" s="1"/>
  <c r="F40" i="9" s="1"/>
  <c r="E39" i="9"/>
  <c r="H39" i="9" s="1"/>
  <c r="F39" i="9" s="1"/>
  <c r="E38" i="9"/>
  <c r="H38" i="9" s="1"/>
  <c r="F38" i="9" s="1"/>
  <c r="E37" i="9"/>
  <c r="H37" i="9" s="1"/>
  <c r="F37" i="9" s="1"/>
  <c r="E36" i="9"/>
  <c r="H36" i="9" s="1"/>
  <c r="F36" i="9" s="1"/>
  <c r="E35" i="9"/>
  <c r="H35" i="9" s="1"/>
  <c r="F35" i="9" s="1"/>
  <c r="E34" i="9"/>
  <c r="H34" i="9" s="1"/>
  <c r="F34" i="9" s="1"/>
  <c r="H33" i="9"/>
  <c r="E33" i="9"/>
  <c r="E32" i="9"/>
  <c r="H32" i="9" s="1"/>
  <c r="F32" i="9" s="1"/>
  <c r="E31" i="9"/>
  <c r="H31" i="9" s="1"/>
  <c r="F31" i="9" s="1"/>
  <c r="E30" i="9"/>
  <c r="H30" i="9" s="1"/>
  <c r="F30" i="9" s="1"/>
  <c r="E29" i="9"/>
  <c r="H29" i="9" s="1"/>
  <c r="F29" i="9" s="1"/>
  <c r="H28" i="9"/>
  <c r="E28" i="9"/>
  <c r="H21" i="9"/>
  <c r="E21" i="9"/>
  <c r="F21" i="9" s="1"/>
  <c r="E20" i="9"/>
  <c r="F20" i="9" s="1"/>
  <c r="H19" i="9"/>
  <c r="E19" i="9"/>
  <c r="H16" i="9"/>
  <c r="E15" i="9"/>
  <c r="F15" i="9" s="1"/>
  <c r="E14" i="9"/>
  <c r="F14" i="9" s="1"/>
  <c r="E13" i="9"/>
  <c r="F13" i="9" s="1"/>
  <c r="E12" i="9"/>
  <c r="F88" i="7"/>
  <c r="H88" i="7" s="1"/>
  <c r="F89" i="7"/>
  <c r="C90" i="7"/>
  <c r="H93" i="7"/>
  <c r="F28" i="9" l="1"/>
  <c r="H67" i="9"/>
  <c r="E49" i="9"/>
  <c r="F65" i="9"/>
  <c r="F66" i="9"/>
  <c r="E16" i="9"/>
  <c r="E71" i="9"/>
  <c r="H61" i="9"/>
  <c r="F56" i="9"/>
  <c r="F61" i="9" s="1"/>
  <c r="H71" i="9"/>
  <c r="F70" i="9"/>
  <c r="F71" i="9" s="1"/>
  <c r="H45" i="9"/>
  <c r="F45" i="9" s="1"/>
  <c r="F49" i="9" s="1"/>
  <c r="H52" i="9"/>
  <c r="H22" i="9"/>
  <c r="H24" i="9" s="1"/>
  <c r="E67" i="9"/>
  <c r="E42" i="9"/>
  <c r="F33" i="9"/>
  <c r="F42" i="9" s="1"/>
  <c r="E61" i="9"/>
  <c r="F64" i="9"/>
  <c r="E22" i="9"/>
  <c r="F19" i="9"/>
  <c r="F22" i="9" s="1"/>
  <c r="F12" i="9"/>
  <c r="F16" i="9" s="1"/>
  <c r="H42" i="9"/>
  <c r="E32" i="7"/>
  <c r="E24" i="9" l="1"/>
  <c r="F67" i="9"/>
  <c r="F24" i="9"/>
  <c r="H49" i="9"/>
  <c r="H53" i="9"/>
  <c r="H73" i="9" s="1"/>
  <c r="F52" i="9"/>
  <c r="F53" i="9" s="1"/>
  <c r="F73" i="9" s="1"/>
  <c r="E73" i="9"/>
  <c r="H32" i="7"/>
  <c r="F75" i="9" l="1"/>
  <c r="I36" i="8"/>
  <c r="D10" i="8"/>
  <c r="E51" i="7" l="1"/>
  <c r="H51" i="7" s="1"/>
  <c r="F51" i="7" l="1"/>
  <c r="E40" i="7" l="1"/>
  <c r="E38" i="7"/>
  <c r="A33" i="7" l="1"/>
  <c r="E44" i="7"/>
  <c r="H37" i="7" l="1"/>
  <c r="E34" i="7" l="1"/>
  <c r="E33" i="7"/>
  <c r="E36" i="7"/>
  <c r="F52" i="7"/>
  <c r="E60" i="7"/>
  <c r="H60" i="7" s="1"/>
  <c r="E61" i="7"/>
  <c r="E62" i="7"/>
  <c r="E63" i="7"/>
  <c r="H70" i="7" l="1"/>
  <c r="H69" i="7"/>
  <c r="H68" i="7"/>
  <c r="E68" i="7"/>
  <c r="F32" i="7"/>
  <c r="H63" i="7"/>
  <c r="F63" i="7" s="1"/>
  <c r="H62" i="7"/>
  <c r="F62" i="7" s="1"/>
  <c r="H61" i="7"/>
  <c r="F61" i="7" s="1"/>
  <c r="H44" i="7"/>
  <c r="H40" i="7"/>
  <c r="F40" i="7" s="1"/>
  <c r="H38" i="7"/>
  <c r="F38" i="7" s="1"/>
  <c r="H36" i="7"/>
  <c r="F36" i="7" s="1"/>
  <c r="H34" i="7"/>
  <c r="F34" i="7" s="1"/>
  <c r="H33" i="7"/>
  <c r="F33" i="7" s="1"/>
  <c r="E74" i="7"/>
  <c r="H74" i="7" s="1"/>
  <c r="H75" i="7" s="1"/>
  <c r="F60" i="7"/>
  <c r="H71" i="7" l="1"/>
  <c r="F44" i="7"/>
  <c r="F68" i="7"/>
  <c r="F74" i="7"/>
  <c r="H22" i="7"/>
  <c r="H20" i="7" l="1"/>
  <c r="E20" i="7" l="1"/>
  <c r="F20" i="7" s="1"/>
  <c r="E22" i="7" l="1"/>
  <c r="F22" i="7" s="1"/>
  <c r="E21" i="7" l="1"/>
  <c r="F21" i="7" s="1"/>
  <c r="E23" i="7" l="1"/>
  <c r="E16" i="7"/>
  <c r="F16" i="7" s="1"/>
  <c r="E14" i="7"/>
  <c r="F14" i="7" s="1"/>
  <c r="E13" i="7"/>
  <c r="F13" i="7" s="1"/>
  <c r="E75" i="7" l="1"/>
  <c r="F75" i="7"/>
  <c r="E70" i="7"/>
  <c r="F70" i="7" s="1"/>
  <c r="E69" i="7"/>
  <c r="F69" i="7" s="1"/>
  <c r="E64" i="7"/>
  <c r="H64" i="7" s="1"/>
  <c r="F64" i="7" s="1"/>
  <c r="E56" i="7"/>
  <c r="H56" i="7" s="1"/>
  <c r="F56" i="7" s="1"/>
  <c r="E45" i="7"/>
  <c r="H45" i="7" s="1"/>
  <c r="F45" i="7" s="1"/>
  <c r="E43" i="7"/>
  <c r="H43" i="7" s="1"/>
  <c r="F43" i="7" s="1"/>
  <c r="E42" i="7"/>
  <c r="H42" i="7" s="1"/>
  <c r="F42" i="7" s="1"/>
  <c r="E41" i="7"/>
  <c r="H41" i="7" s="1"/>
  <c r="F41" i="7" s="1"/>
  <c r="E39" i="7"/>
  <c r="H39" i="7" s="1"/>
  <c r="F39" i="7" s="1"/>
  <c r="E37" i="7"/>
  <c r="F37" i="7" s="1"/>
  <c r="E35" i="7"/>
  <c r="A34" i="7"/>
  <c r="A35" i="7" s="1"/>
  <c r="A36" i="7" s="1"/>
  <c r="A37" i="7" s="1"/>
  <c r="A38" i="7" s="1"/>
  <c r="A39" i="7" s="1"/>
  <c r="E50" i="7"/>
  <c r="H50" i="7" s="1"/>
  <c r="F50" i="7" s="1"/>
  <c r="E49" i="7"/>
  <c r="E15" i="7"/>
  <c r="F15" i="7" s="1"/>
  <c r="A14" i="7"/>
  <c r="A40" i="7" l="1"/>
  <c r="A41" i="7" s="1"/>
  <c r="A42" i="7" s="1"/>
  <c r="A43" i="7" s="1"/>
  <c r="A44" i="7" s="1"/>
  <c r="A45" i="7" s="1"/>
  <c r="E46" i="7"/>
  <c r="H35" i="7"/>
  <c r="H57" i="7"/>
  <c r="E53" i="7"/>
  <c r="H49" i="7"/>
  <c r="A15" i="7"/>
  <c r="A16" i="7" s="1"/>
  <c r="A21" i="7" s="1"/>
  <c r="A22" i="7" s="1"/>
  <c r="A23" i="7" s="1"/>
  <c r="A26" i="7" s="1"/>
  <c r="H23" i="7"/>
  <c r="H17" i="7"/>
  <c r="E17" i="7"/>
  <c r="E26" i="7" s="1"/>
  <c r="F23" i="7"/>
  <c r="H65" i="7"/>
  <c r="E71" i="7"/>
  <c r="E57" i="7"/>
  <c r="F57" i="7"/>
  <c r="E65" i="7"/>
  <c r="E77" i="7" l="1"/>
  <c r="A50" i="7"/>
  <c r="A51" i="7" s="1"/>
  <c r="A52" i="7" s="1"/>
  <c r="A56" i="7" s="1"/>
  <c r="A57" i="7" s="1"/>
  <c r="A60" i="7" s="1"/>
  <c r="A61" i="7" s="1"/>
  <c r="A62" i="7" s="1"/>
  <c r="A63" i="7" s="1"/>
  <c r="A64" i="7" s="1"/>
  <c r="H26" i="7"/>
  <c r="F35" i="7"/>
  <c r="F46" i="7" s="1"/>
  <c r="H46" i="7"/>
  <c r="H53" i="7"/>
  <c r="F49" i="7"/>
  <c r="F53" i="7" s="1"/>
  <c r="F71" i="7"/>
  <c r="F65" i="7"/>
  <c r="F17" i="7"/>
  <c r="F26" i="7" s="1"/>
  <c r="F93" i="7" s="1"/>
  <c r="A65" i="7" l="1"/>
  <c r="A68" i="7" s="1"/>
  <c r="A69" i="7" s="1"/>
  <c r="A70" i="7" s="1"/>
  <c r="A71" i="7" s="1"/>
  <c r="A74" i="7" s="1"/>
  <c r="A77" i="7" s="1"/>
  <c r="A79" i="7" s="1"/>
  <c r="F77" i="7"/>
  <c r="F79" i="7" s="1"/>
  <c r="H77" i="7"/>
  <c r="D90" i="7" s="1"/>
  <c r="D87" i="7" s="1"/>
  <c r="F87" i="7" s="1"/>
  <c r="F91" i="7" l="1"/>
  <c r="F95" i="7" s="1"/>
  <c r="H87" i="7"/>
  <c r="H91" i="7" s="1"/>
  <c r="H95" i="7" s="1"/>
  <c r="B17" i="5"/>
  <c r="D35" i="6" l="1"/>
  <c r="C32" i="6"/>
  <c r="C26" i="6"/>
  <c r="C19" i="6"/>
  <c r="C18" i="6"/>
  <c r="C17" i="6"/>
  <c r="C10" i="6"/>
  <c r="C15" i="6"/>
  <c r="C14" i="6"/>
  <c r="C13" i="6"/>
  <c r="C16" i="6"/>
  <c r="C12" i="6"/>
  <c r="B10" i="5"/>
  <c r="B7" i="5"/>
  <c r="C20" i="5"/>
  <c r="B11" i="5"/>
  <c r="B19" i="5"/>
  <c r="B18" i="5"/>
  <c r="C33" i="6"/>
  <c r="C20" i="6"/>
  <c r="C9" i="6"/>
  <c r="B16" i="5"/>
  <c r="B15" i="5"/>
  <c r="B14" i="5"/>
  <c r="B13" i="5"/>
  <c r="B8" i="5"/>
  <c r="C23" i="6"/>
  <c r="C22" i="6"/>
  <c r="C31" i="6"/>
  <c r="C21" i="6"/>
  <c r="C27" i="6"/>
  <c r="C30" i="6"/>
  <c r="C24" i="6"/>
  <c r="C28" i="6"/>
  <c r="C11" i="6" l="1"/>
  <c r="C8" i="6"/>
  <c r="C34" i="6"/>
  <c r="C29" i="6"/>
  <c r="C25" i="6"/>
  <c r="C7" i="6"/>
  <c r="B12" i="5"/>
  <c r="B9" i="5"/>
  <c r="C35" i="6" l="1"/>
  <c r="B20" i="5"/>
</calcChain>
</file>

<file path=xl/sharedStrings.xml><?xml version="1.0" encoding="utf-8"?>
<sst xmlns="http://schemas.openxmlformats.org/spreadsheetml/2006/main" count="327" uniqueCount="156">
  <si>
    <t xml:space="preserve"> - Energy Delivery - </t>
  </si>
  <si>
    <t>($000s)</t>
  </si>
  <si>
    <t>Line</t>
  </si>
  <si>
    <t>No.</t>
  </si>
  <si>
    <t>Actual</t>
  </si>
  <si>
    <t xml:space="preserve"> </t>
  </si>
  <si>
    <t>Spokane Waste to Energy Plant</t>
  </si>
  <si>
    <t>Avista Corporation</t>
  </si>
  <si>
    <t>OASIS nf &amp; stf  Whl (Other Whl)</t>
  </si>
  <si>
    <t>PP&amp;L - Dry Gulch</t>
  </si>
  <si>
    <t>Adjusted</t>
  </si>
  <si>
    <t>B</t>
  </si>
  <si>
    <t>C</t>
  </si>
  <si>
    <t>AVISTA CORPORATION</t>
  </si>
  <si>
    <t>Table of Contents</t>
  </si>
  <si>
    <t>Summary</t>
  </si>
  <si>
    <t>560-71.4, 935.3-.4  Transmission O&amp;M</t>
  </si>
  <si>
    <t>566 Transmission Expense-Operations-Miscellaneous</t>
  </si>
  <si>
    <t xml:space="preserve">456 Other  Electric Revenue </t>
  </si>
  <si>
    <t>Pro Forma</t>
  </si>
  <si>
    <t>Period</t>
  </si>
  <si>
    <t>Actual versus Pro Forma</t>
  </si>
  <si>
    <t>Pro Forma Transmission Revenue/Expenses</t>
  </si>
  <si>
    <t>Seattle/Tacoma Main Canal</t>
  </si>
  <si>
    <t>Seattle/ Tacoma Summer Falls</t>
  </si>
  <si>
    <t>NERC CIP</t>
  </si>
  <si>
    <t>Stimson Lumber</t>
  </si>
  <si>
    <t>Palouse Wind O &amp; M</t>
  </si>
  <si>
    <t>Morgan Stanley Capital Group</t>
  </si>
  <si>
    <t xml:space="preserve">A </t>
  </si>
  <si>
    <t>NWPP</t>
  </si>
  <si>
    <t>560-71.4, 935.3-.4 TRANSMISSION O&amp;M EXPENSE</t>
  </si>
  <si>
    <t>Colstrip O&amp;M - 500kV Line</t>
  </si>
  <si>
    <t>Total Account 560-71.4, 935.3-.4</t>
  </si>
  <si>
    <t>566 TRANSMISSION EXP-OPRN-MISCELLANEOUS</t>
  </si>
  <si>
    <t>WECC - Loop Flow</t>
  </si>
  <si>
    <t>TOTAL EXPENSE</t>
  </si>
  <si>
    <t>Total Account 566</t>
  </si>
  <si>
    <t xml:space="preserve">Columbia Grid OASIS travel expenses </t>
  </si>
  <si>
    <t>PEAK Reliability</t>
  </si>
  <si>
    <t>WECC Dues</t>
  </si>
  <si>
    <t xml:space="preserve">Addy (BPA substation) </t>
  </si>
  <si>
    <t>Hatwai  (BPA substation)</t>
  </si>
  <si>
    <t>Order 1000 Functional Agreement</t>
  </si>
  <si>
    <t>ColumbiaGrid Funding</t>
  </si>
  <si>
    <t>ColumbiaGrid PEFA</t>
  </si>
  <si>
    <t>First Wind Transmission</t>
  </si>
  <si>
    <t>BPA Parallel Capacity Support</t>
  </si>
  <si>
    <t>TABLE NO. 1</t>
  </si>
  <si>
    <t>Transmission Expense Adjustment</t>
  </si>
  <si>
    <t>2018 Test Year</t>
  </si>
  <si>
    <t>(Sytem)</t>
  </si>
  <si>
    <t>Total change in Transmission Expesne</t>
  </si>
  <si>
    <t>(System)1</t>
  </si>
  <si>
    <t>BPA Low Voltage</t>
  </si>
  <si>
    <t>BPA Transmission</t>
  </si>
  <si>
    <t>Columbia Basin Hydropower</t>
  </si>
  <si>
    <t xml:space="preserve">Consol Irrig Dist Ancillary </t>
  </si>
  <si>
    <t xml:space="preserve">BPA Ancillary </t>
  </si>
  <si>
    <t xml:space="preserve">Consol Irrig Dist Low Voltage </t>
  </si>
  <si>
    <t>Consol Irrig Dist Transmission</t>
  </si>
  <si>
    <t>East Greenacres Ancillary</t>
  </si>
  <si>
    <t>East Greenacres Low Voltage</t>
  </si>
  <si>
    <t>East Greenacres Transmission</t>
  </si>
  <si>
    <t>Grant PUD Transmission</t>
  </si>
  <si>
    <t>Spokane Indian Tribe Ancillary</t>
  </si>
  <si>
    <t>Spokane Indian Tribe Low Voltage</t>
  </si>
  <si>
    <t>Spokane Indian Tribe Transmission</t>
  </si>
  <si>
    <t>(2) Represents the change in expenses above or below the December 31, 2019 rate year level.</t>
  </si>
  <si>
    <t>Transmission Revenue Adjustment</t>
  </si>
  <si>
    <t>(1) Represents the change in expense above or below the 2016 historical test year leve.</t>
  </si>
  <si>
    <t>TABLE NO. 2</t>
  </si>
  <si>
    <t>(2) Represents the change in expense above or below the December 31, 2019 rate case level.</t>
  </si>
  <si>
    <t>Kootenai Electric Cooperative Transmission</t>
  </si>
  <si>
    <t>Kootenai Electric Cooperative Ancillary</t>
  </si>
  <si>
    <t>Deep Creek Hydro</t>
  </si>
  <si>
    <t>Hydro Tech Systems</t>
  </si>
  <si>
    <t>RC West</t>
  </si>
  <si>
    <t>(1) Represents the change in expenses above or below the 2018 historical test year level.</t>
  </si>
  <si>
    <t>Account 456017 Other Electric Revenue - Non-Resource</t>
  </si>
  <si>
    <t>Total 45017 Other Electric Revenue Non-Resource</t>
  </si>
  <si>
    <t>456130 Ancillary Service Revenue</t>
  </si>
  <si>
    <t>456700 Other Electric Revenue - Low Voltage</t>
  </si>
  <si>
    <t>Total 456120 Parallel Capacity Support Revenue</t>
  </si>
  <si>
    <t>Total 456100 Transmission Revenue</t>
  </si>
  <si>
    <t>Total 456700 Other Electric Revenue - Low Voltage</t>
  </si>
  <si>
    <t>TOTAL TRANSMISSION REVENUE</t>
  </si>
  <si>
    <t>Bonneville Power Administration</t>
  </si>
  <si>
    <t>Consolidated Irrigation District</t>
  </si>
  <si>
    <t>East Greenacres Irrigation District</t>
  </si>
  <si>
    <t>Grant County PUD No. 2</t>
  </si>
  <si>
    <t>Seattle City Light/Tacoma Power (Main Canal)</t>
  </si>
  <si>
    <t>Seattle City Light/Tacoma Power (Summer Falls)</t>
  </si>
  <si>
    <t>Pacificorp (Dry Gulch)</t>
  </si>
  <si>
    <t>City of Spokane Waste to Energy</t>
  </si>
  <si>
    <t>Hydro Technology Systems</t>
  </si>
  <si>
    <t>Deep Creek Energy LLC</t>
  </si>
  <si>
    <t xml:space="preserve">Kootenai Electric Cooperative </t>
  </si>
  <si>
    <t>Bonneville Power Adminstration</t>
  </si>
  <si>
    <t>Spokane Tribe of Indians</t>
  </si>
  <si>
    <t>Total 456130 Ancillary Service Revenue</t>
  </si>
  <si>
    <t>Kootenai Electric Cooperative</t>
  </si>
  <si>
    <t>NorthernGrid</t>
  </si>
  <si>
    <t>Jan 2019 to</t>
  </si>
  <si>
    <t>Dec 2019</t>
  </si>
  <si>
    <t>Pro Forma Transmission Expenses/Revenue</t>
  </si>
  <si>
    <t>2021-2022</t>
  </si>
  <si>
    <t>Notes</t>
  </si>
  <si>
    <t>ColumbiaGrid to cease operations as of January 2021</t>
  </si>
  <si>
    <t>Pro Forma per 2020 expected spend</t>
  </si>
  <si>
    <t>PEAK Reliability no longer providing RC Services - Transition to RC West in 2020</t>
  </si>
  <si>
    <t>456120 Parallel Capacity Support Revenue</t>
  </si>
  <si>
    <t>ColumbiaGrid Order 1000</t>
  </si>
  <si>
    <t>2019 - development costs only; Pro Forma per 2020-2021 actual/planned expense</t>
  </si>
  <si>
    <t>2019 - 3-months of HANA for NERC compliance ($116k/12 = $9.7k * 3 = $29k); Pro Forma per actual 2020 RC West fees $412K</t>
  </si>
  <si>
    <t>OASIS (Non-Firm and ST Firm)</t>
  </si>
  <si>
    <t>456705 Low Voltage BPA</t>
  </si>
  <si>
    <t>Account 456100 Transmission Revenue</t>
  </si>
  <si>
    <t>Rattlesnake Flat O&amp;M</t>
  </si>
  <si>
    <t>Palouse Wind O&amp;M</t>
  </si>
  <si>
    <t>Total 456705 Low Voltage BPA</t>
  </si>
  <si>
    <t>Stimson Lumber Company</t>
  </si>
  <si>
    <t>Adams Neilson Solar O&amp;M</t>
  </si>
  <si>
    <t>Rattlesnake Flat COD planned for Nov-2020</t>
  </si>
  <si>
    <t>New contract effective 1-Jan-2020</t>
  </si>
  <si>
    <t>New contract effective 1-Jan-2020; Reduced PTP charge to reflect comparable Network Service</t>
  </si>
  <si>
    <t>BPA to commence self-supply of Operating Reserves in Q4 2020</t>
  </si>
  <si>
    <t>New contract effective 26-Feb-2020</t>
  </si>
  <si>
    <t>Rate adjustment effective 1-Apr-2020</t>
  </si>
  <si>
    <t>ColumbiaGrid General Funding</t>
  </si>
  <si>
    <t>Total Transmission Expense Adjustment</t>
  </si>
  <si>
    <r>
      <t>System</t>
    </r>
    <r>
      <rPr>
        <b/>
        <vertAlign val="superscript"/>
        <sz val="12"/>
        <rFont val="Times New Roman"/>
        <family val="1"/>
      </rPr>
      <t>(1)</t>
    </r>
  </si>
  <si>
    <t>(1) Represents the change in expenses above or below the 2019 historical test year level.</t>
  </si>
  <si>
    <t>(1) Represents the change in revenue above or below the 2019 historical test year level.</t>
  </si>
  <si>
    <t>Three-year Average 2017-2019</t>
  </si>
  <si>
    <t>(1)</t>
  </si>
  <si>
    <t>Current Authorized</t>
  </si>
  <si>
    <t>Adjustment</t>
  </si>
  <si>
    <t>(000s)</t>
  </si>
  <si>
    <t>System</t>
  </si>
  <si>
    <t>WA</t>
  </si>
  <si>
    <t>Restated Transmission Adj 2.18</t>
  </si>
  <si>
    <t>Direct WA</t>
  </si>
  <si>
    <t>Direct ID</t>
  </si>
  <si>
    <t>Rested Transmission Adj 2.18</t>
  </si>
  <si>
    <t>Pro Forma Change in Transmission Revenues</t>
  </si>
  <si>
    <t>Pro Forma Change in Transmission Expenses</t>
  </si>
  <si>
    <t>Net Change in Transmission Revenues/Expenses</t>
  </si>
  <si>
    <t xml:space="preserve">NET PRO FORMA ADJUSTMENT </t>
  </si>
  <si>
    <r>
      <t xml:space="preserve">456 OTHER ELECTRIC REVENUE </t>
    </r>
    <r>
      <rPr>
        <b/>
        <u/>
        <vertAlign val="superscript"/>
        <sz val="11"/>
        <rFont val="Times New Roman"/>
        <family val="1"/>
      </rPr>
      <t>(1)</t>
    </r>
  </si>
  <si>
    <t>(2)</t>
  </si>
  <si>
    <t>(1) Transmission revenues (FERC 456) are included within the Company's Energy Recovery Mechanism (ERM).</t>
  </si>
  <si>
    <t>(2) Transmission revenues are first adjusted from Actual ($18.251M) to Restated (current authorized $15.149M) in Adjustment 2.18.  Transmission revenues are then adjusted from current authorized ($15.149M) to Pro Forma level $16.146M in PF Adj 3.00T.</t>
  </si>
  <si>
    <t>NET ADJUSTMENT ACTUAL VERSUS PRO FORMA (2)</t>
  </si>
  <si>
    <t>(2) Transmission revenues are first adjusted from Actual ($18.251 million) to Restated (current authorized $15.149 million) in Adjustment 2.18.  Transmission revenues are then adjusted from current authorized ($15.149 million) to Pro Forma level $16.146 million in PF Adj 3.00T.   See Company witness Ms. Andrews' testimony at Exh. EMA-1T.</t>
  </si>
  <si>
    <t>A -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</si>
</sst>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>
    <font>
      <sz val="10"/>
      <name val="Geneva"/>
    </font>
    <font>
      <b/>
      <sz val="10"/>
      <name val="Geneva"/>
    </font>
    <font>
      <sz val="10"/>
      <name val="Geneva"/>
    </font>
    <font>
      <b/>
      <sz val="14"/>
      <name val="Geneva"/>
    </font>
    <font>
      <sz val="8"/>
      <name val="Geneva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vertAlign val="superscript"/>
      <sz val="12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color rgb="FFFF0000"/>
      <name val="Times New Roman"/>
      <family val="1"/>
    </font>
    <font>
      <sz val="11"/>
      <color rgb="FF0070C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1"/>
      <name val="Times New Roman"/>
      <family val="1"/>
    </font>
    <font>
      <b/>
      <u/>
      <vertAlign val="superscript"/>
      <sz val="11"/>
      <name val="Times New Roman"/>
      <family val="1"/>
    </font>
    <font>
      <b/>
      <i/>
      <sz val="11"/>
      <color rgb="FFFF0000"/>
      <name val="Times New Roman"/>
      <family val="1"/>
    </font>
    <font>
      <i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2" fillId="0" borderId="0" applyFont="0" applyFill="0" applyBorder="0" applyAlignment="0" applyProtection="0"/>
    <xf numFmtId="8" fontId="2" fillId="0" borderId="0" applyFon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2" fontId="0" fillId="0" borderId="0" xfId="2" applyNumberFormat="1" applyFont="1" applyBorder="1"/>
    <xf numFmtId="44" fontId="0" fillId="0" borderId="7" xfId="0" applyNumberFormat="1" applyBorder="1"/>
    <xf numFmtId="0" fontId="4" fillId="0" borderId="3" xfId="0" applyFont="1" applyFill="1" applyBorder="1"/>
    <xf numFmtId="0" fontId="4" fillId="0" borderId="8" xfId="0" applyFont="1" applyFill="1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6" xfId="0" applyFill="1" applyBorder="1"/>
    <xf numFmtId="0" fontId="1" fillId="0" borderId="11" xfId="0" applyFont="1" applyBorder="1"/>
    <xf numFmtId="42" fontId="1" fillId="0" borderId="12" xfId="0" applyNumberFormat="1" applyFont="1" applyBorder="1"/>
    <xf numFmtId="42" fontId="1" fillId="0" borderId="13" xfId="0" applyNumberFormat="1" applyFon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Font="1" applyBorder="1"/>
    <xf numFmtId="42" fontId="0" fillId="0" borderId="15" xfId="2" applyNumberFormat="1" applyFont="1" applyBorder="1"/>
    <xf numFmtId="42" fontId="1" fillId="0" borderId="14" xfId="2" applyNumberFormat="1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37" fontId="5" fillId="0" borderId="0" xfId="0" applyNumberFormat="1" applyFont="1"/>
    <xf numFmtId="0" fontId="5" fillId="0" borderId="16" xfId="0" applyFont="1" applyBorder="1"/>
    <xf numFmtId="0" fontId="5" fillId="0" borderId="16" xfId="0" applyFont="1" applyFill="1" applyBorder="1"/>
    <xf numFmtId="0" fontId="5" fillId="0" borderId="0" xfId="0" applyFont="1" applyFill="1" applyBorder="1"/>
    <xf numFmtId="42" fontId="5" fillId="0" borderId="17" xfId="1" applyNumberFormat="1" applyFont="1" applyFill="1" applyBorder="1" applyAlignment="1">
      <alignment horizontal="right"/>
    </xf>
    <xf numFmtId="37" fontId="5" fillId="0" borderId="17" xfId="1" applyNumberFormat="1" applyFont="1" applyFill="1" applyBorder="1" applyAlignment="1">
      <alignment horizontal="right"/>
    </xf>
    <xf numFmtId="0" fontId="7" fillId="0" borderId="18" xfId="0" applyFont="1" applyBorder="1"/>
    <xf numFmtId="0" fontId="5" fillId="0" borderId="1" xfId="0" applyFont="1" applyBorder="1"/>
    <xf numFmtId="37" fontId="5" fillId="0" borderId="19" xfId="0" applyNumberFormat="1" applyFont="1" applyBorder="1"/>
    <xf numFmtId="0" fontId="6" fillId="0" borderId="20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37" fontId="5" fillId="0" borderId="21" xfId="0" applyNumberFormat="1" applyFont="1" applyBorder="1" applyAlignment="1">
      <alignment horizontal="centerContinuous"/>
    </xf>
    <xf numFmtId="0" fontId="6" fillId="0" borderId="20" xfId="0" applyFont="1" applyBorder="1"/>
    <xf numFmtId="0" fontId="6" fillId="0" borderId="2" xfId="0" applyFont="1" applyBorder="1"/>
    <xf numFmtId="42" fontId="6" fillId="0" borderId="21" xfId="0" applyNumberFormat="1" applyFont="1" applyBorder="1"/>
    <xf numFmtId="0" fontId="5" fillId="0" borderId="20" xfId="0" applyFont="1" applyBorder="1"/>
    <xf numFmtId="0" fontId="5" fillId="0" borderId="2" xfId="0" applyFont="1" applyBorder="1"/>
    <xf numFmtId="37" fontId="6" fillId="0" borderId="21" xfId="0" applyNumberFormat="1" applyFont="1" applyBorder="1" applyAlignment="1">
      <alignment horizontal="center"/>
    </xf>
    <xf numFmtId="0" fontId="5" fillId="0" borderId="1" xfId="0" applyFont="1" applyFill="1" applyBorder="1"/>
    <xf numFmtId="37" fontId="5" fillId="0" borderId="19" xfId="1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8" xfId="0" applyFont="1" applyFill="1" applyBorder="1"/>
    <xf numFmtId="0" fontId="11" fillId="3" borderId="0" xfId="0" applyFont="1" applyFill="1"/>
    <xf numFmtId="14" fontId="11" fillId="3" borderId="0" xfId="0" applyNumberFormat="1" applyFont="1" applyFill="1" applyAlignment="1">
      <alignment horizontal="center"/>
    </xf>
    <xf numFmtId="14" fontId="11" fillId="3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0" xfId="0" quotePrefix="1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3" fontId="11" fillId="3" borderId="0" xfId="0" applyNumberFormat="1" applyFont="1" applyFill="1" applyBorder="1"/>
    <xf numFmtId="0" fontId="13" fillId="3" borderId="0" xfId="0" applyFont="1" applyFill="1"/>
    <xf numFmtId="3" fontId="11" fillId="3" borderId="0" xfId="1" applyNumberFormat="1" applyFont="1" applyFill="1" applyBorder="1" applyAlignment="1">
      <alignment horizontal="right"/>
    </xf>
    <xf numFmtId="0" fontId="9" fillId="3" borderId="0" xfId="0" applyFont="1" applyFill="1"/>
    <xf numFmtId="3" fontId="9" fillId="3" borderId="2" xfId="1" applyNumberFormat="1" applyFont="1" applyFill="1" applyBorder="1" applyAlignment="1">
      <alignment horizontal="right"/>
    </xf>
    <xf numFmtId="0" fontId="14" fillId="3" borderId="0" xfId="0" applyFont="1" applyFill="1"/>
    <xf numFmtId="3" fontId="14" fillId="3" borderId="0" xfId="1" applyNumberFormat="1" applyFont="1" applyFill="1" applyBorder="1" applyAlignment="1">
      <alignment horizontal="right"/>
    </xf>
    <xf numFmtId="3" fontId="9" fillId="3" borderId="0" xfId="1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10" fontId="7" fillId="3" borderId="0" xfId="0" applyNumberFormat="1" applyFont="1" applyFill="1"/>
    <xf numFmtId="0" fontId="11" fillId="3" borderId="0" xfId="0" applyFont="1" applyFill="1" applyAlignment="1">
      <alignment horizontal="left"/>
    </xf>
    <xf numFmtId="3" fontId="11" fillId="3" borderId="0" xfId="0" applyNumberFormat="1" applyFont="1" applyFill="1"/>
    <xf numFmtId="3" fontId="15" fillId="3" borderId="0" xfId="0" applyNumberFormat="1" applyFont="1" applyFill="1" applyBorder="1"/>
    <xf numFmtId="0" fontId="11" fillId="3" borderId="0" xfId="0" applyFont="1" applyFill="1" applyBorder="1"/>
    <xf numFmtId="0" fontId="9" fillId="3" borderId="0" xfId="0" applyFont="1" applyFill="1" applyAlignment="1">
      <alignment horizontal="left"/>
    </xf>
    <xf numFmtId="3" fontId="11" fillId="3" borderId="1" xfId="0" applyNumberFormat="1" applyFont="1" applyFill="1" applyBorder="1"/>
    <xf numFmtId="3" fontId="11" fillId="3" borderId="1" xfId="1" applyNumberFormat="1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0" fontId="17" fillId="3" borderId="0" xfId="0" applyFont="1" applyFill="1"/>
    <xf numFmtId="3" fontId="17" fillId="3" borderId="0" xfId="0" applyNumberFormat="1" applyFont="1" applyFill="1" applyBorder="1"/>
    <xf numFmtId="0" fontId="16" fillId="3" borderId="0" xfId="0" applyFont="1" applyFill="1" applyAlignment="1">
      <alignment horizontal="right" vertical="top"/>
    </xf>
    <xf numFmtId="3" fontId="16" fillId="3" borderId="0" xfId="0" applyNumberFormat="1" applyFont="1" applyFill="1" applyBorder="1" applyAlignment="1">
      <alignment vertical="top"/>
    </xf>
    <xf numFmtId="3" fontId="9" fillId="3" borderId="2" xfId="0" applyNumberFormat="1" applyFont="1" applyFill="1" applyBorder="1"/>
    <xf numFmtId="0" fontId="11" fillId="3" borderId="0" xfId="0" quotePrefix="1" applyFont="1" applyFill="1"/>
    <xf numFmtId="3" fontId="9" fillId="3" borderId="0" xfId="0" applyNumberFormat="1" applyFont="1" applyFill="1" applyBorder="1"/>
    <xf numFmtId="3" fontId="9" fillId="3" borderId="1" xfId="1" applyNumberFormat="1" applyFont="1" applyFill="1" applyBorder="1" applyAlignment="1">
      <alignment horizontal="right"/>
    </xf>
    <xf numFmtId="3" fontId="9" fillId="2" borderId="22" xfId="0" applyNumberFormat="1" applyFont="1" applyFill="1" applyBorder="1"/>
    <xf numFmtId="37" fontId="10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quotePrefix="1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11" fillId="0" borderId="0" xfId="0" applyNumberFormat="1" applyFont="1" applyFill="1" applyBorder="1"/>
    <xf numFmtId="0" fontId="13" fillId="0" borderId="0" xfId="0" applyFont="1" applyFill="1"/>
    <xf numFmtId="3" fontId="11" fillId="0" borderId="0" xfId="1" applyNumberFormat="1" applyFont="1" applyFill="1" applyBorder="1" applyAlignment="1">
      <alignment horizontal="right"/>
    </xf>
    <xf numFmtId="0" fontId="12" fillId="0" borderId="0" xfId="0" applyFont="1" applyFill="1"/>
    <xf numFmtId="0" fontId="9" fillId="0" borderId="0" xfId="0" applyFont="1" applyFill="1"/>
    <xf numFmtId="3" fontId="9" fillId="0" borderId="2" xfId="1" applyNumberFormat="1" applyFont="1" applyFill="1" applyBorder="1" applyAlignment="1">
      <alignment horizontal="right"/>
    </xf>
    <xf numFmtId="0" fontId="14" fillId="0" borderId="0" xfId="0" applyFont="1" applyFill="1"/>
    <xf numFmtId="3" fontId="14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0" fontId="7" fillId="0" borderId="0" xfId="0" applyNumberFormat="1" applyFont="1" applyFill="1"/>
    <xf numFmtId="0" fontId="11" fillId="0" borderId="0" xfId="0" applyFont="1" applyFill="1" applyAlignment="1">
      <alignment horizontal="left"/>
    </xf>
    <xf numFmtId="3" fontId="11" fillId="0" borderId="0" xfId="0" applyNumberFormat="1" applyFont="1" applyFill="1"/>
    <xf numFmtId="3" fontId="15" fillId="0" borderId="0" xfId="0" applyNumberFormat="1" applyFont="1" applyFill="1" applyBorder="1"/>
    <xf numFmtId="0" fontId="11" fillId="0" borderId="0" xfId="0" applyFont="1" applyFill="1" applyBorder="1"/>
    <xf numFmtId="0" fontId="9" fillId="0" borderId="0" xfId="0" applyFont="1" applyFill="1" applyAlignment="1">
      <alignment horizontal="left"/>
    </xf>
    <xf numFmtId="37" fontId="11" fillId="0" borderId="0" xfId="0" applyNumberFormat="1" applyFont="1" applyFill="1"/>
    <xf numFmtId="3" fontId="11" fillId="0" borderId="1" xfId="0" applyNumberFormat="1" applyFont="1" applyFill="1" applyBorder="1"/>
    <xf numFmtId="3" fontId="11" fillId="0" borderId="1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37" fontId="16" fillId="0" borderId="0" xfId="0" applyNumberFormat="1" applyFont="1" applyFill="1"/>
    <xf numFmtId="0" fontId="16" fillId="0" borderId="0" xfId="0" applyFont="1" applyFill="1"/>
    <xf numFmtId="1" fontId="9" fillId="0" borderId="0" xfId="0" applyNumberFormat="1" applyFont="1" applyFill="1"/>
    <xf numFmtId="0" fontId="17" fillId="0" borderId="0" xfId="0" applyFont="1" applyFill="1"/>
    <xf numFmtId="3" fontId="17" fillId="0" borderId="0" xfId="0" applyNumberFormat="1" applyFont="1" applyFill="1" applyBorder="1"/>
    <xf numFmtId="0" fontId="16" fillId="0" borderId="0" xfId="0" applyFont="1" applyFill="1" applyAlignment="1">
      <alignment horizontal="right" vertical="top"/>
    </xf>
    <xf numFmtId="3" fontId="16" fillId="0" borderId="0" xfId="0" applyNumberFormat="1" applyFont="1" applyFill="1" applyBorder="1" applyAlignment="1">
      <alignment vertical="top"/>
    </xf>
    <xf numFmtId="3" fontId="9" fillId="0" borderId="2" xfId="0" applyNumberFormat="1" applyFont="1" applyFill="1" applyBorder="1"/>
    <xf numFmtId="3" fontId="9" fillId="0" borderId="22" xfId="0" applyNumberFormat="1" applyFont="1" applyFill="1" applyBorder="1"/>
    <xf numFmtId="0" fontId="11" fillId="0" borderId="0" xfId="0" quotePrefix="1" applyFont="1" applyFill="1"/>
    <xf numFmtId="3" fontId="9" fillId="0" borderId="0" xfId="0" applyNumberFormat="1" applyFont="1" applyFill="1" applyBorder="1"/>
    <xf numFmtId="0" fontId="9" fillId="0" borderId="0" xfId="0" applyFont="1" applyFill="1" applyAlignment="1">
      <alignment vertical="top"/>
    </xf>
    <xf numFmtId="0" fontId="11" fillId="0" borderId="16" xfId="0" applyFont="1" applyFill="1" applyBorder="1"/>
    <xf numFmtId="10" fontId="18" fillId="0" borderId="0" xfId="0" applyNumberFormat="1" applyFont="1" applyFill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right"/>
    </xf>
    <xf numFmtId="3" fontId="9" fillId="0" borderId="1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0" xfId="0" applyNumberFormat="1" applyFont="1" applyFill="1" applyAlignment="1">
      <alignment horizontal="right"/>
    </xf>
    <xf numFmtId="6" fontId="11" fillId="0" borderId="0" xfId="2" applyNumberFormat="1" applyFont="1" applyFill="1"/>
    <xf numFmtId="6" fontId="11" fillId="0" borderId="16" xfId="2" applyNumberFormat="1" applyFont="1" applyFill="1" applyBorder="1"/>
    <xf numFmtId="6" fontId="11" fillId="0" borderId="18" xfId="2" applyNumberFormat="1" applyFont="1" applyFill="1" applyBorder="1"/>
    <xf numFmtId="6" fontId="9" fillId="0" borderId="2" xfId="2" applyNumberFormat="1" applyFont="1" applyFill="1" applyBorder="1"/>
    <xf numFmtId="6" fontId="9" fillId="0" borderId="20" xfId="2" applyNumberFormat="1" applyFont="1" applyFill="1" applyBorder="1"/>
    <xf numFmtId="6" fontId="9" fillId="0" borderId="22" xfId="2" applyNumberFormat="1" applyFont="1" applyFill="1" applyBorder="1"/>
    <xf numFmtId="37" fontId="10" fillId="0" borderId="9" xfId="0" applyNumberFormat="1" applyFont="1" applyFill="1" applyBorder="1"/>
    <xf numFmtId="0" fontId="11" fillId="0" borderId="9" xfId="0" applyFont="1" applyFill="1" applyBorder="1"/>
    <xf numFmtId="3" fontId="11" fillId="3" borderId="2" xfId="1" applyNumberFormat="1" applyFont="1" applyFill="1" applyBorder="1" applyAlignment="1">
      <alignment horizontal="right"/>
    </xf>
    <xf numFmtId="0" fontId="11" fillId="0" borderId="0" xfId="0" applyFont="1"/>
    <xf numFmtId="0" fontId="20" fillId="0" borderId="0" xfId="0" quotePrefix="1" applyFont="1" applyFill="1" applyAlignment="1">
      <alignment horizontal="centerContinuous"/>
    </xf>
    <xf numFmtId="14" fontId="21" fillId="0" borderId="0" xfId="0" applyNumberFormat="1" applyFont="1" applyFill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3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Border="1"/>
    <xf numFmtId="2" fontId="11" fillId="0" borderId="0" xfId="0" applyNumberFormat="1" applyFont="1"/>
    <xf numFmtId="3" fontId="11" fillId="0" borderId="0" xfId="0" applyNumberFormat="1" applyFont="1"/>
    <xf numFmtId="0" fontId="9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/>
    </xf>
    <xf numFmtId="3" fontId="9" fillId="0" borderId="17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CC2A5-8817-455B-979D-38A05FE33126}">
  <sheetPr>
    <tabColor theme="0" tint="-0.34998626667073579"/>
  </sheetPr>
  <dimension ref="A1:I78"/>
  <sheetViews>
    <sheetView tabSelected="1" workbookViewId="0">
      <selection activeCell="B5" sqref="B5"/>
    </sheetView>
  </sheetViews>
  <sheetFormatPr defaultColWidth="11.42578125" defaultRowHeight="15"/>
  <cols>
    <col min="1" max="1" width="4.42578125" style="71" customWidth="1"/>
    <col min="2" max="2" width="46.7109375" style="53" bestFit="1" customWidth="1"/>
    <col min="3" max="3" width="11" style="53" customWidth="1"/>
    <col min="4" max="4" width="9" style="53" customWidth="1"/>
    <col min="5" max="5" width="10.42578125" style="53" customWidth="1"/>
    <col min="6" max="6" width="11.7109375" style="72" customWidth="1"/>
    <col min="7" max="7" width="3.42578125" style="53" hidden="1" customWidth="1"/>
    <col min="8" max="8" width="12.7109375" style="53" customWidth="1"/>
    <col min="9" max="9" width="4.5703125" style="53" customWidth="1"/>
    <col min="10" max="16384" width="11.42578125" style="53"/>
  </cols>
  <sheetData>
    <row r="1" spans="1:9">
      <c r="A1" s="165" t="s">
        <v>7</v>
      </c>
      <c r="B1" s="165"/>
      <c r="C1" s="165"/>
      <c r="D1" s="165"/>
      <c r="E1" s="165"/>
      <c r="F1" s="165"/>
      <c r="G1" s="165"/>
      <c r="H1" s="165"/>
      <c r="I1" s="165"/>
    </row>
    <row r="2" spans="1:9">
      <c r="A2" s="165" t="s">
        <v>0</v>
      </c>
      <c r="B2" s="165"/>
      <c r="C2" s="165"/>
      <c r="D2" s="165"/>
      <c r="E2" s="165"/>
      <c r="F2" s="165"/>
      <c r="G2" s="165"/>
      <c r="H2" s="165"/>
      <c r="I2" s="165"/>
    </row>
    <row r="3" spans="1:9">
      <c r="A3" s="165" t="s">
        <v>105</v>
      </c>
      <c r="B3" s="165"/>
      <c r="C3" s="165"/>
      <c r="D3" s="165"/>
      <c r="E3" s="165"/>
      <c r="F3" s="165"/>
      <c r="G3" s="165"/>
      <c r="H3" s="165"/>
      <c r="I3" s="165"/>
    </row>
    <row r="4" spans="1:9" ht="12" customHeight="1">
      <c r="A4" s="165" t="s">
        <v>1</v>
      </c>
      <c r="B4" s="165"/>
      <c r="C4" s="165"/>
      <c r="D4" s="165"/>
      <c r="E4" s="165"/>
      <c r="F4" s="165"/>
      <c r="G4" s="165"/>
      <c r="H4" s="165"/>
      <c r="I4" s="165"/>
    </row>
    <row r="5" spans="1:9" ht="24.75" customHeight="1">
      <c r="A5" s="54"/>
      <c r="B5" s="55"/>
      <c r="D5" s="56"/>
      <c r="F5" s="57"/>
    </row>
    <row r="6" spans="1:9" ht="19.5" customHeight="1">
      <c r="A6" s="54"/>
      <c r="B6" s="55"/>
      <c r="D6" s="56"/>
      <c r="E6" s="56" t="s">
        <v>29</v>
      </c>
      <c r="F6" s="56" t="s">
        <v>11</v>
      </c>
      <c r="G6" s="56"/>
      <c r="H6" s="56" t="s">
        <v>12</v>
      </c>
    </row>
    <row r="7" spans="1:9">
      <c r="A7" s="57"/>
      <c r="E7" s="58" t="s">
        <v>103</v>
      </c>
      <c r="F7" s="58"/>
      <c r="G7" s="58"/>
      <c r="H7" s="58" t="s">
        <v>106</v>
      </c>
    </row>
    <row r="8" spans="1:9">
      <c r="A8" s="57" t="s">
        <v>2</v>
      </c>
      <c r="E8" s="59" t="s">
        <v>104</v>
      </c>
      <c r="F8" s="58"/>
      <c r="G8" s="58"/>
      <c r="H8" s="58" t="s">
        <v>19</v>
      </c>
    </row>
    <row r="9" spans="1:9">
      <c r="A9" s="60" t="s">
        <v>3</v>
      </c>
      <c r="E9" s="60" t="s">
        <v>4</v>
      </c>
      <c r="F9" s="60" t="s">
        <v>10</v>
      </c>
      <c r="G9" s="58"/>
      <c r="H9" s="60" t="s">
        <v>20</v>
      </c>
    </row>
    <row r="10" spans="1:9">
      <c r="A10" s="58"/>
      <c r="E10" s="58"/>
      <c r="F10" s="58"/>
      <c r="G10" s="58"/>
      <c r="H10" s="58"/>
    </row>
    <row r="11" spans="1:9">
      <c r="A11" s="57"/>
      <c r="B11" s="62" t="s">
        <v>31</v>
      </c>
      <c r="E11" s="63"/>
      <c r="F11" s="63"/>
      <c r="G11" s="58"/>
      <c r="H11" s="63"/>
    </row>
    <row r="12" spans="1:9">
      <c r="A12" s="57">
        <v>1</v>
      </c>
      <c r="B12" s="53" t="s">
        <v>44</v>
      </c>
      <c r="E12" s="63">
        <f>62047/1000</f>
        <v>62</v>
      </c>
      <c r="F12" s="63">
        <f t="shared" ref="F12:F15" si="0">H12-E12</f>
        <v>-62</v>
      </c>
      <c r="G12" s="58"/>
      <c r="H12" s="63">
        <v>0</v>
      </c>
    </row>
    <row r="13" spans="1:9">
      <c r="A13" s="57">
        <f>+A12+1</f>
        <v>2</v>
      </c>
      <c r="B13" s="53" t="s">
        <v>45</v>
      </c>
      <c r="E13" s="63">
        <f>157367/1000</f>
        <v>157</v>
      </c>
      <c r="F13" s="63">
        <f t="shared" si="0"/>
        <v>-157</v>
      </c>
      <c r="G13" s="58"/>
      <c r="H13" s="63">
        <v>0</v>
      </c>
    </row>
    <row r="14" spans="1:9">
      <c r="A14" s="57">
        <f t="shared" ref="A14:A16" si="1">+A13+1</f>
        <v>3</v>
      </c>
      <c r="B14" s="53" t="s">
        <v>112</v>
      </c>
      <c r="E14" s="63">
        <f>25000/1000</f>
        <v>25</v>
      </c>
      <c r="F14" s="63">
        <f t="shared" si="0"/>
        <v>-25</v>
      </c>
      <c r="G14" s="58"/>
      <c r="H14" s="63">
        <v>0</v>
      </c>
    </row>
    <row r="15" spans="1:9">
      <c r="A15" s="57">
        <f t="shared" si="1"/>
        <v>4</v>
      </c>
      <c r="B15" s="53" t="s">
        <v>102</v>
      </c>
      <c r="E15" s="63">
        <f>15718/1000</f>
        <v>16</v>
      </c>
      <c r="F15" s="63">
        <f t="shared" si="0"/>
        <v>87</v>
      </c>
      <c r="G15" s="58"/>
      <c r="H15" s="63">
        <v>103</v>
      </c>
    </row>
    <row r="16" spans="1:9">
      <c r="A16" s="57">
        <f t="shared" si="1"/>
        <v>5</v>
      </c>
      <c r="B16" s="64" t="s">
        <v>33</v>
      </c>
      <c r="E16" s="65">
        <f>SUM(E12:E15)</f>
        <v>260</v>
      </c>
      <c r="F16" s="65">
        <f>SUM(F12:F15)</f>
        <v>-157</v>
      </c>
      <c r="G16" s="58"/>
      <c r="H16" s="65">
        <f>SUM(H12:H15)</f>
        <v>103</v>
      </c>
    </row>
    <row r="17" spans="1:8">
      <c r="A17" s="57"/>
      <c r="D17" s="66"/>
      <c r="E17" s="67"/>
      <c r="F17" s="63"/>
      <c r="G17" s="58"/>
      <c r="H17" s="63"/>
    </row>
    <row r="18" spans="1:8">
      <c r="A18" s="57"/>
      <c r="B18" s="62" t="s">
        <v>34</v>
      </c>
      <c r="E18" s="63"/>
      <c r="F18" s="63"/>
      <c r="G18" s="58"/>
      <c r="H18" s="63"/>
    </row>
    <row r="19" spans="1:8">
      <c r="A19" s="57">
        <f>+A16+1</f>
        <v>6</v>
      </c>
      <c r="B19" s="53" t="s">
        <v>25</v>
      </c>
      <c r="E19" s="63">
        <f>51583/1000</f>
        <v>52</v>
      </c>
      <c r="F19" s="63">
        <f t="shared" ref="F19:F21" si="2">H19-E19</f>
        <v>21</v>
      </c>
      <c r="G19" s="58"/>
      <c r="H19" s="63">
        <f>72612/1000</f>
        <v>73</v>
      </c>
    </row>
    <row r="20" spans="1:8">
      <c r="A20" s="57">
        <f>+A19+1</f>
        <v>7</v>
      </c>
      <c r="B20" s="53" t="s">
        <v>39</v>
      </c>
      <c r="E20" s="63">
        <f>928243/1000</f>
        <v>928</v>
      </c>
      <c r="F20" s="63">
        <f t="shared" si="2"/>
        <v>-928</v>
      </c>
      <c r="G20" s="58"/>
      <c r="H20" s="63">
        <v>0</v>
      </c>
    </row>
    <row r="21" spans="1:8">
      <c r="A21" s="57">
        <f t="shared" ref="A21:A22" si="3">+A20+1</f>
        <v>8</v>
      </c>
      <c r="B21" s="53" t="s">
        <v>77</v>
      </c>
      <c r="E21" s="63">
        <f>29137/1000</f>
        <v>29</v>
      </c>
      <c r="F21" s="63">
        <f t="shared" si="2"/>
        <v>383</v>
      </c>
      <c r="G21" s="58"/>
      <c r="H21" s="63">
        <f>411574/1000</f>
        <v>412</v>
      </c>
    </row>
    <row r="22" spans="1:8">
      <c r="A22" s="57">
        <f t="shared" si="3"/>
        <v>9</v>
      </c>
      <c r="B22" s="64" t="s">
        <v>37</v>
      </c>
      <c r="E22" s="65">
        <f>SUM(E19:E21)</f>
        <v>1009</v>
      </c>
      <c r="F22" s="65">
        <f>SUM(F19:F21)</f>
        <v>-524</v>
      </c>
      <c r="G22" s="58"/>
      <c r="H22" s="65">
        <f>SUM(H19:H21)</f>
        <v>485</v>
      </c>
    </row>
    <row r="23" spans="1:8">
      <c r="A23" s="57"/>
      <c r="E23" s="63"/>
      <c r="F23" s="147"/>
      <c r="G23" s="58"/>
      <c r="H23" s="63"/>
    </row>
    <row r="24" spans="1:8">
      <c r="A24" s="57">
        <f>A22+1</f>
        <v>10</v>
      </c>
      <c r="B24" s="64" t="s">
        <v>36</v>
      </c>
      <c r="E24" s="65">
        <f>+E16+E22</f>
        <v>1269</v>
      </c>
      <c r="F24" s="86">
        <f>+F16+F22</f>
        <v>-681</v>
      </c>
      <c r="G24" s="69"/>
      <c r="H24" s="65">
        <f>+H16+H22</f>
        <v>588</v>
      </c>
    </row>
    <row r="25" spans="1:8">
      <c r="A25" s="57"/>
      <c r="E25" s="63"/>
      <c r="F25" s="68"/>
      <c r="G25" s="70"/>
      <c r="H25" s="63"/>
    </row>
    <row r="26" spans="1:8" ht="17.25">
      <c r="B26" s="62" t="s">
        <v>149</v>
      </c>
      <c r="E26" s="73"/>
      <c r="F26" s="73"/>
      <c r="G26" s="74"/>
      <c r="H26" s="74"/>
    </row>
    <row r="27" spans="1:8">
      <c r="A27" s="57"/>
      <c r="B27" s="75" t="s">
        <v>117</v>
      </c>
      <c r="E27" s="61"/>
      <c r="F27" s="63"/>
      <c r="G27" s="61"/>
      <c r="H27" s="61"/>
    </row>
    <row r="28" spans="1:8">
      <c r="A28" s="57">
        <v>1</v>
      </c>
      <c r="B28" s="53" t="s">
        <v>115</v>
      </c>
      <c r="E28" s="61">
        <f>5473825/1000</f>
        <v>5474</v>
      </c>
      <c r="F28" s="63">
        <f>H28-E28</f>
        <v>-812</v>
      </c>
      <c r="G28" s="61"/>
      <c r="H28" s="61">
        <f>4662384/1000</f>
        <v>4662</v>
      </c>
    </row>
    <row r="29" spans="1:8">
      <c r="A29" s="57">
        <f>A28+1</f>
        <v>2</v>
      </c>
      <c r="B29" s="53" t="s">
        <v>87</v>
      </c>
      <c r="E29" s="61">
        <f>6412679/1000</f>
        <v>6413</v>
      </c>
      <c r="F29" s="63">
        <f t="shared" ref="F29:F41" si="4">H29-E29</f>
        <v>0</v>
      </c>
      <c r="G29" s="61"/>
      <c r="H29" s="61">
        <f t="shared" ref="H29:H41" si="5">E29</f>
        <v>6413</v>
      </c>
    </row>
    <row r="30" spans="1:8">
      <c r="A30" s="57">
        <f>A29+1</f>
        <v>3</v>
      </c>
      <c r="B30" s="53" t="s">
        <v>88</v>
      </c>
      <c r="E30" s="61">
        <f>32160/1000</f>
        <v>32</v>
      </c>
      <c r="F30" s="63">
        <f t="shared" si="4"/>
        <v>0</v>
      </c>
      <c r="G30" s="61"/>
      <c r="H30" s="61">
        <f t="shared" si="5"/>
        <v>32</v>
      </c>
    </row>
    <row r="31" spans="1:8">
      <c r="A31" s="57">
        <f t="shared" ref="A31:A42" si="6">A30+1</f>
        <v>4</v>
      </c>
      <c r="B31" s="53" t="s">
        <v>89</v>
      </c>
      <c r="E31" s="61">
        <f>10800/1000</f>
        <v>11</v>
      </c>
      <c r="F31" s="63">
        <f t="shared" si="4"/>
        <v>0</v>
      </c>
      <c r="G31" s="61"/>
      <c r="H31" s="61">
        <f t="shared" si="5"/>
        <v>11</v>
      </c>
    </row>
    <row r="32" spans="1:8">
      <c r="A32" s="57">
        <f t="shared" si="6"/>
        <v>5</v>
      </c>
      <c r="B32" s="53" t="s">
        <v>90</v>
      </c>
      <c r="E32" s="61">
        <f>27567/1000</f>
        <v>28</v>
      </c>
      <c r="F32" s="63">
        <f t="shared" si="4"/>
        <v>0</v>
      </c>
      <c r="G32" s="61"/>
      <c r="H32" s="61">
        <f t="shared" si="5"/>
        <v>28</v>
      </c>
    </row>
    <row r="33" spans="1:8">
      <c r="A33" s="57">
        <f t="shared" si="6"/>
        <v>6</v>
      </c>
      <c r="B33" s="53" t="s">
        <v>99</v>
      </c>
      <c r="E33" s="61">
        <f>28800/1000</f>
        <v>29</v>
      </c>
      <c r="F33" s="63">
        <f t="shared" si="4"/>
        <v>-11</v>
      </c>
      <c r="G33" s="61"/>
      <c r="H33" s="61">
        <f>18000/1000</f>
        <v>18</v>
      </c>
    </row>
    <row r="34" spans="1:8">
      <c r="A34" s="57">
        <f t="shared" si="6"/>
        <v>7</v>
      </c>
      <c r="B34" s="53" t="s">
        <v>91</v>
      </c>
      <c r="E34" s="61">
        <f>349765/1000</f>
        <v>350</v>
      </c>
      <c r="F34" s="63">
        <f t="shared" si="4"/>
        <v>0</v>
      </c>
      <c r="G34" s="61"/>
      <c r="H34" s="61">
        <f t="shared" si="5"/>
        <v>350</v>
      </c>
    </row>
    <row r="35" spans="1:8">
      <c r="A35" s="57">
        <f t="shared" si="6"/>
        <v>8</v>
      </c>
      <c r="B35" s="53" t="s">
        <v>92</v>
      </c>
      <c r="E35" s="61">
        <f>180456/1000</f>
        <v>180</v>
      </c>
      <c r="F35" s="63">
        <f t="shared" si="4"/>
        <v>0</v>
      </c>
      <c r="G35" s="61"/>
      <c r="H35" s="61">
        <f t="shared" si="5"/>
        <v>180</v>
      </c>
    </row>
    <row r="36" spans="1:8">
      <c r="A36" s="57">
        <f t="shared" si="6"/>
        <v>9</v>
      </c>
      <c r="B36" s="53" t="s">
        <v>93</v>
      </c>
      <c r="E36" s="61">
        <f>277574/1000</f>
        <v>278</v>
      </c>
      <c r="F36" s="63">
        <f t="shared" si="4"/>
        <v>0</v>
      </c>
      <c r="G36" s="61"/>
      <c r="H36" s="61">
        <f t="shared" si="5"/>
        <v>278</v>
      </c>
    </row>
    <row r="37" spans="1:8">
      <c r="A37" s="57">
        <f t="shared" si="6"/>
        <v>10</v>
      </c>
      <c r="B37" s="53" t="s">
        <v>94</v>
      </c>
      <c r="E37" s="61">
        <f>27973/1000</f>
        <v>28</v>
      </c>
      <c r="F37" s="63">
        <f t="shared" si="4"/>
        <v>0</v>
      </c>
      <c r="G37" s="61"/>
      <c r="H37" s="61">
        <f t="shared" si="5"/>
        <v>28</v>
      </c>
    </row>
    <row r="38" spans="1:8">
      <c r="A38" s="57">
        <f t="shared" si="6"/>
        <v>11</v>
      </c>
      <c r="B38" s="53" t="s">
        <v>121</v>
      </c>
      <c r="E38" s="61">
        <f>9480/1000</f>
        <v>9</v>
      </c>
      <c r="F38" s="63">
        <f t="shared" si="4"/>
        <v>0</v>
      </c>
      <c r="G38" s="61"/>
      <c r="H38" s="61">
        <f>E38</f>
        <v>9</v>
      </c>
    </row>
    <row r="39" spans="1:8">
      <c r="A39" s="57">
        <f t="shared" si="6"/>
        <v>12</v>
      </c>
      <c r="B39" s="53" t="s">
        <v>95</v>
      </c>
      <c r="E39" s="61">
        <f>6120/1000</f>
        <v>6</v>
      </c>
      <c r="F39" s="63">
        <f t="shared" si="4"/>
        <v>0</v>
      </c>
      <c r="G39" s="61"/>
      <c r="H39" s="61">
        <f t="shared" si="5"/>
        <v>6</v>
      </c>
    </row>
    <row r="40" spans="1:8">
      <c r="A40" s="57">
        <f t="shared" si="6"/>
        <v>13</v>
      </c>
      <c r="B40" s="53" t="s">
        <v>96</v>
      </c>
      <c r="E40" s="61">
        <f>604/1000</f>
        <v>1</v>
      </c>
      <c r="F40" s="63">
        <f t="shared" si="4"/>
        <v>0</v>
      </c>
      <c r="G40" s="61"/>
      <c r="H40" s="61">
        <f t="shared" si="5"/>
        <v>1</v>
      </c>
    </row>
    <row r="41" spans="1:8">
      <c r="A41" s="57">
        <f t="shared" si="6"/>
        <v>14</v>
      </c>
      <c r="B41" s="53" t="s">
        <v>97</v>
      </c>
      <c r="E41" s="76">
        <f>72000/1000</f>
        <v>72</v>
      </c>
      <c r="F41" s="77">
        <f t="shared" si="4"/>
        <v>0</v>
      </c>
      <c r="G41" s="61"/>
      <c r="H41" s="76">
        <f t="shared" si="5"/>
        <v>72</v>
      </c>
    </row>
    <row r="42" spans="1:8">
      <c r="A42" s="57">
        <f t="shared" si="6"/>
        <v>15</v>
      </c>
      <c r="B42" s="78" t="s">
        <v>84</v>
      </c>
      <c r="E42" s="61">
        <f>SUM(E28:E41)</f>
        <v>12911</v>
      </c>
      <c r="F42" s="61">
        <f>SUM(F28:F41)</f>
        <v>-823</v>
      </c>
      <c r="G42" s="61"/>
      <c r="H42" s="61">
        <f>SUM(H28:H41)</f>
        <v>12088</v>
      </c>
    </row>
    <row r="43" spans="1:8">
      <c r="A43" s="57"/>
      <c r="E43" s="61"/>
      <c r="F43" s="63"/>
      <c r="G43" s="61"/>
      <c r="H43" s="61"/>
    </row>
    <row r="44" spans="1:8">
      <c r="B44" s="75" t="s">
        <v>79</v>
      </c>
      <c r="E44" s="73"/>
      <c r="F44" s="73"/>
      <c r="G44" s="74"/>
      <c r="H44" s="74"/>
    </row>
    <row r="45" spans="1:8">
      <c r="A45" s="57">
        <f>A42+1</f>
        <v>16</v>
      </c>
      <c r="B45" s="53" t="s">
        <v>56</v>
      </c>
      <c r="E45" s="61">
        <f>8081/1000</f>
        <v>8</v>
      </c>
      <c r="F45" s="63">
        <f t="shared" ref="F45:F48" si="7">H45-E45</f>
        <v>0</v>
      </c>
      <c r="G45" s="61"/>
      <c r="H45" s="61">
        <f>E45</f>
        <v>8</v>
      </c>
    </row>
    <row r="46" spans="1:8">
      <c r="A46" s="57">
        <f>A45+1</f>
        <v>17</v>
      </c>
      <c r="B46" s="53" t="s">
        <v>119</v>
      </c>
      <c r="E46" s="61">
        <f>52163/1000</f>
        <v>52</v>
      </c>
      <c r="F46" s="63">
        <f t="shared" si="7"/>
        <v>0</v>
      </c>
      <c r="G46" s="61"/>
      <c r="H46" s="61">
        <f>E46</f>
        <v>52</v>
      </c>
    </row>
    <row r="47" spans="1:8">
      <c r="A47" s="57">
        <f t="shared" ref="A47:A48" si="8">A46+1</f>
        <v>18</v>
      </c>
      <c r="B47" s="53" t="s">
        <v>122</v>
      </c>
      <c r="E47" s="61">
        <f>9090/1000</f>
        <v>9</v>
      </c>
      <c r="F47" s="63">
        <f t="shared" si="7"/>
        <v>0</v>
      </c>
      <c r="G47" s="61"/>
      <c r="H47" s="61">
        <f>E47</f>
        <v>9</v>
      </c>
    </row>
    <row r="48" spans="1:8">
      <c r="A48" s="57">
        <f t="shared" si="8"/>
        <v>19</v>
      </c>
      <c r="B48" s="53" t="s">
        <v>118</v>
      </c>
      <c r="E48" s="76">
        <v>0</v>
      </c>
      <c r="F48" s="77">
        <f t="shared" si="7"/>
        <v>70</v>
      </c>
      <c r="G48" s="61"/>
      <c r="H48" s="76">
        <v>70</v>
      </c>
    </row>
    <row r="49" spans="1:8">
      <c r="A49" s="57"/>
      <c r="B49" s="78" t="s">
        <v>80</v>
      </c>
      <c r="E49" s="61">
        <f>SUM(E45:E48)</f>
        <v>69</v>
      </c>
      <c r="F49" s="61">
        <f>SUM(F45:F48)</f>
        <v>70</v>
      </c>
      <c r="G49" s="61"/>
      <c r="H49" s="61">
        <f>SUM(H45:H48)</f>
        <v>139</v>
      </c>
    </row>
    <row r="50" spans="1:8">
      <c r="A50" s="57"/>
      <c r="D50" s="79"/>
      <c r="E50" s="80"/>
      <c r="F50" s="63"/>
      <c r="G50" s="61"/>
      <c r="H50" s="61"/>
    </row>
    <row r="51" spans="1:8">
      <c r="A51" s="57"/>
      <c r="B51" s="75" t="s">
        <v>111</v>
      </c>
      <c r="E51" s="61"/>
      <c r="F51" s="63"/>
      <c r="G51" s="61"/>
      <c r="H51" s="61"/>
    </row>
    <row r="52" spans="1:8">
      <c r="A52" s="57">
        <f>A48+1</f>
        <v>20</v>
      </c>
      <c r="B52" s="53" t="s">
        <v>87</v>
      </c>
      <c r="E52" s="76">
        <f>924000/1000</f>
        <v>924</v>
      </c>
      <c r="F52" s="76">
        <f t="shared" ref="F52" si="9">H52-E52</f>
        <v>0</v>
      </c>
      <c r="G52" s="61"/>
      <c r="H52" s="76">
        <f>E52</f>
        <v>924</v>
      </c>
    </row>
    <row r="53" spans="1:8">
      <c r="A53" s="57">
        <f>A52+1</f>
        <v>21</v>
      </c>
      <c r="B53" s="78" t="s">
        <v>83</v>
      </c>
      <c r="E53" s="61">
        <f>SUM(E52)</f>
        <v>924</v>
      </c>
      <c r="F53" s="61">
        <f>SUM(F52)</f>
        <v>0</v>
      </c>
      <c r="G53" s="61"/>
      <c r="H53" s="61">
        <f>SUM(H52)</f>
        <v>924</v>
      </c>
    </row>
    <row r="54" spans="1:8">
      <c r="A54" s="57"/>
      <c r="E54" s="61"/>
      <c r="F54" s="63"/>
      <c r="G54" s="61"/>
      <c r="H54" s="61"/>
    </row>
    <row r="55" spans="1:8">
      <c r="A55" s="57"/>
      <c r="B55" s="64" t="s">
        <v>81</v>
      </c>
      <c r="E55" s="61"/>
      <c r="F55" s="63"/>
      <c r="G55" s="61"/>
      <c r="H55" s="61"/>
    </row>
    <row r="56" spans="1:8">
      <c r="A56" s="57">
        <f>A53+1</f>
        <v>22</v>
      </c>
      <c r="B56" s="53" t="s">
        <v>98</v>
      </c>
      <c r="E56" s="61">
        <f>2463879/1000</f>
        <v>2464</v>
      </c>
      <c r="F56" s="63">
        <f t="shared" ref="F56:F60" si="10">H56-E56</f>
        <v>-1370</v>
      </c>
      <c r="G56" s="61"/>
      <c r="H56" s="61">
        <f>(E56-1370)</f>
        <v>1094</v>
      </c>
    </row>
    <row r="57" spans="1:8">
      <c r="A57" s="57">
        <f>A56+1</f>
        <v>23</v>
      </c>
      <c r="B57" s="53" t="s">
        <v>88</v>
      </c>
      <c r="E57" s="61">
        <f>9299/1000</f>
        <v>9</v>
      </c>
      <c r="F57" s="63">
        <f t="shared" si="10"/>
        <v>0</v>
      </c>
      <c r="G57" s="61"/>
      <c r="H57" s="61">
        <f t="shared" ref="H57:H60" si="11">E57</f>
        <v>9</v>
      </c>
    </row>
    <row r="58" spans="1:8">
      <c r="A58" s="57">
        <f t="shared" ref="A58:A61" si="12">A57+1</f>
        <v>24</v>
      </c>
      <c r="B58" s="53" t="s">
        <v>89</v>
      </c>
      <c r="E58" s="61">
        <f>5747/1000</f>
        <v>6</v>
      </c>
      <c r="F58" s="63">
        <f t="shared" si="10"/>
        <v>0</v>
      </c>
      <c r="G58" s="61"/>
      <c r="H58" s="61">
        <f t="shared" si="11"/>
        <v>6</v>
      </c>
    </row>
    <row r="59" spans="1:8">
      <c r="A59" s="57">
        <f t="shared" si="12"/>
        <v>25</v>
      </c>
      <c r="B59" s="53" t="s">
        <v>99</v>
      </c>
      <c r="E59" s="61">
        <f>6410/1000</f>
        <v>6</v>
      </c>
      <c r="F59" s="63">
        <f t="shared" si="10"/>
        <v>0</v>
      </c>
      <c r="G59" s="61"/>
      <c r="H59" s="61">
        <f t="shared" si="11"/>
        <v>6</v>
      </c>
    </row>
    <row r="60" spans="1:8">
      <c r="A60" s="57">
        <f t="shared" si="12"/>
        <v>26</v>
      </c>
      <c r="B60" s="71" t="s">
        <v>101</v>
      </c>
      <c r="E60" s="76">
        <f>22549/1000</f>
        <v>23</v>
      </c>
      <c r="F60" s="77">
        <f t="shared" si="10"/>
        <v>0</v>
      </c>
      <c r="G60" s="61"/>
      <c r="H60" s="76">
        <f t="shared" si="11"/>
        <v>23</v>
      </c>
    </row>
    <row r="61" spans="1:8">
      <c r="A61" s="57">
        <f t="shared" si="12"/>
        <v>27</v>
      </c>
      <c r="B61" s="78" t="s">
        <v>100</v>
      </c>
      <c r="E61" s="61">
        <f>SUM(E56:E60)</f>
        <v>2508</v>
      </c>
      <c r="F61" s="61">
        <f>SUM(F56:F60)</f>
        <v>-1370</v>
      </c>
      <c r="G61" s="61"/>
      <c r="H61" s="61">
        <f>SUM(H56:H60)</f>
        <v>1138</v>
      </c>
    </row>
    <row r="62" spans="1:8">
      <c r="A62" s="57"/>
      <c r="D62" s="81"/>
      <c r="E62" s="82"/>
      <c r="F62" s="61"/>
      <c r="G62" s="61"/>
      <c r="H62" s="61"/>
    </row>
    <row r="63" spans="1:8">
      <c r="A63" s="57"/>
      <c r="B63" s="64" t="s">
        <v>82</v>
      </c>
      <c r="E63" s="61"/>
      <c r="F63" s="63"/>
      <c r="G63" s="61"/>
      <c r="H63" s="61"/>
    </row>
    <row r="64" spans="1:8">
      <c r="A64" s="57">
        <f>A61+1</f>
        <v>28</v>
      </c>
      <c r="B64" s="53" t="s">
        <v>88</v>
      </c>
      <c r="E64" s="61">
        <f>87509/1000</f>
        <v>88</v>
      </c>
      <c r="F64" s="63">
        <f t="shared" ref="F64:F66" si="13">H64-E64</f>
        <v>1</v>
      </c>
      <c r="G64" s="61"/>
      <c r="H64" s="61">
        <f>89243/1000</f>
        <v>89</v>
      </c>
    </row>
    <row r="65" spans="1:9">
      <c r="A65" s="57">
        <f>A64+1</f>
        <v>29</v>
      </c>
      <c r="B65" s="53" t="s">
        <v>89</v>
      </c>
      <c r="E65" s="61">
        <f>50781/1000</f>
        <v>51</v>
      </c>
      <c r="F65" s="63">
        <f t="shared" si="13"/>
        <v>12</v>
      </c>
      <c r="G65" s="61"/>
      <c r="H65" s="61">
        <f>62791/1000</f>
        <v>63</v>
      </c>
    </row>
    <row r="66" spans="1:9">
      <c r="A66" s="57">
        <f>A65+1</f>
        <v>30</v>
      </c>
      <c r="B66" s="53" t="s">
        <v>99</v>
      </c>
      <c r="E66" s="76">
        <f>19990/1000</f>
        <v>20</v>
      </c>
      <c r="F66" s="77">
        <f t="shared" si="13"/>
        <v>5</v>
      </c>
      <c r="G66" s="61"/>
      <c r="H66" s="76">
        <f>25031/1000</f>
        <v>25</v>
      </c>
    </row>
    <row r="67" spans="1:9">
      <c r="A67" s="57">
        <f>A66+1</f>
        <v>31</v>
      </c>
      <c r="B67" s="75" t="s">
        <v>85</v>
      </c>
      <c r="E67" s="61">
        <f>SUM(E64:E66)</f>
        <v>159</v>
      </c>
      <c r="F67" s="63">
        <f>SUM(F64:F66)</f>
        <v>18</v>
      </c>
      <c r="G67" s="61"/>
      <c r="H67" s="61">
        <f>SUM(H64:H66)</f>
        <v>177</v>
      </c>
    </row>
    <row r="68" spans="1:9">
      <c r="A68" s="57"/>
      <c r="E68" s="61"/>
      <c r="F68" s="63"/>
      <c r="G68" s="61"/>
      <c r="H68" s="61"/>
    </row>
    <row r="69" spans="1:9">
      <c r="A69" s="57"/>
      <c r="B69" s="64" t="s">
        <v>116</v>
      </c>
      <c r="E69" s="61"/>
      <c r="F69" s="63"/>
      <c r="G69" s="61"/>
      <c r="H69" s="61"/>
    </row>
    <row r="70" spans="1:9">
      <c r="A70" s="57">
        <f>A67+1</f>
        <v>32</v>
      </c>
      <c r="B70" s="53" t="s">
        <v>87</v>
      </c>
      <c r="E70" s="76">
        <f>1679676/1000</f>
        <v>1680</v>
      </c>
      <c r="F70" s="77">
        <f t="shared" ref="F70" si="14">H70-E70</f>
        <v>0</v>
      </c>
      <c r="G70" s="61"/>
      <c r="H70" s="76">
        <f>E70</f>
        <v>1680</v>
      </c>
    </row>
    <row r="71" spans="1:9">
      <c r="A71" s="57"/>
      <c r="B71" s="78" t="s">
        <v>120</v>
      </c>
      <c r="E71" s="61">
        <f>SUM(E70)</f>
        <v>1680</v>
      </c>
      <c r="F71" s="63">
        <f>SUM(F70)</f>
        <v>0</v>
      </c>
      <c r="G71" s="61"/>
      <c r="H71" s="61">
        <f>SUM(H70)</f>
        <v>1680</v>
      </c>
    </row>
    <row r="72" spans="1:9" ht="15.75" thickBot="1">
      <c r="A72" s="57"/>
      <c r="E72" s="61"/>
      <c r="F72" s="63"/>
      <c r="G72" s="61"/>
      <c r="H72" s="61"/>
    </row>
    <row r="73" spans="1:9" ht="15.75" thickBot="1">
      <c r="A73" s="57">
        <f>A70+1</f>
        <v>33</v>
      </c>
      <c r="B73" s="64" t="s">
        <v>86</v>
      </c>
      <c r="E73" s="83">
        <f>E42+E49+E53+E61+E67+E71</f>
        <v>18251</v>
      </c>
      <c r="F73" s="83">
        <f>F42+F49+F53+F61+F67+F71</f>
        <v>-2105</v>
      </c>
      <c r="H73" s="87">
        <f>H42+H49+H53+H61+H67+H71</f>
        <v>16146</v>
      </c>
      <c r="I73" s="84" t="s">
        <v>150</v>
      </c>
    </row>
    <row r="74" spans="1:9">
      <c r="B74" s="64"/>
      <c r="D74" s="81"/>
      <c r="E74" s="82"/>
      <c r="F74" s="61"/>
    </row>
    <row r="75" spans="1:9">
      <c r="A75" s="57">
        <f>+A73+1</f>
        <v>34</v>
      </c>
      <c r="B75" s="64" t="s">
        <v>153</v>
      </c>
      <c r="E75" s="85"/>
      <c r="F75" s="83">
        <f>+F24-F73</f>
        <v>1424</v>
      </c>
      <c r="H75" s="85"/>
    </row>
    <row r="76" spans="1:9" ht="12" customHeight="1">
      <c r="F76" s="53"/>
    </row>
    <row r="77" spans="1:9">
      <c r="B77" s="164" t="s">
        <v>151</v>
      </c>
      <c r="C77" s="164"/>
      <c r="D77" s="164"/>
      <c r="E77" s="164"/>
      <c r="F77" s="164"/>
      <c r="G77" s="164"/>
      <c r="H77" s="164"/>
      <c r="I77" s="164"/>
    </row>
    <row r="78" spans="1:9" ht="61.5" customHeight="1">
      <c r="A78" s="53"/>
      <c r="B78" s="164" t="s">
        <v>154</v>
      </c>
      <c r="C78" s="164"/>
      <c r="D78" s="164"/>
      <c r="E78" s="164"/>
      <c r="F78" s="164"/>
      <c r="G78" s="164"/>
      <c r="H78" s="164"/>
      <c r="I78" s="164"/>
    </row>
  </sheetData>
  <mergeCells count="6">
    <mergeCell ref="B78:I78"/>
    <mergeCell ref="A1:I1"/>
    <mergeCell ref="A2:I2"/>
    <mergeCell ref="A3:I3"/>
    <mergeCell ref="A4:I4"/>
    <mergeCell ref="B77:I77"/>
  </mergeCells>
  <pageMargins left="1" right="1" top="1" bottom="0" header="0.75" footer="0.75"/>
  <pageSetup scale="71" fitToHeight="2" orientation="portrait" horizontalDpi="1200" verticalDpi="1200" r:id="rId1"/>
  <headerFooter alignWithMargins="0">
    <oddHeader xml:space="preserve">&amp;RExh. JAS-2    </oddHeader>
    <oddFooter>&amp;RPage &amp;P of &amp;N</oddFooter>
  </headerFooter>
  <rowBreaks count="1" manualBreakCount="1">
    <brk id="61" max="8" man="1"/>
  </rowBreaks>
  <ignoredErrors>
    <ignoredError sqref="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</sheetPr>
  <dimension ref="A1:M95"/>
  <sheetViews>
    <sheetView workbookViewId="0">
      <selection activeCell="C40" sqref="C40"/>
    </sheetView>
  </sheetViews>
  <sheetFormatPr defaultColWidth="11.42578125" defaultRowHeight="15"/>
  <cols>
    <col min="1" max="1" width="4.42578125" style="110" customWidth="1"/>
    <col min="2" max="2" width="46.7109375" style="89" bestFit="1" customWidth="1"/>
    <col min="3" max="3" width="11" style="89" customWidth="1"/>
    <col min="4" max="4" width="9" style="89" customWidth="1"/>
    <col min="5" max="5" width="10.42578125" style="89" customWidth="1"/>
    <col min="6" max="6" width="12" style="111" customWidth="1"/>
    <col min="7" max="7" width="5.85546875" style="89" customWidth="1"/>
    <col min="8" max="8" width="12.7109375" style="89" customWidth="1"/>
    <col min="9" max="9" width="4.5703125" style="89" customWidth="1"/>
    <col min="10" max="10" width="11.42578125" style="88"/>
    <col min="11" max="16384" width="11.42578125" style="89"/>
  </cols>
  <sheetData>
    <row r="1" spans="1:11">
      <c r="A1" s="168" t="s">
        <v>7</v>
      </c>
      <c r="B1" s="168"/>
      <c r="C1" s="168"/>
      <c r="D1" s="168"/>
      <c r="E1" s="168"/>
      <c r="F1" s="168"/>
      <c r="G1" s="168"/>
      <c r="H1" s="168"/>
      <c r="I1" s="168"/>
    </row>
    <row r="2" spans="1:11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3" spans="1:11">
      <c r="A3" s="168" t="s">
        <v>105</v>
      </c>
      <c r="B3" s="168"/>
      <c r="C3" s="168"/>
      <c r="D3" s="168"/>
      <c r="E3" s="168"/>
      <c r="F3" s="168"/>
      <c r="G3" s="168"/>
      <c r="H3" s="168"/>
      <c r="I3" s="168"/>
    </row>
    <row r="4" spans="1:11" ht="12" customHeight="1">
      <c r="A4" s="168" t="s">
        <v>1</v>
      </c>
      <c r="B4" s="168"/>
      <c r="C4" s="168"/>
      <c r="D4" s="168"/>
      <c r="E4" s="168"/>
      <c r="F4" s="168"/>
      <c r="G4" s="168"/>
      <c r="H4" s="168"/>
      <c r="I4" s="168"/>
    </row>
    <row r="5" spans="1:11" ht="12" customHeight="1">
      <c r="A5" s="90"/>
      <c r="B5" s="91"/>
      <c r="D5" s="92"/>
      <c r="F5" s="93"/>
    </row>
    <row r="6" spans="1:11" ht="12" customHeight="1">
      <c r="A6" s="90"/>
      <c r="B6" s="91"/>
      <c r="D6" s="92"/>
      <c r="F6" s="93"/>
    </row>
    <row r="7" spans="1:11" ht="12" customHeight="1">
      <c r="A7" s="90"/>
      <c r="B7" s="91"/>
      <c r="D7" s="92"/>
      <c r="E7" s="92" t="s">
        <v>29</v>
      </c>
      <c r="F7" s="92" t="s">
        <v>11</v>
      </c>
      <c r="G7" s="92"/>
      <c r="H7" s="92" t="s">
        <v>12</v>
      </c>
    </row>
    <row r="8" spans="1:11">
      <c r="A8" s="93"/>
      <c r="E8" s="94" t="s">
        <v>103</v>
      </c>
      <c r="F8" s="94"/>
      <c r="G8" s="94"/>
      <c r="H8" s="94" t="s">
        <v>106</v>
      </c>
    </row>
    <row r="9" spans="1:11">
      <c r="A9" s="93" t="s">
        <v>2</v>
      </c>
      <c r="E9" s="95" t="s">
        <v>104</v>
      </c>
      <c r="F9" s="94"/>
      <c r="G9" s="94"/>
      <c r="H9" s="94" t="s">
        <v>19</v>
      </c>
    </row>
    <row r="10" spans="1:11">
      <c r="A10" s="96" t="s">
        <v>3</v>
      </c>
      <c r="E10" s="96" t="s">
        <v>4</v>
      </c>
      <c r="F10" s="96" t="s">
        <v>10</v>
      </c>
      <c r="G10" s="94"/>
      <c r="H10" s="96" t="s">
        <v>20</v>
      </c>
    </row>
    <row r="11" spans="1:11">
      <c r="A11" s="97"/>
      <c r="E11" s="94"/>
      <c r="F11" s="98"/>
      <c r="G11" s="94"/>
      <c r="H11" s="94"/>
    </row>
    <row r="12" spans="1:11">
      <c r="A12" s="93"/>
      <c r="B12" s="99" t="s">
        <v>31</v>
      </c>
      <c r="E12" s="100"/>
      <c r="F12" s="100"/>
      <c r="G12" s="94"/>
      <c r="H12" s="100"/>
      <c r="K12" s="101" t="s">
        <v>107</v>
      </c>
    </row>
    <row r="13" spans="1:11">
      <c r="A13" s="93">
        <v>1</v>
      </c>
      <c r="B13" s="89" t="s">
        <v>44</v>
      </c>
      <c r="E13" s="100">
        <f>62047/1000</f>
        <v>62</v>
      </c>
      <c r="F13" s="100">
        <f t="shared" ref="F13:F16" si="0">H13-E13</f>
        <v>-62</v>
      </c>
      <c r="G13" s="94"/>
      <c r="H13" s="100">
        <v>0</v>
      </c>
      <c r="K13" s="89" t="s">
        <v>108</v>
      </c>
    </row>
    <row r="14" spans="1:11">
      <c r="A14" s="93">
        <f>+A13+1</f>
        <v>2</v>
      </c>
      <c r="B14" s="89" t="s">
        <v>45</v>
      </c>
      <c r="E14" s="100">
        <f>157367/1000</f>
        <v>157</v>
      </c>
      <c r="F14" s="100">
        <f t="shared" si="0"/>
        <v>-157</v>
      </c>
      <c r="G14" s="94"/>
      <c r="H14" s="100">
        <v>0</v>
      </c>
      <c r="K14" s="89" t="s">
        <v>108</v>
      </c>
    </row>
    <row r="15" spans="1:11">
      <c r="A15" s="93">
        <f t="shared" ref="A15:A17" si="1">+A14+1</f>
        <v>3</v>
      </c>
      <c r="B15" s="89" t="s">
        <v>112</v>
      </c>
      <c r="E15" s="100">
        <f>25000/1000</f>
        <v>25</v>
      </c>
      <c r="F15" s="100">
        <f t="shared" si="0"/>
        <v>-25</v>
      </c>
      <c r="G15" s="94"/>
      <c r="H15" s="100">
        <v>0</v>
      </c>
      <c r="K15" s="89" t="s">
        <v>108</v>
      </c>
    </row>
    <row r="16" spans="1:11">
      <c r="A16" s="93">
        <f t="shared" si="1"/>
        <v>4</v>
      </c>
      <c r="B16" s="89" t="s">
        <v>102</v>
      </c>
      <c r="E16" s="100">
        <f>15718/1000</f>
        <v>16</v>
      </c>
      <c r="F16" s="100">
        <f t="shared" si="0"/>
        <v>87</v>
      </c>
      <c r="G16" s="94"/>
      <c r="H16" s="100">
        <v>103</v>
      </c>
      <c r="K16" s="89" t="s">
        <v>113</v>
      </c>
    </row>
    <row r="17" spans="1:11">
      <c r="A17" s="93">
        <f t="shared" si="1"/>
        <v>5</v>
      </c>
      <c r="B17" s="102" t="s">
        <v>33</v>
      </c>
      <c r="E17" s="103">
        <f>SUM(E13:E16)</f>
        <v>260</v>
      </c>
      <c r="F17" s="103">
        <f>SUM(F13:F16)</f>
        <v>-157</v>
      </c>
      <c r="G17" s="94"/>
      <c r="H17" s="103">
        <f>SUM(H13:H16)</f>
        <v>103</v>
      </c>
    </row>
    <row r="18" spans="1:11">
      <c r="A18" s="93"/>
      <c r="D18" s="104"/>
      <c r="E18" s="105"/>
      <c r="F18" s="100"/>
      <c r="G18" s="94"/>
      <c r="H18" s="100"/>
    </row>
    <row r="19" spans="1:11">
      <c r="A19" s="93"/>
      <c r="B19" s="99" t="s">
        <v>34</v>
      </c>
      <c r="E19" s="100"/>
      <c r="F19" s="100"/>
      <c r="G19" s="94"/>
      <c r="H19" s="100"/>
    </row>
    <row r="20" spans="1:11">
      <c r="A20" s="93">
        <f>+A17+1</f>
        <v>6</v>
      </c>
      <c r="B20" s="89" t="s">
        <v>25</v>
      </c>
      <c r="E20" s="100">
        <f>51583/1000</f>
        <v>52</v>
      </c>
      <c r="F20" s="100">
        <f t="shared" ref="F20:F22" si="2">H20-E20</f>
        <v>21</v>
      </c>
      <c r="G20" s="94"/>
      <c r="H20" s="100">
        <f>72612/1000</f>
        <v>73</v>
      </c>
      <c r="K20" s="89" t="s">
        <v>109</v>
      </c>
    </row>
    <row r="21" spans="1:11">
      <c r="A21" s="93">
        <f>+A20+1</f>
        <v>7</v>
      </c>
      <c r="B21" s="89" t="s">
        <v>39</v>
      </c>
      <c r="E21" s="100">
        <f>928243/1000</f>
        <v>928</v>
      </c>
      <c r="F21" s="100">
        <f t="shared" si="2"/>
        <v>-928</v>
      </c>
      <c r="G21" s="94"/>
      <c r="H21" s="100">
        <v>0</v>
      </c>
      <c r="K21" s="89" t="s">
        <v>110</v>
      </c>
    </row>
    <row r="22" spans="1:11">
      <c r="A22" s="93">
        <f t="shared" ref="A22:A23" si="3">+A21+1</f>
        <v>8</v>
      </c>
      <c r="B22" s="89" t="s">
        <v>77</v>
      </c>
      <c r="E22" s="100">
        <f>29137/1000</f>
        <v>29</v>
      </c>
      <c r="F22" s="100">
        <f t="shared" si="2"/>
        <v>383</v>
      </c>
      <c r="G22" s="94"/>
      <c r="H22" s="100">
        <f>411574/1000</f>
        <v>412</v>
      </c>
      <c r="K22" s="89" t="s">
        <v>114</v>
      </c>
    </row>
    <row r="23" spans="1:11">
      <c r="A23" s="93">
        <f t="shared" si="3"/>
        <v>9</v>
      </c>
      <c r="B23" s="102" t="s">
        <v>37</v>
      </c>
      <c r="E23" s="103">
        <f>SUM(E20:E22)</f>
        <v>1009</v>
      </c>
      <c r="F23" s="103">
        <f>SUM(F20:F22)</f>
        <v>-524</v>
      </c>
      <c r="G23" s="94"/>
      <c r="H23" s="103">
        <f>SUM(H20:H22)</f>
        <v>485</v>
      </c>
    </row>
    <row r="24" spans="1:11">
      <c r="A24" s="93"/>
      <c r="B24" s="102"/>
      <c r="E24" s="106"/>
      <c r="F24" s="106"/>
      <c r="G24" s="94"/>
      <c r="H24" s="106"/>
    </row>
    <row r="25" spans="1:11">
      <c r="A25" s="93"/>
      <c r="E25" s="100"/>
      <c r="F25" s="100"/>
      <c r="G25" s="94"/>
      <c r="H25" s="100"/>
    </row>
    <row r="26" spans="1:11">
      <c r="A26" s="93">
        <f>A23+1</f>
        <v>10</v>
      </c>
      <c r="B26" s="102" t="s">
        <v>36</v>
      </c>
      <c r="E26" s="103">
        <f>+E17+E23</f>
        <v>1269</v>
      </c>
      <c r="F26" s="107">
        <f>+F17+F23</f>
        <v>-681</v>
      </c>
      <c r="G26" s="108"/>
      <c r="H26" s="103">
        <f>+H17+H23</f>
        <v>588</v>
      </c>
    </row>
    <row r="27" spans="1:11">
      <c r="A27" s="93"/>
      <c r="E27" s="100"/>
      <c r="F27" s="106"/>
      <c r="G27" s="109"/>
      <c r="H27" s="100"/>
    </row>
    <row r="28" spans="1:11">
      <c r="E28" s="94"/>
      <c r="G28" s="109"/>
      <c r="H28" s="94"/>
    </row>
    <row r="29" spans="1:11" ht="17.25">
      <c r="B29" s="99" t="s">
        <v>149</v>
      </c>
      <c r="E29" s="112"/>
      <c r="F29" s="112"/>
      <c r="G29" s="113"/>
      <c r="H29" s="113"/>
    </row>
    <row r="30" spans="1:11" ht="6.75" customHeight="1">
      <c r="B30" s="99"/>
      <c r="E30" s="112"/>
      <c r="F30" s="112"/>
      <c r="G30" s="113"/>
      <c r="H30" s="113"/>
    </row>
    <row r="31" spans="1:11">
      <c r="A31" s="93"/>
      <c r="B31" s="114" t="s">
        <v>117</v>
      </c>
      <c r="E31" s="98"/>
      <c r="F31" s="100"/>
      <c r="G31" s="98"/>
      <c r="H31" s="98"/>
    </row>
    <row r="32" spans="1:11">
      <c r="A32" s="93">
        <v>1</v>
      </c>
      <c r="B32" s="89" t="s">
        <v>115</v>
      </c>
      <c r="E32" s="98">
        <f>5473825/1000</f>
        <v>5474</v>
      </c>
      <c r="F32" s="100">
        <f>H32-E32</f>
        <v>-812</v>
      </c>
      <c r="G32" s="98"/>
      <c r="H32" s="98">
        <f>4662384/1000</f>
        <v>4662</v>
      </c>
      <c r="J32" s="98"/>
      <c r="K32" s="98" t="s">
        <v>134</v>
      </c>
    </row>
    <row r="33" spans="1:11">
      <c r="A33" s="93">
        <f>A32+1</f>
        <v>2</v>
      </c>
      <c r="B33" s="89" t="s">
        <v>87</v>
      </c>
      <c r="E33" s="98">
        <f>6412679/1000</f>
        <v>6413</v>
      </c>
      <c r="F33" s="100">
        <f t="shared" ref="F33:F45" si="4">H33-E33</f>
        <v>0</v>
      </c>
      <c r="G33" s="98"/>
      <c r="H33" s="98">
        <f t="shared" ref="H33:H45" si="5">E33</f>
        <v>6413</v>
      </c>
    </row>
    <row r="34" spans="1:11">
      <c r="A34" s="93">
        <f>A33+1</f>
        <v>3</v>
      </c>
      <c r="B34" s="89" t="s">
        <v>88</v>
      </c>
      <c r="E34" s="98">
        <f>32160/1000</f>
        <v>32</v>
      </c>
      <c r="F34" s="100">
        <f t="shared" si="4"/>
        <v>0</v>
      </c>
      <c r="G34" s="98"/>
      <c r="H34" s="98">
        <f t="shared" si="5"/>
        <v>32</v>
      </c>
    </row>
    <row r="35" spans="1:11">
      <c r="A35" s="93">
        <f t="shared" ref="A35:A46" si="6">A34+1</f>
        <v>4</v>
      </c>
      <c r="B35" s="89" t="s">
        <v>89</v>
      </c>
      <c r="E35" s="98">
        <f>10800/1000</f>
        <v>11</v>
      </c>
      <c r="F35" s="100">
        <f t="shared" si="4"/>
        <v>0</v>
      </c>
      <c r="G35" s="98"/>
      <c r="H35" s="98">
        <f t="shared" si="5"/>
        <v>11</v>
      </c>
    </row>
    <row r="36" spans="1:11">
      <c r="A36" s="93">
        <f t="shared" si="6"/>
        <v>5</v>
      </c>
      <c r="B36" s="89" t="s">
        <v>90</v>
      </c>
      <c r="E36" s="98">
        <f>27567/1000</f>
        <v>28</v>
      </c>
      <c r="F36" s="100">
        <f t="shared" si="4"/>
        <v>0</v>
      </c>
      <c r="G36" s="98"/>
      <c r="H36" s="98">
        <f t="shared" si="5"/>
        <v>28</v>
      </c>
    </row>
    <row r="37" spans="1:11">
      <c r="A37" s="93">
        <f t="shared" si="6"/>
        <v>6</v>
      </c>
      <c r="B37" s="89" t="s">
        <v>99</v>
      </c>
      <c r="E37" s="98">
        <f>28800/1000</f>
        <v>29</v>
      </c>
      <c r="F37" s="100">
        <f t="shared" si="4"/>
        <v>-11</v>
      </c>
      <c r="G37" s="98"/>
      <c r="H37" s="98">
        <f>18000/1000</f>
        <v>18</v>
      </c>
      <c r="K37" s="89" t="s">
        <v>125</v>
      </c>
    </row>
    <row r="38" spans="1:11">
      <c r="A38" s="93">
        <f t="shared" si="6"/>
        <v>7</v>
      </c>
      <c r="B38" s="89" t="s">
        <v>91</v>
      </c>
      <c r="E38" s="98">
        <f>349765/1000</f>
        <v>350</v>
      </c>
      <c r="F38" s="100">
        <f t="shared" si="4"/>
        <v>0</v>
      </c>
      <c r="G38" s="98"/>
      <c r="H38" s="98">
        <f t="shared" si="5"/>
        <v>350</v>
      </c>
    </row>
    <row r="39" spans="1:11">
      <c r="A39" s="93">
        <f t="shared" si="6"/>
        <v>8</v>
      </c>
      <c r="B39" s="89" t="s">
        <v>92</v>
      </c>
      <c r="E39" s="98">
        <f>180456/1000</f>
        <v>180</v>
      </c>
      <c r="F39" s="100">
        <f t="shared" si="4"/>
        <v>0</v>
      </c>
      <c r="G39" s="98"/>
      <c r="H39" s="98">
        <f t="shared" si="5"/>
        <v>180</v>
      </c>
      <c r="K39" s="115"/>
    </row>
    <row r="40" spans="1:11">
      <c r="A40" s="93">
        <f t="shared" si="6"/>
        <v>9</v>
      </c>
      <c r="B40" s="89" t="s">
        <v>93</v>
      </c>
      <c r="E40" s="98">
        <f>277574/1000</f>
        <v>278</v>
      </c>
      <c r="F40" s="100">
        <f t="shared" si="4"/>
        <v>0</v>
      </c>
      <c r="G40" s="98"/>
      <c r="H40" s="98">
        <f t="shared" si="5"/>
        <v>278</v>
      </c>
    </row>
    <row r="41" spans="1:11">
      <c r="A41" s="93">
        <f t="shared" si="6"/>
        <v>10</v>
      </c>
      <c r="B41" s="89" t="s">
        <v>94</v>
      </c>
      <c r="E41" s="98">
        <f>27973/1000</f>
        <v>28</v>
      </c>
      <c r="F41" s="100">
        <f t="shared" si="4"/>
        <v>0</v>
      </c>
      <c r="G41" s="98"/>
      <c r="H41" s="98">
        <f t="shared" si="5"/>
        <v>28</v>
      </c>
    </row>
    <row r="42" spans="1:11">
      <c r="A42" s="93">
        <f t="shared" si="6"/>
        <v>11</v>
      </c>
      <c r="B42" s="89" t="s">
        <v>121</v>
      </c>
      <c r="E42" s="98">
        <f>9480/1000</f>
        <v>9</v>
      </c>
      <c r="F42" s="100">
        <f t="shared" si="4"/>
        <v>0</v>
      </c>
      <c r="G42" s="98"/>
      <c r="H42" s="98">
        <f>E42</f>
        <v>9</v>
      </c>
    </row>
    <row r="43" spans="1:11">
      <c r="A43" s="93">
        <f t="shared" si="6"/>
        <v>12</v>
      </c>
      <c r="B43" s="89" t="s">
        <v>95</v>
      </c>
      <c r="E43" s="98">
        <f>6120/1000</f>
        <v>6</v>
      </c>
      <c r="F43" s="100">
        <f t="shared" si="4"/>
        <v>0</v>
      </c>
      <c r="G43" s="98"/>
      <c r="H43" s="98">
        <f t="shared" si="5"/>
        <v>6</v>
      </c>
    </row>
    <row r="44" spans="1:11">
      <c r="A44" s="93">
        <f t="shared" si="6"/>
        <v>13</v>
      </c>
      <c r="B44" s="89" t="s">
        <v>96</v>
      </c>
      <c r="E44" s="98">
        <f>604/1000</f>
        <v>1</v>
      </c>
      <c r="F44" s="100">
        <f t="shared" si="4"/>
        <v>0</v>
      </c>
      <c r="G44" s="98"/>
      <c r="H44" s="98">
        <f t="shared" si="5"/>
        <v>1</v>
      </c>
    </row>
    <row r="45" spans="1:11">
      <c r="A45" s="93">
        <f t="shared" si="6"/>
        <v>14</v>
      </c>
      <c r="B45" s="89" t="s">
        <v>97</v>
      </c>
      <c r="E45" s="116">
        <f>72000/1000</f>
        <v>72</v>
      </c>
      <c r="F45" s="117">
        <f t="shared" si="4"/>
        <v>0</v>
      </c>
      <c r="G45" s="98"/>
      <c r="H45" s="116">
        <f t="shared" si="5"/>
        <v>72</v>
      </c>
    </row>
    <row r="46" spans="1:11">
      <c r="A46" s="93">
        <f t="shared" si="6"/>
        <v>15</v>
      </c>
      <c r="B46" s="118" t="s">
        <v>84</v>
      </c>
      <c r="E46" s="98">
        <f>SUM(E32:E45)</f>
        <v>12911</v>
      </c>
      <c r="F46" s="98">
        <f>SUM(F32:F45)</f>
        <v>-823</v>
      </c>
      <c r="G46" s="98"/>
      <c r="H46" s="98">
        <f>SUM(H32:H45)</f>
        <v>12088</v>
      </c>
    </row>
    <row r="47" spans="1:11">
      <c r="A47" s="93"/>
      <c r="E47" s="98"/>
      <c r="F47" s="100"/>
      <c r="G47" s="98"/>
      <c r="H47" s="98"/>
    </row>
    <row r="48" spans="1:11">
      <c r="B48" s="114" t="s">
        <v>79</v>
      </c>
      <c r="E48" s="112"/>
      <c r="F48" s="112"/>
      <c r="G48" s="113"/>
      <c r="H48" s="113"/>
    </row>
    <row r="49" spans="1:13">
      <c r="A49" s="93">
        <f>A46+1</f>
        <v>16</v>
      </c>
      <c r="B49" s="89" t="s">
        <v>56</v>
      </c>
      <c r="E49" s="98">
        <f>8081/1000</f>
        <v>8</v>
      </c>
      <c r="F49" s="100">
        <f t="shared" ref="F49:F52" si="7">H49-E49</f>
        <v>0</v>
      </c>
      <c r="G49" s="98"/>
      <c r="H49" s="98">
        <f>E49</f>
        <v>8</v>
      </c>
      <c r="J49" s="119"/>
      <c r="K49" s="120"/>
      <c r="M49" s="111"/>
    </row>
    <row r="50" spans="1:13">
      <c r="A50" s="93">
        <f>A49+1</f>
        <v>17</v>
      </c>
      <c r="B50" s="89" t="s">
        <v>119</v>
      </c>
      <c r="E50" s="98">
        <f>52163/1000</f>
        <v>52</v>
      </c>
      <c r="F50" s="100">
        <f t="shared" si="7"/>
        <v>0</v>
      </c>
      <c r="G50" s="98"/>
      <c r="H50" s="98">
        <f>E50</f>
        <v>52</v>
      </c>
      <c r="M50" s="111"/>
    </row>
    <row r="51" spans="1:13">
      <c r="A51" s="93">
        <f t="shared" ref="A51:A52" si="8">A50+1</f>
        <v>18</v>
      </c>
      <c r="B51" s="89" t="s">
        <v>122</v>
      </c>
      <c r="E51" s="98">
        <f>9090/1000</f>
        <v>9</v>
      </c>
      <c r="F51" s="100">
        <f t="shared" ref="F51" si="9">H51-E51</f>
        <v>0</v>
      </c>
      <c r="G51" s="98"/>
      <c r="H51" s="98">
        <f>E51</f>
        <v>9</v>
      </c>
      <c r="M51" s="111"/>
    </row>
    <row r="52" spans="1:13">
      <c r="A52" s="93">
        <f t="shared" si="8"/>
        <v>19</v>
      </c>
      <c r="B52" s="89" t="s">
        <v>118</v>
      </c>
      <c r="E52" s="116">
        <v>0</v>
      </c>
      <c r="F52" s="117">
        <f t="shared" si="7"/>
        <v>70</v>
      </c>
      <c r="G52" s="98"/>
      <c r="H52" s="116">
        <v>70</v>
      </c>
      <c r="K52" s="89" t="s">
        <v>123</v>
      </c>
      <c r="M52" s="111"/>
    </row>
    <row r="53" spans="1:13">
      <c r="A53" s="93"/>
      <c r="B53" s="118" t="s">
        <v>80</v>
      </c>
      <c r="E53" s="98">
        <f>SUM(E49:E52)</f>
        <v>69</v>
      </c>
      <c r="F53" s="98">
        <f>SUM(F49:F52)</f>
        <v>70</v>
      </c>
      <c r="G53" s="98"/>
      <c r="H53" s="98">
        <f>SUM(H49:H52)</f>
        <v>139</v>
      </c>
      <c r="J53" s="119"/>
      <c r="K53" s="120"/>
      <c r="M53" s="121"/>
    </row>
    <row r="54" spans="1:13">
      <c r="A54" s="93"/>
      <c r="D54" s="122"/>
      <c r="E54" s="123"/>
      <c r="F54" s="100"/>
      <c r="G54" s="98"/>
      <c r="H54" s="98"/>
    </row>
    <row r="55" spans="1:13">
      <c r="A55" s="93"/>
      <c r="B55" s="114" t="s">
        <v>111</v>
      </c>
      <c r="E55" s="98"/>
      <c r="F55" s="100"/>
      <c r="G55" s="98"/>
      <c r="H55" s="98"/>
    </row>
    <row r="56" spans="1:13">
      <c r="A56" s="93">
        <f>A52+1</f>
        <v>20</v>
      </c>
      <c r="B56" s="89" t="s">
        <v>87</v>
      </c>
      <c r="E56" s="116">
        <f>924000/1000</f>
        <v>924</v>
      </c>
      <c r="F56" s="116">
        <f t="shared" ref="F56" si="10">H56-E56</f>
        <v>0</v>
      </c>
      <c r="G56" s="98"/>
      <c r="H56" s="116">
        <f>E56</f>
        <v>924</v>
      </c>
    </row>
    <row r="57" spans="1:13">
      <c r="A57" s="93">
        <f>A56+1</f>
        <v>21</v>
      </c>
      <c r="B57" s="118" t="s">
        <v>83</v>
      </c>
      <c r="E57" s="98">
        <f>SUM(E56)</f>
        <v>924</v>
      </c>
      <c r="F57" s="98">
        <f>SUM(F56)</f>
        <v>0</v>
      </c>
      <c r="G57" s="98"/>
      <c r="H57" s="98">
        <f>SUM(H56)</f>
        <v>924</v>
      </c>
    </row>
    <row r="58" spans="1:13">
      <c r="A58" s="93"/>
      <c r="E58" s="98"/>
      <c r="F58" s="100"/>
      <c r="G58" s="98"/>
      <c r="H58" s="98"/>
    </row>
    <row r="59" spans="1:13">
      <c r="A59" s="93"/>
      <c r="B59" s="102" t="s">
        <v>81</v>
      </c>
      <c r="E59" s="98"/>
      <c r="F59" s="100"/>
      <c r="G59" s="98"/>
      <c r="H59" s="98"/>
    </row>
    <row r="60" spans="1:13">
      <c r="A60" s="93">
        <f>A57+1</f>
        <v>22</v>
      </c>
      <c r="B60" s="89" t="s">
        <v>98</v>
      </c>
      <c r="E60" s="98">
        <f>2463879/1000</f>
        <v>2464</v>
      </c>
      <c r="F60" s="100">
        <f t="shared" ref="F60:F64" si="11">H60-E60</f>
        <v>-1370</v>
      </c>
      <c r="G60" s="98"/>
      <c r="H60" s="98">
        <f>(E60-1370)</f>
        <v>1094</v>
      </c>
      <c r="K60" s="89" t="s">
        <v>126</v>
      </c>
    </row>
    <row r="61" spans="1:13">
      <c r="A61" s="93">
        <f>A60+1</f>
        <v>23</v>
      </c>
      <c r="B61" s="89" t="s">
        <v>88</v>
      </c>
      <c r="E61" s="98">
        <f>9299/1000</f>
        <v>9</v>
      </c>
      <c r="F61" s="100">
        <f t="shared" si="11"/>
        <v>0</v>
      </c>
      <c r="G61" s="98"/>
      <c r="H61" s="98">
        <f t="shared" ref="H61:H64" si="12">E61</f>
        <v>9</v>
      </c>
    </row>
    <row r="62" spans="1:13">
      <c r="A62" s="93">
        <f t="shared" ref="A62:A65" si="13">A61+1</f>
        <v>24</v>
      </c>
      <c r="B62" s="89" t="s">
        <v>89</v>
      </c>
      <c r="E62" s="98">
        <f>5747/1000</f>
        <v>6</v>
      </c>
      <c r="F62" s="100">
        <f t="shared" si="11"/>
        <v>0</v>
      </c>
      <c r="G62" s="98"/>
      <c r="H62" s="98">
        <f t="shared" si="12"/>
        <v>6</v>
      </c>
    </row>
    <row r="63" spans="1:13">
      <c r="A63" s="93">
        <f t="shared" si="13"/>
        <v>25</v>
      </c>
      <c r="B63" s="89" t="s">
        <v>99</v>
      </c>
      <c r="E63" s="98">
        <f>6410/1000</f>
        <v>6</v>
      </c>
      <c r="F63" s="100">
        <f t="shared" si="11"/>
        <v>0</v>
      </c>
      <c r="G63" s="98"/>
      <c r="H63" s="98">
        <f t="shared" si="12"/>
        <v>6</v>
      </c>
    </row>
    <row r="64" spans="1:13">
      <c r="A64" s="93">
        <f t="shared" si="13"/>
        <v>26</v>
      </c>
      <c r="B64" s="110" t="s">
        <v>101</v>
      </c>
      <c r="E64" s="116">
        <f>22549/1000</f>
        <v>23</v>
      </c>
      <c r="F64" s="117">
        <f t="shared" si="11"/>
        <v>0</v>
      </c>
      <c r="G64" s="98"/>
      <c r="H64" s="116">
        <f t="shared" si="12"/>
        <v>23</v>
      </c>
    </row>
    <row r="65" spans="1:11">
      <c r="A65" s="93">
        <f t="shared" si="13"/>
        <v>27</v>
      </c>
      <c r="B65" s="118" t="s">
        <v>100</v>
      </c>
      <c r="E65" s="98">
        <f>SUM(E60:E64)</f>
        <v>2508</v>
      </c>
      <c r="F65" s="98">
        <f>SUM(F60:F64)</f>
        <v>-1370</v>
      </c>
      <c r="G65" s="98"/>
      <c r="H65" s="98">
        <f>SUM(H60:H64)</f>
        <v>1138</v>
      </c>
      <c r="J65" s="119"/>
      <c r="K65" s="120"/>
    </row>
    <row r="66" spans="1:11">
      <c r="A66" s="93"/>
      <c r="D66" s="124"/>
      <c r="E66" s="125"/>
      <c r="F66" s="98"/>
      <c r="G66" s="98"/>
      <c r="H66" s="98"/>
    </row>
    <row r="67" spans="1:11">
      <c r="A67" s="93"/>
      <c r="B67" s="102" t="s">
        <v>82</v>
      </c>
      <c r="E67" s="98"/>
      <c r="F67" s="100"/>
      <c r="G67" s="98"/>
      <c r="H67" s="98"/>
    </row>
    <row r="68" spans="1:11">
      <c r="A68" s="93">
        <f>A65+1</f>
        <v>28</v>
      </c>
      <c r="B68" s="89" t="s">
        <v>88</v>
      </c>
      <c r="E68" s="98">
        <f>87509/1000</f>
        <v>88</v>
      </c>
      <c r="F68" s="100">
        <f t="shared" ref="F68:F70" si="14">H68-E68</f>
        <v>1</v>
      </c>
      <c r="G68" s="98"/>
      <c r="H68" s="98">
        <f>89243/1000</f>
        <v>89</v>
      </c>
      <c r="K68" s="89" t="s">
        <v>128</v>
      </c>
    </row>
    <row r="69" spans="1:11">
      <c r="A69" s="93">
        <f>A68+1</f>
        <v>29</v>
      </c>
      <c r="B69" s="89" t="s">
        <v>89</v>
      </c>
      <c r="E69" s="98">
        <f>50781/1000</f>
        <v>51</v>
      </c>
      <c r="F69" s="100">
        <f t="shared" si="14"/>
        <v>12</v>
      </c>
      <c r="G69" s="98"/>
      <c r="H69" s="98">
        <f>62791/1000</f>
        <v>63</v>
      </c>
      <c r="K69" s="89" t="s">
        <v>127</v>
      </c>
    </row>
    <row r="70" spans="1:11">
      <c r="A70" s="93">
        <f>A69+1</f>
        <v>30</v>
      </c>
      <c r="B70" s="89" t="s">
        <v>99</v>
      </c>
      <c r="E70" s="116">
        <f>19990/1000</f>
        <v>20</v>
      </c>
      <c r="F70" s="117">
        <f t="shared" si="14"/>
        <v>5</v>
      </c>
      <c r="G70" s="98"/>
      <c r="H70" s="116">
        <f>25031/1000</f>
        <v>25</v>
      </c>
      <c r="K70" s="89" t="s">
        <v>124</v>
      </c>
    </row>
    <row r="71" spans="1:11">
      <c r="A71" s="93">
        <f>A70+1</f>
        <v>31</v>
      </c>
      <c r="B71" s="114" t="s">
        <v>85</v>
      </c>
      <c r="E71" s="98">
        <f>SUM(E68:E70)</f>
        <v>159</v>
      </c>
      <c r="F71" s="100">
        <f>SUM(F68:F70)</f>
        <v>18</v>
      </c>
      <c r="G71" s="98"/>
      <c r="H71" s="98">
        <f>SUM(H68:H70)</f>
        <v>177</v>
      </c>
    </row>
    <row r="72" spans="1:11">
      <c r="A72" s="93"/>
      <c r="E72" s="98"/>
      <c r="F72" s="100"/>
      <c r="G72" s="98"/>
      <c r="H72" s="98"/>
    </row>
    <row r="73" spans="1:11">
      <c r="A73" s="93"/>
      <c r="B73" s="102" t="s">
        <v>116</v>
      </c>
      <c r="E73" s="98"/>
      <c r="F73" s="100"/>
      <c r="G73" s="98"/>
      <c r="H73" s="98"/>
    </row>
    <row r="74" spans="1:11">
      <c r="A74" s="93">
        <f>A71+1</f>
        <v>32</v>
      </c>
      <c r="B74" s="89" t="s">
        <v>87</v>
      </c>
      <c r="E74" s="116">
        <f>1679676/1000</f>
        <v>1680</v>
      </c>
      <c r="F74" s="117">
        <f t="shared" ref="F74" si="15">H74-E74</f>
        <v>0</v>
      </c>
      <c r="G74" s="98"/>
      <c r="H74" s="116">
        <f>E74</f>
        <v>1680</v>
      </c>
    </row>
    <row r="75" spans="1:11">
      <c r="A75" s="93"/>
      <c r="B75" s="118" t="s">
        <v>120</v>
      </c>
      <c r="E75" s="98">
        <f>SUM(E74)</f>
        <v>1680</v>
      </c>
      <c r="F75" s="100">
        <f>SUM(F74)</f>
        <v>0</v>
      </c>
      <c r="G75" s="98"/>
      <c r="H75" s="98">
        <f>SUM(H74)</f>
        <v>1680</v>
      </c>
    </row>
    <row r="76" spans="1:11" ht="15.75" thickBot="1">
      <c r="A76" s="93"/>
      <c r="E76" s="98"/>
      <c r="F76" s="100"/>
      <c r="G76" s="98"/>
      <c r="H76" s="98"/>
    </row>
    <row r="77" spans="1:11" ht="15.75" thickBot="1">
      <c r="A77" s="93">
        <f>A74+1</f>
        <v>33</v>
      </c>
      <c r="B77" s="102" t="s">
        <v>86</v>
      </c>
      <c r="E77" s="126">
        <f>E46+E53+E57+E65+E71+E75</f>
        <v>18251</v>
      </c>
      <c r="F77" s="126">
        <f>F46+F53+F57+F65+F71+F75</f>
        <v>-2105</v>
      </c>
      <c r="H77" s="127">
        <f>H46+H53+H57+H65+H71+H75</f>
        <v>16146</v>
      </c>
      <c r="I77" s="128" t="s">
        <v>150</v>
      </c>
      <c r="J77" s="119"/>
      <c r="K77" s="120"/>
    </row>
    <row r="78" spans="1:11">
      <c r="B78" s="102"/>
      <c r="D78" s="124"/>
      <c r="E78" s="125"/>
      <c r="F78" s="98"/>
    </row>
    <row r="79" spans="1:11">
      <c r="A79" s="93">
        <f>+A77+1</f>
        <v>34</v>
      </c>
      <c r="B79" s="102" t="s">
        <v>148</v>
      </c>
      <c r="E79" s="129"/>
      <c r="F79" s="126">
        <f>+F26-F77</f>
        <v>1424</v>
      </c>
      <c r="H79" s="129"/>
    </row>
    <row r="80" spans="1:11" ht="12" customHeight="1">
      <c r="F80" s="89"/>
    </row>
    <row r="81" spans="1:11">
      <c r="B81" s="169" t="s">
        <v>151</v>
      </c>
      <c r="C81" s="169"/>
      <c r="D81" s="169"/>
      <c r="E81" s="169"/>
      <c r="F81" s="169"/>
      <c r="G81" s="169"/>
      <c r="H81" s="169"/>
      <c r="I81" s="169"/>
    </row>
    <row r="82" spans="1:11" ht="46.5" customHeight="1">
      <c r="A82" s="89"/>
      <c r="B82" s="169" t="s">
        <v>152</v>
      </c>
      <c r="C82" s="169"/>
      <c r="D82" s="169"/>
      <c r="E82" s="169"/>
      <c r="F82" s="169"/>
      <c r="G82" s="169"/>
      <c r="H82" s="169"/>
      <c r="I82" s="169"/>
      <c r="J82" s="130"/>
      <c r="K82" s="130"/>
    </row>
    <row r="83" spans="1:11" ht="8.25" customHeight="1">
      <c r="A83" s="89"/>
      <c r="B83" s="166"/>
      <c r="C83" s="166"/>
      <c r="D83" s="166"/>
      <c r="E83" s="166"/>
      <c r="F83" s="166"/>
      <c r="G83" s="166"/>
      <c r="H83" s="166"/>
      <c r="I83" s="166"/>
      <c r="J83" s="130"/>
      <c r="K83" s="130"/>
    </row>
    <row r="84" spans="1:11">
      <c r="A84" s="89"/>
      <c r="C84" s="167" t="s">
        <v>136</v>
      </c>
      <c r="D84" s="131"/>
      <c r="E84" s="111"/>
      <c r="F84" s="89"/>
      <c r="H84" s="132">
        <v>0.65639999999999998</v>
      </c>
    </row>
    <row r="85" spans="1:11">
      <c r="A85" s="89"/>
      <c r="C85" s="167"/>
      <c r="D85" s="133" t="s">
        <v>19</v>
      </c>
      <c r="F85" s="134" t="s">
        <v>137</v>
      </c>
      <c r="H85" s="134" t="s">
        <v>137</v>
      </c>
    </row>
    <row r="86" spans="1:11">
      <c r="B86" s="135" t="s">
        <v>138</v>
      </c>
      <c r="C86" s="136" t="s">
        <v>139</v>
      </c>
      <c r="D86" s="137" t="s">
        <v>139</v>
      </c>
      <c r="F86" s="136" t="s">
        <v>139</v>
      </c>
      <c r="H86" s="136" t="s">
        <v>140</v>
      </c>
    </row>
    <row r="87" spans="1:11">
      <c r="B87" s="138" t="s">
        <v>141</v>
      </c>
      <c r="C87" s="139">
        <v>15149</v>
      </c>
      <c r="D87" s="140">
        <f>D90-D89-D88</f>
        <v>15988</v>
      </c>
      <c r="F87" s="139">
        <f>D87-C87</f>
        <v>839</v>
      </c>
      <c r="H87" s="139">
        <f>F87*H84</f>
        <v>551</v>
      </c>
    </row>
    <row r="88" spans="1:11">
      <c r="B88" s="118" t="s">
        <v>142</v>
      </c>
      <c r="C88" s="111">
        <v>0</v>
      </c>
      <c r="D88" s="140">
        <v>107</v>
      </c>
      <c r="F88" s="139">
        <f>D88-C88</f>
        <v>107</v>
      </c>
      <c r="H88" s="139">
        <f>F88</f>
        <v>107</v>
      </c>
    </row>
    <row r="89" spans="1:11">
      <c r="B89" s="118" t="s">
        <v>143</v>
      </c>
      <c r="C89" s="111">
        <v>0</v>
      </c>
      <c r="D89" s="141">
        <v>51</v>
      </c>
      <c r="F89" s="139">
        <f>D89-C89</f>
        <v>51</v>
      </c>
      <c r="H89" s="139">
        <v>0</v>
      </c>
    </row>
    <row r="90" spans="1:11" ht="15.75" thickBot="1">
      <c r="B90" s="138" t="s">
        <v>144</v>
      </c>
      <c r="C90" s="142">
        <f>C87</f>
        <v>15149</v>
      </c>
      <c r="D90" s="143">
        <f>H77</f>
        <v>16146</v>
      </c>
      <c r="E90" s="128" t="s">
        <v>135</v>
      </c>
      <c r="F90" s="88"/>
      <c r="G90" s="139"/>
      <c r="I90" s="139"/>
    </row>
    <row r="91" spans="1:11" ht="15.75" thickBot="1">
      <c r="D91" s="118" t="s">
        <v>145</v>
      </c>
      <c r="F91" s="142">
        <f>SUM(F87:F89)</f>
        <v>997</v>
      </c>
      <c r="H91" s="144">
        <f>SUM(H87:H89)</f>
        <v>658</v>
      </c>
    </row>
    <row r="92" spans="1:11" ht="6.75" customHeight="1" thickBot="1">
      <c r="F92" s="88"/>
    </row>
    <row r="93" spans="1:11" ht="15.75" thickBot="1">
      <c r="D93" s="118" t="s">
        <v>146</v>
      </c>
      <c r="F93" s="142">
        <f>F26</f>
        <v>-681</v>
      </c>
      <c r="H93" s="144">
        <f>F27</f>
        <v>0</v>
      </c>
    </row>
    <row r="94" spans="1:11" ht="8.25" customHeight="1" thickBot="1">
      <c r="F94" s="145"/>
      <c r="H94" s="146"/>
    </row>
    <row r="95" spans="1:11" ht="15.75" thickBot="1">
      <c r="D95" s="118" t="s">
        <v>147</v>
      </c>
      <c r="F95" s="142">
        <f>-F91+F94</f>
        <v>-997</v>
      </c>
      <c r="H95" s="144">
        <f>-H91+H93</f>
        <v>-658</v>
      </c>
    </row>
  </sheetData>
  <mergeCells count="8">
    <mergeCell ref="B83:I83"/>
    <mergeCell ref="C84:C85"/>
    <mergeCell ref="A1:I1"/>
    <mergeCell ref="A2:I2"/>
    <mergeCell ref="A3:I3"/>
    <mergeCell ref="A4:I4"/>
    <mergeCell ref="B82:I82"/>
    <mergeCell ref="B81:I81"/>
  </mergeCells>
  <phoneticPr fontId="4" type="noConversion"/>
  <pageMargins left="0.38" right="0" top="0.5" bottom="0" header="0.5" footer="0.25"/>
  <pageSetup scale="77" fitToHeight="2" orientation="portrait" horizontalDpi="1200" verticalDpi="1200" r:id="rId1"/>
  <headerFooter alignWithMargins="0">
    <oddHeader>&amp;RExh. JAS-2</oddHeader>
    <oddFooter>&amp;RPage &amp;P of &amp;N</oddFooter>
  </headerFooter>
  <rowBreaks count="1" manualBreakCount="1">
    <brk id="5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1DB357-2458-47EF-A023-81076E9019F7}">
  <sheetPr>
    <tabColor theme="0" tint="-0.34998626667073579"/>
  </sheetPr>
  <dimension ref="A1:N42"/>
  <sheetViews>
    <sheetView workbookViewId="0"/>
  </sheetViews>
  <sheetFormatPr defaultRowHeight="15.75"/>
  <cols>
    <col min="1" max="1" width="34.7109375" style="28" customWidth="1"/>
    <col min="2" max="3" width="9.140625" style="28"/>
    <col min="4" max="4" width="13.7109375" style="31" customWidth="1"/>
    <col min="5" max="5" width="9.140625" style="28"/>
    <col min="6" max="6" width="34.7109375" style="28" customWidth="1"/>
    <col min="7" max="8" width="9.140625" style="28"/>
    <col min="9" max="9" width="13.7109375" style="31" customWidth="1"/>
    <col min="10" max="16384" width="9.140625" style="28"/>
  </cols>
  <sheetData>
    <row r="1" spans="1:14" ht="20.100000000000001" customHeight="1">
      <c r="A1" s="40" t="s">
        <v>49</v>
      </c>
      <c r="B1" s="41"/>
      <c r="C1" s="41"/>
      <c r="D1" s="42"/>
      <c r="F1" s="40" t="s">
        <v>69</v>
      </c>
      <c r="G1" s="41"/>
      <c r="H1" s="41"/>
      <c r="I1" s="42"/>
    </row>
    <row r="2" spans="1:14" ht="20.100000000000001" customHeight="1">
      <c r="A2" s="46"/>
      <c r="B2" s="47"/>
      <c r="C2" s="47"/>
      <c r="D2" s="48" t="s">
        <v>131</v>
      </c>
      <c r="F2" s="46"/>
      <c r="G2" s="47"/>
      <c r="H2" s="47"/>
      <c r="I2" s="48" t="s">
        <v>131</v>
      </c>
    </row>
    <row r="3" spans="1:14" ht="20.100000000000001" customHeight="1">
      <c r="A3" s="33" t="s">
        <v>129</v>
      </c>
      <c r="B3" s="34"/>
      <c r="C3" s="34"/>
      <c r="D3" s="35">
        <v>-62000</v>
      </c>
      <c r="E3" s="30"/>
      <c r="F3" s="33" t="s">
        <v>115</v>
      </c>
      <c r="G3" s="34"/>
      <c r="H3" s="34"/>
      <c r="I3" s="35">
        <v>-827000</v>
      </c>
      <c r="N3" s="29"/>
    </row>
    <row r="4" spans="1:14" ht="20.100000000000001" customHeight="1">
      <c r="A4" s="33" t="s">
        <v>45</v>
      </c>
      <c r="B4" s="34"/>
      <c r="C4" s="34"/>
      <c r="D4" s="36">
        <v>-157000</v>
      </c>
      <c r="E4" s="30"/>
      <c r="F4" s="33" t="s">
        <v>87</v>
      </c>
      <c r="G4" s="34"/>
      <c r="H4" s="34"/>
      <c r="I4" s="36">
        <v>0</v>
      </c>
      <c r="N4" s="29"/>
    </row>
    <row r="5" spans="1:14" ht="20.100000000000001" customHeight="1">
      <c r="A5" s="33" t="s">
        <v>112</v>
      </c>
      <c r="B5" s="34"/>
      <c r="C5" s="34"/>
      <c r="D5" s="36">
        <v>-25000</v>
      </c>
      <c r="E5" s="30"/>
      <c r="F5" s="33" t="s">
        <v>88</v>
      </c>
      <c r="G5" s="34"/>
      <c r="H5" s="34"/>
      <c r="I5" s="36">
        <v>0</v>
      </c>
      <c r="N5" s="29"/>
    </row>
    <row r="6" spans="1:14" ht="20.100000000000001" customHeight="1">
      <c r="A6" s="33" t="s">
        <v>102</v>
      </c>
      <c r="B6" s="34"/>
      <c r="C6" s="34"/>
      <c r="D6" s="36">
        <v>87000</v>
      </c>
      <c r="E6" s="30"/>
      <c r="F6" s="33" t="s">
        <v>89</v>
      </c>
      <c r="G6" s="34"/>
      <c r="H6" s="34"/>
      <c r="I6" s="36">
        <v>0</v>
      </c>
      <c r="N6" s="29"/>
    </row>
    <row r="7" spans="1:14" ht="20.100000000000001" customHeight="1">
      <c r="A7" s="33" t="s">
        <v>25</v>
      </c>
      <c r="B7" s="34"/>
      <c r="C7" s="34"/>
      <c r="D7" s="36">
        <v>21000</v>
      </c>
      <c r="E7" s="30"/>
      <c r="F7" s="33" t="s">
        <v>90</v>
      </c>
      <c r="G7" s="34"/>
      <c r="H7" s="34"/>
      <c r="I7" s="36">
        <v>0</v>
      </c>
    </row>
    <row r="8" spans="1:14" ht="20.100000000000001" customHeight="1">
      <c r="A8" s="33" t="s">
        <v>39</v>
      </c>
      <c r="B8" s="34"/>
      <c r="C8" s="34"/>
      <c r="D8" s="36">
        <v>-928000</v>
      </c>
      <c r="E8" s="30"/>
      <c r="F8" s="33" t="s">
        <v>99</v>
      </c>
      <c r="G8" s="34"/>
      <c r="H8" s="34"/>
      <c r="I8" s="36">
        <v>-11000</v>
      </c>
    </row>
    <row r="9" spans="1:14" ht="20.100000000000001" customHeight="1">
      <c r="A9" s="33" t="s">
        <v>77</v>
      </c>
      <c r="B9" s="34"/>
      <c r="C9" s="34"/>
      <c r="D9" s="36">
        <v>383000</v>
      </c>
      <c r="E9" s="30"/>
      <c r="F9" s="33" t="s">
        <v>91</v>
      </c>
      <c r="G9" s="34"/>
      <c r="H9" s="34"/>
      <c r="I9" s="36">
        <v>0</v>
      </c>
    </row>
    <row r="10" spans="1:14" ht="20.100000000000001" customHeight="1">
      <c r="A10" s="43" t="s">
        <v>130</v>
      </c>
      <c r="B10" s="44"/>
      <c r="C10" s="44"/>
      <c r="D10" s="45">
        <f>SUM(D3:D9)</f>
        <v>-681000</v>
      </c>
      <c r="F10" s="33" t="s">
        <v>92</v>
      </c>
      <c r="G10" s="34"/>
      <c r="H10" s="34"/>
      <c r="I10" s="36">
        <v>0</v>
      </c>
    </row>
    <row r="11" spans="1:14" ht="20.100000000000001" customHeight="1">
      <c r="A11" s="37" t="s">
        <v>132</v>
      </c>
      <c r="B11" s="38"/>
      <c r="C11" s="38"/>
      <c r="D11" s="39"/>
      <c r="F11" s="33" t="s">
        <v>93</v>
      </c>
      <c r="G11" s="34"/>
      <c r="H11" s="34"/>
      <c r="I11" s="36">
        <v>0</v>
      </c>
    </row>
    <row r="12" spans="1:14" ht="20.100000000000001" customHeight="1">
      <c r="F12" s="33" t="s">
        <v>94</v>
      </c>
      <c r="G12" s="34"/>
      <c r="H12" s="34"/>
      <c r="I12" s="36">
        <v>0</v>
      </c>
    </row>
    <row r="13" spans="1:14" ht="20.100000000000001" customHeight="1">
      <c r="F13" s="33" t="s">
        <v>121</v>
      </c>
      <c r="G13" s="34"/>
      <c r="H13" s="34"/>
      <c r="I13" s="36">
        <v>0</v>
      </c>
    </row>
    <row r="14" spans="1:14" ht="20.100000000000001" customHeight="1">
      <c r="F14" s="33" t="s">
        <v>95</v>
      </c>
      <c r="G14" s="34"/>
      <c r="H14" s="34"/>
      <c r="I14" s="36">
        <v>0</v>
      </c>
    </row>
    <row r="15" spans="1:14" ht="20.100000000000001" customHeight="1">
      <c r="F15" s="33" t="s">
        <v>96</v>
      </c>
      <c r="G15" s="34"/>
      <c r="H15" s="34"/>
      <c r="I15" s="36">
        <v>0</v>
      </c>
    </row>
    <row r="16" spans="1:14" ht="20.100000000000001" customHeight="1">
      <c r="F16" s="33" t="s">
        <v>97</v>
      </c>
      <c r="G16" s="34"/>
      <c r="H16" s="34"/>
      <c r="I16" s="36">
        <v>0</v>
      </c>
      <c r="N16" s="29"/>
    </row>
    <row r="17" spans="6:14" ht="9.9499999999999993" customHeight="1">
      <c r="F17" s="33"/>
      <c r="G17" s="34"/>
      <c r="H17" s="34"/>
      <c r="I17" s="36"/>
      <c r="N17" s="29"/>
    </row>
    <row r="18" spans="6:14" ht="20.100000000000001" customHeight="1">
      <c r="F18" s="33" t="s">
        <v>87</v>
      </c>
      <c r="G18" s="34"/>
      <c r="H18" s="34"/>
      <c r="I18" s="36">
        <v>0</v>
      </c>
      <c r="N18" s="29"/>
    </row>
    <row r="19" spans="6:14" ht="9.9499999999999993" customHeight="1">
      <c r="F19" s="33"/>
      <c r="G19" s="34"/>
      <c r="H19" s="34"/>
      <c r="I19" s="36"/>
      <c r="N19" s="29"/>
    </row>
    <row r="20" spans="6:14" ht="20.100000000000001" customHeight="1">
      <c r="F20" s="33" t="s">
        <v>56</v>
      </c>
      <c r="G20" s="34"/>
      <c r="H20" s="34"/>
      <c r="I20" s="36">
        <v>0</v>
      </c>
    </row>
    <row r="21" spans="6:14" ht="20.100000000000001" customHeight="1">
      <c r="F21" s="33" t="s">
        <v>119</v>
      </c>
      <c r="G21" s="34"/>
      <c r="H21" s="34"/>
      <c r="I21" s="36">
        <v>0</v>
      </c>
    </row>
    <row r="22" spans="6:14" ht="20.100000000000001" customHeight="1">
      <c r="F22" s="33" t="s">
        <v>122</v>
      </c>
      <c r="G22" s="34"/>
      <c r="H22" s="34"/>
      <c r="I22" s="36">
        <v>0</v>
      </c>
    </row>
    <row r="23" spans="6:14" ht="20.100000000000001" customHeight="1">
      <c r="F23" s="33" t="s">
        <v>118</v>
      </c>
      <c r="G23" s="34"/>
      <c r="H23" s="34"/>
      <c r="I23" s="36">
        <v>70000</v>
      </c>
      <c r="N23" s="29"/>
    </row>
    <row r="24" spans="6:14" ht="9.9499999999999993" customHeight="1">
      <c r="F24" s="33"/>
      <c r="G24" s="34"/>
      <c r="H24" s="34"/>
      <c r="I24" s="36"/>
      <c r="N24" s="29"/>
    </row>
    <row r="25" spans="6:14" ht="20.100000000000001" customHeight="1">
      <c r="F25" s="33" t="s">
        <v>98</v>
      </c>
      <c r="G25" s="34"/>
      <c r="H25" s="34"/>
      <c r="I25" s="36">
        <v>-1370000</v>
      </c>
      <c r="N25" s="29"/>
    </row>
    <row r="26" spans="6:14" ht="20.100000000000001" customHeight="1">
      <c r="F26" s="33" t="s">
        <v>88</v>
      </c>
      <c r="G26" s="34"/>
      <c r="H26" s="34"/>
      <c r="I26" s="36">
        <v>0</v>
      </c>
      <c r="N26" s="29"/>
    </row>
    <row r="27" spans="6:14" ht="20.100000000000001" customHeight="1">
      <c r="F27" s="33" t="s">
        <v>89</v>
      </c>
      <c r="G27" s="34"/>
      <c r="H27" s="34"/>
      <c r="I27" s="36">
        <v>0</v>
      </c>
    </row>
    <row r="28" spans="6:14" ht="20.100000000000001" customHeight="1">
      <c r="F28" s="33" t="s">
        <v>99</v>
      </c>
      <c r="G28" s="34"/>
      <c r="H28" s="34"/>
      <c r="I28" s="36">
        <v>0</v>
      </c>
    </row>
    <row r="29" spans="6:14" ht="20.100000000000001" customHeight="1">
      <c r="F29" s="51" t="s">
        <v>101</v>
      </c>
      <c r="G29" s="34"/>
      <c r="H29" s="34"/>
      <c r="I29" s="36">
        <v>0</v>
      </c>
    </row>
    <row r="30" spans="6:14" ht="9.9499999999999993" customHeight="1">
      <c r="F30" s="32"/>
      <c r="G30" s="34"/>
      <c r="H30" s="34"/>
      <c r="I30" s="36"/>
      <c r="N30" s="29"/>
    </row>
    <row r="31" spans="6:14" ht="20.100000000000001" customHeight="1">
      <c r="F31" s="33" t="s">
        <v>88</v>
      </c>
      <c r="G31" s="34"/>
      <c r="H31" s="34"/>
      <c r="I31" s="36">
        <v>1000</v>
      </c>
    </row>
    <row r="32" spans="6:14" ht="20.100000000000001" customHeight="1">
      <c r="F32" s="33" t="s">
        <v>89</v>
      </c>
      <c r="G32" s="34"/>
      <c r="H32" s="34"/>
      <c r="I32" s="36">
        <v>12000</v>
      </c>
    </row>
    <row r="33" spans="6:14" ht="20.100000000000001" customHeight="1">
      <c r="F33" s="33" t="s">
        <v>99</v>
      </c>
      <c r="G33" s="34"/>
      <c r="H33" s="34"/>
      <c r="I33" s="36">
        <v>5000</v>
      </c>
    </row>
    <row r="34" spans="6:14" ht="9.9499999999999993" customHeight="1">
      <c r="F34" s="32"/>
      <c r="G34" s="34"/>
      <c r="H34" s="34"/>
      <c r="I34" s="36"/>
      <c r="N34" s="29"/>
    </row>
    <row r="35" spans="6:14" ht="20.100000000000001" customHeight="1">
      <c r="F35" s="52" t="s">
        <v>87</v>
      </c>
      <c r="G35" s="49"/>
      <c r="H35" s="49"/>
      <c r="I35" s="50">
        <v>0</v>
      </c>
      <c r="N35" s="29"/>
    </row>
    <row r="36" spans="6:14" ht="20.100000000000001" customHeight="1">
      <c r="F36" s="43"/>
      <c r="G36" s="44"/>
      <c r="H36" s="44"/>
      <c r="I36" s="45">
        <f>SUM(I3:I35)</f>
        <v>-2120000</v>
      </c>
      <c r="N36" s="29"/>
    </row>
    <row r="37" spans="6:14" ht="20.100000000000001" customHeight="1">
      <c r="F37" s="37" t="s">
        <v>133</v>
      </c>
      <c r="G37" s="38"/>
      <c r="H37" s="38"/>
      <c r="I37" s="39"/>
      <c r="N37" s="29"/>
    </row>
    <row r="38" spans="6:14" ht="20.100000000000001" customHeight="1"/>
    <row r="39" spans="6:14" ht="20.100000000000001" customHeight="1"/>
    <row r="40" spans="6:14" ht="20.100000000000001" customHeight="1"/>
    <row r="41" spans="6:14" ht="20.100000000000001" customHeight="1"/>
    <row r="42" spans="6:14" ht="20.100000000000001" customHeight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  <pageSetUpPr fitToPage="1"/>
  </sheetPr>
  <dimension ref="A1:G89"/>
  <sheetViews>
    <sheetView workbookViewId="0">
      <selection activeCell="M52" sqref="M52"/>
    </sheetView>
  </sheetViews>
  <sheetFormatPr defaultColWidth="11.42578125" defaultRowHeight="15"/>
  <cols>
    <col min="1" max="1" width="12.28515625" style="153" customWidth="1"/>
    <col min="2" max="2" width="48.140625" style="153" bestFit="1" customWidth="1"/>
    <col min="3" max="3" width="11" style="148" customWidth="1"/>
    <col min="4" max="4" width="9" style="148" customWidth="1"/>
    <col min="5" max="6" width="11.42578125" style="148" customWidth="1"/>
    <col min="7" max="7" width="10.7109375" style="163" customWidth="1"/>
    <col min="8" max="8" width="11.42578125" style="148" customWidth="1"/>
    <col min="9" max="9" width="35.42578125" style="148" customWidth="1"/>
    <col min="10" max="16384" width="11.42578125" style="148"/>
  </cols>
  <sheetData>
    <row r="1" spans="1:7">
      <c r="A1" s="170" t="s">
        <v>13</v>
      </c>
      <c r="B1" s="170"/>
      <c r="G1" s="148"/>
    </row>
    <row r="2" spans="1:7">
      <c r="A2" s="170" t="s">
        <v>0</v>
      </c>
      <c r="B2" s="170"/>
      <c r="G2" s="148"/>
    </row>
    <row r="3" spans="1:7">
      <c r="A3" s="170" t="s">
        <v>22</v>
      </c>
      <c r="B3" s="170"/>
      <c r="G3" s="148"/>
    </row>
    <row r="4" spans="1:7" ht="12" customHeight="1">
      <c r="A4" s="149"/>
      <c r="B4" s="150"/>
      <c r="F4" s="151"/>
      <c r="G4" s="151"/>
    </row>
    <row r="5" spans="1:7">
      <c r="A5" s="170" t="s">
        <v>14</v>
      </c>
      <c r="B5" s="170"/>
      <c r="E5" s="152"/>
      <c r="F5" s="152"/>
      <c r="G5" s="152"/>
    </row>
    <row r="6" spans="1:7">
      <c r="A6" s="151"/>
      <c r="E6" s="152"/>
      <c r="F6" s="152"/>
      <c r="G6" s="152"/>
    </row>
    <row r="7" spans="1:7">
      <c r="A7" s="154" t="s">
        <v>15</v>
      </c>
      <c r="E7" s="152"/>
      <c r="F7" s="152"/>
      <c r="G7" s="152"/>
    </row>
    <row r="8" spans="1:7">
      <c r="A8" s="155"/>
      <c r="E8" s="152"/>
      <c r="F8" s="152"/>
      <c r="G8" s="156"/>
    </row>
    <row r="9" spans="1:7">
      <c r="A9" s="151" t="s">
        <v>155</v>
      </c>
      <c r="B9" s="153" t="s">
        <v>21</v>
      </c>
      <c r="E9" s="156"/>
      <c r="F9" s="157"/>
      <c r="G9" s="156"/>
    </row>
    <row r="10" spans="1:7">
      <c r="A10" s="151"/>
      <c r="E10" s="156"/>
      <c r="F10" s="156"/>
      <c r="G10" s="156"/>
    </row>
    <row r="11" spans="1:7">
      <c r="A11" s="151"/>
      <c r="E11" s="156"/>
      <c r="F11" s="156"/>
      <c r="G11" s="156"/>
    </row>
    <row r="12" spans="1:7" ht="12.95" customHeight="1">
      <c r="A12" s="158" t="s">
        <v>16</v>
      </c>
      <c r="E12" s="156"/>
      <c r="F12" s="156"/>
      <c r="G12" s="156"/>
    </row>
    <row r="13" spans="1:7" ht="12.95" customHeight="1">
      <c r="A13" s="148"/>
      <c r="B13" s="159"/>
      <c r="E13" s="156"/>
      <c r="F13" s="156"/>
      <c r="G13" s="156"/>
    </row>
    <row r="14" spans="1:7">
      <c r="A14" s="93">
        <v>1</v>
      </c>
      <c r="B14" s="110" t="s">
        <v>44</v>
      </c>
      <c r="E14" s="156"/>
      <c r="F14" s="156"/>
      <c r="G14" s="156"/>
    </row>
    <row r="15" spans="1:7">
      <c r="A15" s="93">
        <f>+A14+1</f>
        <v>2</v>
      </c>
      <c r="B15" s="110" t="s">
        <v>45</v>
      </c>
      <c r="E15" s="156"/>
      <c r="F15" s="156"/>
      <c r="G15" s="156"/>
    </row>
    <row r="16" spans="1:7">
      <c r="A16" s="93">
        <f t="shared" ref="A16:A17" si="0">+A15+1</f>
        <v>3</v>
      </c>
      <c r="B16" s="110" t="s">
        <v>112</v>
      </c>
      <c r="E16" s="156"/>
      <c r="F16" s="156"/>
      <c r="G16" s="156"/>
    </row>
    <row r="17" spans="1:7">
      <c r="A17" s="93">
        <f t="shared" si="0"/>
        <v>4</v>
      </c>
      <c r="B17" s="110" t="s">
        <v>102</v>
      </c>
      <c r="E17" s="156"/>
      <c r="F17" s="156"/>
      <c r="G17" s="156"/>
    </row>
    <row r="18" spans="1:7">
      <c r="A18" s="151">
        <v>5</v>
      </c>
      <c r="B18" s="114" t="s">
        <v>33</v>
      </c>
      <c r="E18" s="156"/>
      <c r="F18" s="156"/>
      <c r="G18" s="156"/>
    </row>
    <row r="19" spans="1:7">
      <c r="A19" s="151"/>
      <c r="E19" s="156"/>
      <c r="F19" s="156"/>
      <c r="G19" s="156"/>
    </row>
    <row r="20" spans="1:7" ht="12" customHeight="1">
      <c r="A20" s="158" t="s">
        <v>17</v>
      </c>
      <c r="B20" s="160"/>
      <c r="E20" s="156"/>
      <c r="F20" s="156"/>
      <c r="G20" s="156"/>
    </row>
    <row r="21" spans="1:7">
      <c r="A21" s="151"/>
      <c r="E21" s="156"/>
      <c r="F21" s="157"/>
      <c r="G21" s="156"/>
    </row>
    <row r="22" spans="1:7">
      <c r="A22" s="93">
        <f>A18+1</f>
        <v>6</v>
      </c>
      <c r="B22" s="110" t="s">
        <v>25</v>
      </c>
      <c r="E22" s="156"/>
      <c r="F22" s="157"/>
      <c r="G22" s="156"/>
    </row>
    <row r="23" spans="1:7">
      <c r="A23" s="93">
        <f>+A22+1</f>
        <v>7</v>
      </c>
      <c r="B23" s="110" t="s">
        <v>39</v>
      </c>
      <c r="E23" s="161"/>
      <c r="F23" s="156"/>
      <c r="G23" s="156"/>
    </row>
    <row r="24" spans="1:7">
      <c r="A24" s="93">
        <f t="shared" ref="A24:A25" si="1">+A23+1</f>
        <v>8</v>
      </c>
      <c r="B24" s="110" t="s">
        <v>77</v>
      </c>
      <c r="E24" s="161"/>
      <c r="F24" s="156"/>
      <c r="G24" s="156"/>
    </row>
    <row r="25" spans="1:7">
      <c r="A25" s="93">
        <f t="shared" si="1"/>
        <v>9</v>
      </c>
      <c r="B25" s="114" t="s">
        <v>37</v>
      </c>
      <c r="E25" s="161"/>
      <c r="F25" s="156"/>
      <c r="G25" s="156"/>
    </row>
    <row r="26" spans="1:7">
      <c r="A26" s="151"/>
      <c r="E26" s="161"/>
      <c r="F26" s="156"/>
      <c r="G26" s="156"/>
    </row>
    <row r="27" spans="1:7">
      <c r="A27" s="151"/>
      <c r="E27" s="161"/>
      <c r="F27" s="156"/>
      <c r="G27" s="156"/>
    </row>
    <row r="28" spans="1:7">
      <c r="A28" s="158" t="s">
        <v>18</v>
      </c>
      <c r="E28" s="161"/>
      <c r="F28" s="156"/>
      <c r="G28" s="156"/>
    </row>
    <row r="29" spans="1:7">
      <c r="A29" s="151"/>
      <c r="E29" s="161"/>
      <c r="F29" s="156"/>
      <c r="G29" s="156"/>
    </row>
    <row r="30" spans="1:7">
      <c r="A30" s="93">
        <v>1</v>
      </c>
      <c r="B30" s="110" t="s">
        <v>115</v>
      </c>
      <c r="E30" s="161"/>
      <c r="F30" s="156"/>
      <c r="G30" s="156"/>
    </row>
    <row r="31" spans="1:7">
      <c r="A31" s="93">
        <f>A30+1</f>
        <v>2</v>
      </c>
      <c r="B31" s="110" t="s">
        <v>87</v>
      </c>
      <c r="E31" s="161"/>
      <c r="F31" s="156"/>
      <c r="G31" s="156"/>
    </row>
    <row r="32" spans="1:7">
      <c r="A32" s="93">
        <f>A31+1</f>
        <v>3</v>
      </c>
      <c r="B32" s="110" t="s">
        <v>88</v>
      </c>
      <c r="E32" s="161"/>
      <c r="F32" s="156"/>
      <c r="G32" s="156"/>
    </row>
    <row r="33" spans="1:7">
      <c r="A33" s="93">
        <f t="shared" ref="A33:A57" si="2">A32+1</f>
        <v>4</v>
      </c>
      <c r="B33" s="110" t="s">
        <v>89</v>
      </c>
      <c r="E33" s="161"/>
      <c r="F33" s="156"/>
      <c r="G33" s="156"/>
    </row>
    <row r="34" spans="1:7">
      <c r="A34" s="93">
        <f t="shared" si="2"/>
        <v>5</v>
      </c>
      <c r="B34" s="110" t="s">
        <v>90</v>
      </c>
      <c r="E34" s="161"/>
      <c r="F34" s="156"/>
      <c r="G34" s="156"/>
    </row>
    <row r="35" spans="1:7">
      <c r="A35" s="93">
        <f t="shared" si="2"/>
        <v>6</v>
      </c>
      <c r="B35" s="110" t="s">
        <v>99</v>
      </c>
      <c r="E35" s="161"/>
      <c r="F35" s="156"/>
      <c r="G35" s="156"/>
    </row>
    <row r="36" spans="1:7">
      <c r="A36" s="93">
        <f t="shared" si="2"/>
        <v>7</v>
      </c>
      <c r="B36" s="110" t="s">
        <v>91</v>
      </c>
      <c r="E36" s="161"/>
      <c r="F36" s="156"/>
      <c r="G36" s="156"/>
    </row>
    <row r="37" spans="1:7">
      <c r="A37" s="93">
        <f t="shared" si="2"/>
        <v>8</v>
      </c>
      <c r="B37" s="110" t="s">
        <v>92</v>
      </c>
      <c r="E37" s="161"/>
      <c r="F37" s="156"/>
      <c r="G37" s="156"/>
    </row>
    <row r="38" spans="1:7">
      <c r="A38" s="93">
        <f t="shared" si="2"/>
        <v>9</v>
      </c>
      <c r="B38" s="110" t="s">
        <v>93</v>
      </c>
      <c r="E38" s="161"/>
      <c r="F38" s="156"/>
      <c r="G38" s="156"/>
    </row>
    <row r="39" spans="1:7">
      <c r="A39" s="93">
        <f t="shared" si="2"/>
        <v>10</v>
      </c>
      <c r="B39" s="110" t="s">
        <v>94</v>
      </c>
      <c r="E39" s="161"/>
      <c r="F39" s="156"/>
      <c r="G39" s="156"/>
    </row>
    <row r="40" spans="1:7">
      <c r="A40" s="93">
        <f t="shared" si="2"/>
        <v>11</v>
      </c>
      <c r="B40" s="110" t="s">
        <v>121</v>
      </c>
      <c r="E40" s="161"/>
      <c r="F40" s="156"/>
      <c r="G40" s="156"/>
    </row>
    <row r="41" spans="1:7">
      <c r="A41" s="93">
        <f t="shared" si="2"/>
        <v>12</v>
      </c>
      <c r="B41" s="110" t="s">
        <v>95</v>
      </c>
      <c r="E41" s="161"/>
      <c r="F41" s="156"/>
      <c r="G41" s="156"/>
    </row>
    <row r="42" spans="1:7">
      <c r="A42" s="93">
        <f t="shared" si="2"/>
        <v>13</v>
      </c>
      <c r="B42" s="110" t="s">
        <v>96</v>
      </c>
      <c r="E42" s="161"/>
      <c r="F42" s="156"/>
      <c r="G42" s="156"/>
    </row>
    <row r="43" spans="1:7">
      <c r="A43" s="93">
        <f t="shared" si="2"/>
        <v>14</v>
      </c>
      <c r="B43" s="110" t="s">
        <v>97</v>
      </c>
      <c r="E43" s="161"/>
      <c r="F43" s="156"/>
      <c r="G43" s="156"/>
    </row>
    <row r="44" spans="1:7">
      <c r="A44" s="93">
        <f t="shared" si="2"/>
        <v>15</v>
      </c>
      <c r="B44" s="110" t="s">
        <v>56</v>
      </c>
      <c r="E44" s="161"/>
      <c r="F44" s="156"/>
      <c r="G44" s="156"/>
    </row>
    <row r="45" spans="1:7">
      <c r="A45" s="93">
        <f t="shared" si="2"/>
        <v>16</v>
      </c>
      <c r="B45" s="110" t="s">
        <v>119</v>
      </c>
      <c r="E45" s="161"/>
      <c r="F45" s="156"/>
      <c r="G45" s="156"/>
    </row>
    <row r="46" spans="1:7">
      <c r="A46" s="93">
        <f t="shared" si="2"/>
        <v>17</v>
      </c>
      <c r="B46" s="110" t="s">
        <v>122</v>
      </c>
      <c r="E46" s="161"/>
      <c r="F46" s="156"/>
      <c r="G46" s="156"/>
    </row>
    <row r="47" spans="1:7">
      <c r="A47" s="93">
        <f t="shared" si="2"/>
        <v>18</v>
      </c>
      <c r="B47" s="110" t="s">
        <v>118</v>
      </c>
      <c r="E47" s="161"/>
      <c r="F47" s="156"/>
      <c r="G47" s="156"/>
    </row>
    <row r="48" spans="1:7">
      <c r="A48" s="93">
        <f t="shared" si="2"/>
        <v>19</v>
      </c>
      <c r="B48" s="110" t="s">
        <v>87</v>
      </c>
      <c r="E48" s="161"/>
      <c r="F48" s="156"/>
      <c r="G48" s="156"/>
    </row>
    <row r="49" spans="1:7">
      <c r="A49" s="93">
        <f t="shared" si="2"/>
        <v>20</v>
      </c>
      <c r="B49" s="110" t="s">
        <v>98</v>
      </c>
      <c r="E49" s="161"/>
      <c r="F49" s="156"/>
      <c r="G49" s="156"/>
    </row>
    <row r="50" spans="1:7">
      <c r="A50" s="93">
        <f t="shared" si="2"/>
        <v>21</v>
      </c>
      <c r="B50" s="110" t="s">
        <v>88</v>
      </c>
      <c r="E50" s="161"/>
      <c r="F50" s="156"/>
      <c r="G50" s="156"/>
    </row>
    <row r="51" spans="1:7">
      <c r="A51" s="93">
        <f t="shared" si="2"/>
        <v>22</v>
      </c>
      <c r="B51" s="110" t="s">
        <v>89</v>
      </c>
      <c r="E51" s="161"/>
      <c r="F51" s="156"/>
      <c r="G51" s="156"/>
    </row>
    <row r="52" spans="1:7">
      <c r="A52" s="93">
        <f t="shared" si="2"/>
        <v>23</v>
      </c>
      <c r="B52" s="110" t="s">
        <v>99</v>
      </c>
      <c r="E52" s="161"/>
      <c r="F52" s="156"/>
      <c r="G52" s="156"/>
    </row>
    <row r="53" spans="1:7">
      <c r="A53" s="93">
        <f t="shared" si="2"/>
        <v>24</v>
      </c>
      <c r="B53" s="110" t="s">
        <v>101</v>
      </c>
      <c r="E53" s="161"/>
      <c r="F53" s="156"/>
      <c r="G53" s="156"/>
    </row>
    <row r="54" spans="1:7">
      <c r="A54" s="93">
        <f t="shared" si="2"/>
        <v>25</v>
      </c>
      <c r="B54" s="89" t="s">
        <v>88</v>
      </c>
      <c r="E54" s="161"/>
      <c r="F54" s="156"/>
      <c r="G54" s="156"/>
    </row>
    <row r="55" spans="1:7">
      <c r="A55" s="93">
        <f t="shared" si="2"/>
        <v>26</v>
      </c>
      <c r="B55" s="89" t="s">
        <v>89</v>
      </c>
      <c r="E55" s="161"/>
      <c r="F55" s="156"/>
      <c r="G55" s="156"/>
    </row>
    <row r="56" spans="1:7">
      <c r="A56" s="93">
        <f t="shared" si="2"/>
        <v>27</v>
      </c>
      <c r="B56" s="89" t="s">
        <v>99</v>
      </c>
      <c r="E56" s="161"/>
      <c r="F56" s="156"/>
      <c r="G56" s="156"/>
    </row>
    <row r="57" spans="1:7">
      <c r="A57" s="93">
        <f t="shared" si="2"/>
        <v>28</v>
      </c>
      <c r="B57" s="89" t="s">
        <v>87</v>
      </c>
      <c r="E57" s="161"/>
      <c r="F57" s="156"/>
      <c r="G57" s="156"/>
    </row>
    <row r="58" spans="1:7">
      <c r="E58" s="161"/>
      <c r="F58" s="156"/>
      <c r="G58" s="156"/>
    </row>
    <row r="59" spans="1:7">
      <c r="E59" s="161"/>
      <c r="F59" s="156"/>
      <c r="G59" s="156"/>
    </row>
    <row r="60" spans="1:7">
      <c r="E60" s="161"/>
      <c r="F60" s="156"/>
      <c r="G60" s="156"/>
    </row>
    <row r="61" spans="1:7">
      <c r="E61" s="161"/>
      <c r="F61" s="156"/>
      <c r="G61" s="156"/>
    </row>
    <row r="62" spans="1:7">
      <c r="E62" s="161"/>
      <c r="F62" s="156"/>
      <c r="G62" s="156"/>
    </row>
    <row r="63" spans="1:7">
      <c r="E63" s="161"/>
      <c r="F63" s="156"/>
      <c r="G63" s="156"/>
    </row>
    <row r="64" spans="1:7">
      <c r="E64" s="161"/>
      <c r="F64" s="156"/>
      <c r="G64" s="156"/>
    </row>
    <row r="65" spans="1:7">
      <c r="E65" s="161"/>
      <c r="F65" s="156"/>
      <c r="G65" s="156"/>
    </row>
    <row r="66" spans="1:7">
      <c r="E66" s="161"/>
      <c r="F66" s="156"/>
      <c r="G66" s="156"/>
    </row>
    <row r="67" spans="1:7">
      <c r="E67" s="161"/>
      <c r="F67" s="156"/>
      <c r="G67" s="156"/>
    </row>
    <row r="68" spans="1:7">
      <c r="E68" s="161"/>
      <c r="F68" s="156"/>
      <c r="G68" s="156"/>
    </row>
    <row r="69" spans="1:7">
      <c r="E69" s="161"/>
      <c r="F69" s="156"/>
      <c r="G69" s="156"/>
    </row>
    <row r="70" spans="1:7">
      <c r="E70" s="161"/>
      <c r="F70" s="156"/>
      <c r="G70" s="156"/>
    </row>
    <row r="71" spans="1:7">
      <c r="E71" s="161"/>
      <c r="F71" s="156"/>
      <c r="G71" s="156"/>
    </row>
    <row r="72" spans="1:7">
      <c r="E72" s="161"/>
      <c r="F72" s="98"/>
      <c r="G72" s="156"/>
    </row>
    <row r="73" spans="1:7">
      <c r="E73" s="161"/>
      <c r="F73" s="156"/>
      <c r="G73" s="156"/>
    </row>
    <row r="74" spans="1:7">
      <c r="E74" s="161"/>
      <c r="F74" s="98"/>
      <c r="G74" s="156"/>
    </row>
    <row r="75" spans="1:7">
      <c r="E75" s="161"/>
      <c r="F75" s="156"/>
      <c r="G75" s="156"/>
    </row>
    <row r="76" spans="1:7">
      <c r="E76" s="161"/>
      <c r="F76" s="156"/>
      <c r="G76" s="156"/>
    </row>
    <row r="77" spans="1:7">
      <c r="E77" s="156"/>
      <c r="F77" s="156"/>
      <c r="G77" s="156"/>
    </row>
    <row r="78" spans="1:7">
      <c r="E78" s="156"/>
      <c r="F78" s="156"/>
      <c r="G78" s="156"/>
    </row>
    <row r="79" spans="1:7">
      <c r="E79" s="156"/>
      <c r="F79" s="156"/>
      <c r="G79" s="156"/>
    </row>
    <row r="80" spans="1:7">
      <c r="A80" s="151"/>
      <c r="E80" s="156"/>
      <c r="F80" s="156"/>
      <c r="G80" s="156"/>
    </row>
    <row r="81" spans="1:7" ht="12.95" customHeight="1">
      <c r="A81" s="151"/>
      <c r="E81" s="156"/>
      <c r="F81" s="156"/>
      <c r="G81" s="156"/>
    </row>
    <row r="82" spans="1:7">
      <c r="A82" s="151"/>
      <c r="E82" s="156"/>
      <c r="F82" s="156"/>
      <c r="G82" s="156"/>
    </row>
    <row r="83" spans="1:7">
      <c r="A83" s="151"/>
      <c r="E83" s="156"/>
      <c r="F83" s="157"/>
      <c r="G83" s="156"/>
    </row>
    <row r="84" spans="1:7">
      <c r="G84" s="148"/>
    </row>
    <row r="85" spans="1:7">
      <c r="G85" s="148"/>
    </row>
    <row r="86" spans="1:7">
      <c r="C86" s="162" t="s">
        <v>5</v>
      </c>
      <c r="D86" s="162"/>
      <c r="G86" s="148"/>
    </row>
    <row r="87" spans="1:7">
      <c r="C87" s="148" t="s">
        <v>5</v>
      </c>
      <c r="G87" s="148"/>
    </row>
    <row r="88" spans="1:7">
      <c r="C88" s="148" t="s">
        <v>5</v>
      </c>
      <c r="G88" s="148"/>
    </row>
    <row r="89" spans="1:7">
      <c r="G89" s="148"/>
    </row>
  </sheetData>
  <mergeCells count="4">
    <mergeCell ref="A1:B1"/>
    <mergeCell ref="A2:B2"/>
    <mergeCell ref="A3:B3"/>
    <mergeCell ref="A5:B5"/>
  </mergeCells>
  <phoneticPr fontId="0" type="noConversion"/>
  <pageMargins left="1.1599999999999999" right="0" top="1" bottom="0" header="0.5" footer="0.5"/>
  <pageSetup scale="57" orientation="portrait" horizontalDpi="1200" verticalDpi="1200" r:id="rId1"/>
  <headerFooter alignWithMargins="0">
    <oddFooter>&amp;LPro Forma 2/11: &amp;F  &amp;A&amp;R&amp;D  SC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A1:C22"/>
  <sheetViews>
    <sheetView workbookViewId="0">
      <selection sqref="A1:C1"/>
    </sheetView>
  </sheetViews>
  <sheetFormatPr defaultRowHeight="12.75"/>
  <cols>
    <col min="1" max="1" width="36.7109375" bestFit="1" customWidth="1"/>
    <col min="2" max="2" width="17.28515625" customWidth="1"/>
    <col min="3" max="3" width="19.140625" customWidth="1"/>
  </cols>
  <sheetData>
    <row r="1" spans="1:3" ht="18">
      <c r="A1" s="171" t="s">
        <v>48</v>
      </c>
      <c r="B1" s="172"/>
      <c r="C1" s="173"/>
    </row>
    <row r="2" spans="1:3" ht="13.5" thickBot="1">
      <c r="A2" s="174" t="s">
        <v>49</v>
      </c>
      <c r="B2" s="175"/>
      <c r="C2" s="176"/>
    </row>
    <row r="3" spans="1:3">
      <c r="A3" s="2"/>
      <c r="B3" s="3"/>
      <c r="C3" s="4"/>
    </row>
    <row r="4" spans="1:3" s="1" customFormat="1">
      <c r="A4" s="5"/>
      <c r="B4" s="6" t="s">
        <v>50</v>
      </c>
      <c r="C4" s="7"/>
    </row>
    <row r="5" spans="1:3" ht="13.5" thickBot="1">
      <c r="A5" s="8"/>
      <c r="B5" s="9" t="s">
        <v>53</v>
      </c>
      <c r="C5" s="10"/>
    </row>
    <row r="6" spans="1:3">
      <c r="A6" s="2"/>
      <c r="B6" s="3"/>
      <c r="C6" s="4"/>
    </row>
    <row r="7" spans="1:3" ht="18" customHeight="1">
      <c r="A7" s="17" t="s">
        <v>30</v>
      </c>
      <c r="B7" s="11" t="e">
        <f>VLOOKUP(A7,#REF!,6,0)*1000</f>
        <v>#REF!</v>
      </c>
      <c r="C7" s="12">
        <v>0</v>
      </c>
    </row>
    <row r="8" spans="1:3" ht="18.75" customHeight="1">
      <c r="A8" s="18" t="s">
        <v>32</v>
      </c>
      <c r="B8" s="11" t="e">
        <f>VLOOKUP(A8,#REF!,6,0)*1000</f>
        <v>#REF!</v>
      </c>
      <c r="C8" s="12">
        <v>0</v>
      </c>
    </row>
    <row r="9" spans="1:3" ht="20.25" customHeight="1">
      <c r="A9" s="18" t="s">
        <v>44</v>
      </c>
      <c r="B9" s="11" t="e">
        <f>VLOOKUP(A9,#REF!,6,0)*1000</f>
        <v>#REF!</v>
      </c>
      <c r="C9" s="12">
        <v>0</v>
      </c>
    </row>
    <row r="10" spans="1:3" ht="20.25" customHeight="1">
      <c r="A10" s="18" t="s">
        <v>45</v>
      </c>
      <c r="B10" s="11" t="e">
        <f>VLOOKUP(A10,#REF!,6,0)*1000</f>
        <v>#REF!</v>
      </c>
      <c r="C10" s="12">
        <v>0</v>
      </c>
    </row>
    <row r="11" spans="1:3" ht="20.25" customHeight="1">
      <c r="A11" s="18" t="s">
        <v>43</v>
      </c>
      <c r="B11" s="11" t="e">
        <f>VLOOKUP(A11,#REF!,6,0)*1000</f>
        <v>#REF!</v>
      </c>
      <c r="C11" s="12">
        <v>0</v>
      </c>
    </row>
    <row r="12" spans="1:3" ht="20.25" customHeight="1">
      <c r="A12" s="18" t="s">
        <v>25</v>
      </c>
      <c r="B12" s="11" t="e">
        <f>VLOOKUP(A12,#REF!,6,0)*1000</f>
        <v>#REF!</v>
      </c>
      <c r="C12" s="12">
        <v>0</v>
      </c>
    </row>
    <row r="13" spans="1:3" ht="20.25" customHeight="1">
      <c r="A13" s="18" t="s">
        <v>38</v>
      </c>
      <c r="B13" s="11" t="e">
        <f>VLOOKUP(A13,#REF!,6,0)*1000</f>
        <v>#REF!</v>
      </c>
      <c r="C13" s="12">
        <v>0</v>
      </c>
    </row>
    <row r="14" spans="1:3" ht="20.25" customHeight="1">
      <c r="A14" s="18" t="s">
        <v>39</v>
      </c>
      <c r="B14" s="11" t="e">
        <f>VLOOKUP(A14,#REF!,6,0)*1000</f>
        <v>#REF!</v>
      </c>
      <c r="C14" s="12">
        <v>0</v>
      </c>
    </row>
    <row r="15" spans="1:3" ht="20.25" customHeight="1">
      <c r="A15" s="18" t="s">
        <v>40</v>
      </c>
      <c r="B15" s="11" t="e">
        <f>VLOOKUP(A15,#REF!,6,0)*1000</f>
        <v>#REF!</v>
      </c>
      <c r="C15" s="12">
        <v>0</v>
      </c>
    </row>
    <row r="16" spans="1:3" ht="17.25" customHeight="1">
      <c r="A16" s="18" t="s">
        <v>35</v>
      </c>
      <c r="B16" s="11" t="e">
        <f>VLOOKUP(A16,#REF!,6,0)*1000</f>
        <v>#REF!</v>
      </c>
      <c r="C16" s="12">
        <v>0</v>
      </c>
    </row>
    <row r="17" spans="1:3" ht="17.25" customHeight="1">
      <c r="A17" s="18" t="s">
        <v>77</v>
      </c>
      <c r="B17" s="11" t="e">
        <f>VLOOKUP(A17,#REF!,6,0)*1000</f>
        <v>#REF!</v>
      </c>
      <c r="C17" s="12">
        <v>0</v>
      </c>
    </row>
    <row r="18" spans="1:3" ht="17.25" customHeight="1">
      <c r="A18" s="18" t="s">
        <v>41</v>
      </c>
      <c r="B18" s="11" t="e">
        <f>VLOOKUP(A18,#REF!,6,0)*1000</f>
        <v>#REF!</v>
      </c>
      <c r="C18" s="12">
        <v>1</v>
      </c>
    </row>
    <row r="19" spans="1:3" ht="17.25" customHeight="1">
      <c r="A19" s="18" t="s">
        <v>42</v>
      </c>
      <c r="B19" s="11" t="e">
        <f>VLOOKUP(A19,#REF!,6,0)*1000</f>
        <v>#REF!</v>
      </c>
      <c r="C19" s="12">
        <v>2</v>
      </c>
    </row>
    <row r="20" spans="1:3" ht="18.75" customHeight="1" thickBot="1">
      <c r="A20" s="19" t="s">
        <v>52</v>
      </c>
      <c r="B20" s="20" t="e">
        <f>SUM(B7:B19)</f>
        <v>#REF!</v>
      </c>
      <c r="C20" s="21">
        <f>SUM(C7:C16)</f>
        <v>0</v>
      </c>
    </row>
    <row r="21" spans="1:3">
      <c r="A21" s="13" t="s">
        <v>78</v>
      </c>
      <c r="B21" s="3"/>
      <c r="C21" s="4"/>
    </row>
    <row r="22" spans="1:3" ht="13.5" thickBot="1">
      <c r="A22" s="14" t="s">
        <v>68</v>
      </c>
      <c r="B22" s="15"/>
      <c r="C22" s="16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34998626667073579"/>
  </sheetPr>
  <dimension ref="B1:D38"/>
  <sheetViews>
    <sheetView workbookViewId="0"/>
  </sheetViews>
  <sheetFormatPr defaultRowHeight="12.75"/>
  <cols>
    <col min="2" max="2" width="68.85546875" bestFit="1" customWidth="1"/>
    <col min="3" max="3" width="13.28515625" customWidth="1"/>
    <col min="4" max="4" width="15.42578125" customWidth="1"/>
  </cols>
  <sheetData>
    <row r="1" spans="2:4" ht="13.5" thickBot="1"/>
    <row r="2" spans="2:4" ht="18">
      <c r="B2" s="171" t="s">
        <v>71</v>
      </c>
      <c r="C2" s="172"/>
      <c r="D2" s="173"/>
    </row>
    <row r="3" spans="2:4" ht="13.5" thickBot="1">
      <c r="B3" s="174" t="s">
        <v>69</v>
      </c>
      <c r="C3" s="175"/>
      <c r="D3" s="176"/>
    </row>
    <row r="4" spans="2:4" ht="13.5" thickBot="1">
      <c r="B4" s="2"/>
      <c r="C4" s="3"/>
      <c r="D4" s="4"/>
    </row>
    <row r="5" spans="2:4" ht="25.5">
      <c r="B5" s="22"/>
      <c r="C5" s="23" t="s">
        <v>50</v>
      </c>
      <c r="D5" s="24"/>
    </row>
    <row r="6" spans="2:4" ht="13.5" thickBot="1">
      <c r="B6" s="8"/>
      <c r="C6" s="9" t="s">
        <v>53</v>
      </c>
      <c r="D6" s="10" t="s">
        <v>51</v>
      </c>
    </row>
    <row r="7" spans="2:4">
      <c r="B7" s="18" t="s">
        <v>55</v>
      </c>
      <c r="C7" s="11" t="e">
        <f>VLOOKUP(B7,#REF!,6,0)*1000</f>
        <v>#REF!</v>
      </c>
      <c r="D7" s="12">
        <v>0</v>
      </c>
    </row>
    <row r="8" spans="2:4">
      <c r="B8" s="17" t="s">
        <v>54</v>
      </c>
      <c r="C8" s="11" t="e">
        <f>VLOOKUP(B8,#REF!,6,0)*1000</f>
        <v>#REF!</v>
      </c>
      <c r="D8" s="12">
        <v>0</v>
      </c>
    </row>
    <row r="9" spans="2:4">
      <c r="B9" s="17" t="s">
        <v>58</v>
      </c>
      <c r="C9" s="11" t="e">
        <f>VLOOKUP(B9,#REF!,6,0)*1000</f>
        <v>#REF!</v>
      </c>
      <c r="D9" s="12">
        <v>0</v>
      </c>
    </row>
    <row r="10" spans="2:4">
      <c r="B10" s="18" t="s">
        <v>60</v>
      </c>
      <c r="C10" s="11" t="e">
        <f>VLOOKUP(B10,#REF!,6,0)*1000</f>
        <v>#REF!</v>
      </c>
      <c r="D10" s="12">
        <v>0</v>
      </c>
    </row>
    <row r="11" spans="2:4">
      <c r="B11" s="18" t="s">
        <v>59</v>
      </c>
      <c r="C11" s="11" t="e">
        <f>VLOOKUP(B11,#REF!,6,0)*1000</f>
        <v>#REF!</v>
      </c>
      <c r="D11" s="12">
        <v>0</v>
      </c>
    </row>
    <row r="12" spans="2:4">
      <c r="B12" s="18" t="s">
        <v>57</v>
      </c>
      <c r="C12" s="11" t="e">
        <f>VLOOKUP(B12,#REF!,6,0)*1000</f>
        <v>#REF!</v>
      </c>
      <c r="D12" s="12">
        <v>0</v>
      </c>
    </row>
    <row r="13" spans="2:4">
      <c r="B13" s="18" t="s">
        <v>63</v>
      </c>
      <c r="C13" s="11" t="e">
        <f>VLOOKUP(B13,#REF!,6,0)*1000</f>
        <v>#REF!</v>
      </c>
      <c r="D13" s="12">
        <v>0</v>
      </c>
    </row>
    <row r="14" spans="2:4">
      <c r="B14" s="18" t="s">
        <v>62</v>
      </c>
      <c r="C14" s="11" t="e">
        <f>VLOOKUP(B14,#REF!,6,0)*1000</f>
        <v>#REF!</v>
      </c>
      <c r="D14" s="12">
        <v>0</v>
      </c>
    </row>
    <row r="15" spans="2:4">
      <c r="B15" s="18" t="s">
        <v>61</v>
      </c>
      <c r="C15" s="11" t="e">
        <f>VLOOKUP(B15,#REF!,6,0)*1000</f>
        <v>#REF!</v>
      </c>
      <c r="D15" s="12">
        <v>0</v>
      </c>
    </row>
    <row r="16" spans="2:4">
      <c r="B16" s="18" t="s">
        <v>64</v>
      </c>
      <c r="C16" s="11" t="e">
        <f>VLOOKUP(B16,#REF!,6,0)*1000</f>
        <v>#REF!</v>
      </c>
      <c r="D16" s="12">
        <v>0</v>
      </c>
    </row>
    <row r="17" spans="2:4">
      <c r="B17" s="18" t="s">
        <v>67</v>
      </c>
      <c r="C17" s="11" t="e">
        <f>VLOOKUP(B17,#REF!,6,0)*1000</f>
        <v>#REF!</v>
      </c>
      <c r="D17" s="12">
        <v>0</v>
      </c>
    </row>
    <row r="18" spans="2:4">
      <c r="B18" s="18" t="s">
        <v>66</v>
      </c>
      <c r="C18" s="11" t="e">
        <f>VLOOKUP(B18,#REF!,6,0)*1000</f>
        <v>#REF!</v>
      </c>
      <c r="D18" s="12">
        <v>0</v>
      </c>
    </row>
    <row r="19" spans="2:4">
      <c r="B19" s="18" t="s">
        <v>65</v>
      </c>
      <c r="C19" s="11" t="e">
        <f>VLOOKUP(B19,#REF!,6,0)*1000</f>
        <v>#REF!</v>
      </c>
      <c r="D19" s="12">
        <v>0</v>
      </c>
    </row>
    <row r="20" spans="2:4">
      <c r="B20" s="17" t="s">
        <v>23</v>
      </c>
      <c r="C20" s="11" t="e">
        <f>VLOOKUP(B20,#REF!,6,0)*1000</f>
        <v>#REF!</v>
      </c>
      <c r="D20" s="12">
        <v>0</v>
      </c>
    </row>
    <row r="21" spans="2:4">
      <c r="B21" s="17" t="s">
        <v>24</v>
      </c>
      <c r="C21" s="11" t="e">
        <f>VLOOKUP(B21,#REF!,6,0)*1000</f>
        <v>#REF!</v>
      </c>
      <c r="D21" s="12">
        <v>0</v>
      </c>
    </row>
    <row r="22" spans="2:4">
      <c r="B22" s="25" t="s">
        <v>8</v>
      </c>
      <c r="C22" s="11" t="e">
        <f>VLOOKUP(B22,#REF!,6,0)*1000</f>
        <v>#REF!</v>
      </c>
      <c r="D22" s="12">
        <v>0</v>
      </c>
    </row>
    <row r="23" spans="2:4">
      <c r="B23" s="25" t="s">
        <v>9</v>
      </c>
      <c r="C23" s="11" t="e">
        <f>VLOOKUP(B23,#REF!,6,0)*1000</f>
        <v>#REF!</v>
      </c>
      <c r="D23" s="12">
        <v>0</v>
      </c>
    </row>
    <row r="24" spans="2:4">
      <c r="B24" s="17" t="s">
        <v>6</v>
      </c>
      <c r="C24" s="11" t="e">
        <f>VLOOKUP(B24,#REF!,6,0)*1000</f>
        <v>#REF!</v>
      </c>
      <c r="D24" s="12">
        <v>0</v>
      </c>
    </row>
    <row r="25" spans="2:4">
      <c r="B25" s="17" t="s">
        <v>56</v>
      </c>
      <c r="C25" s="11" t="e">
        <f>VLOOKUP(B25,#REF!,6,0)*1000</f>
        <v>#REF!</v>
      </c>
      <c r="D25" s="12">
        <v>0</v>
      </c>
    </row>
    <row r="26" spans="2:4">
      <c r="B26" s="17" t="s">
        <v>46</v>
      </c>
      <c r="C26" s="11" t="e">
        <f>VLOOKUP(B26,#REF!,6,0)*1000</f>
        <v>#REF!</v>
      </c>
      <c r="D26" s="12">
        <v>0</v>
      </c>
    </row>
    <row r="27" spans="2:4">
      <c r="B27" s="17" t="s">
        <v>27</v>
      </c>
      <c r="C27" s="11" t="e">
        <f>VLOOKUP(B27,#REF!,6,0)*1000</f>
        <v>#REF!</v>
      </c>
      <c r="D27" s="12">
        <v>0</v>
      </c>
    </row>
    <row r="28" spans="2:4">
      <c r="B28" s="17" t="s">
        <v>26</v>
      </c>
      <c r="C28" s="11" t="e">
        <f>VLOOKUP(B28,#REF!,6,0)*1000</f>
        <v>#REF!</v>
      </c>
      <c r="D28" s="12">
        <v>0</v>
      </c>
    </row>
    <row r="29" spans="2:4">
      <c r="B29" s="18" t="s">
        <v>47</v>
      </c>
      <c r="C29" s="11" t="e">
        <f>VLOOKUP(B29,#REF!,6,0)*1000</f>
        <v>#REF!</v>
      </c>
      <c r="D29" s="12">
        <v>0</v>
      </c>
    </row>
    <row r="30" spans="2:4">
      <c r="B30" s="18" t="s">
        <v>28</v>
      </c>
      <c r="C30" s="11" t="e">
        <f>VLOOKUP(B30,#REF!,6,0)*1000</f>
        <v>#REF!</v>
      </c>
      <c r="D30" s="12">
        <v>0</v>
      </c>
    </row>
    <row r="31" spans="2:4">
      <c r="B31" s="17" t="s">
        <v>76</v>
      </c>
      <c r="C31" s="11" t="e">
        <f>VLOOKUP(B31,#REF!,6,0)*1000</f>
        <v>#REF!</v>
      </c>
      <c r="D31" s="12">
        <v>0</v>
      </c>
    </row>
    <row r="32" spans="2:4">
      <c r="B32" s="17" t="s">
        <v>75</v>
      </c>
      <c r="C32" s="11" t="e">
        <f>VLOOKUP(B32,#REF!,6,0)*1000</f>
        <v>#REF!</v>
      </c>
      <c r="D32" s="12">
        <v>0</v>
      </c>
    </row>
    <row r="33" spans="2:4">
      <c r="B33" s="18" t="s">
        <v>73</v>
      </c>
      <c r="C33" s="11" t="e">
        <f>VLOOKUP(B33,#REF!,6,0)*1000</f>
        <v>#REF!</v>
      </c>
      <c r="D33" s="12">
        <v>0</v>
      </c>
    </row>
    <row r="34" spans="2:4" ht="13.5" thickBot="1">
      <c r="B34" s="17" t="s">
        <v>74</v>
      </c>
      <c r="C34" s="11" t="e">
        <f>VLOOKUP(B34,#REF!,6,0)*1000</f>
        <v>#REF!</v>
      </c>
      <c r="D34" s="12">
        <v>0</v>
      </c>
    </row>
    <row r="35" spans="2:4" ht="13.5" thickBot="1">
      <c r="B35" s="17"/>
      <c r="C35" s="27" t="e">
        <f>SUM(C7:C34)</f>
        <v>#REF!</v>
      </c>
      <c r="D35" s="26">
        <f>SUM(D7:D34)</f>
        <v>0</v>
      </c>
    </row>
    <row r="36" spans="2:4" ht="13.5" thickBot="1">
      <c r="B36" s="8"/>
      <c r="C36" s="15"/>
      <c r="D36" s="16"/>
    </row>
    <row r="37" spans="2:4">
      <c r="B37" s="13" t="s">
        <v>70</v>
      </c>
      <c r="C37" s="3"/>
      <c r="D37" s="4"/>
    </row>
    <row r="38" spans="2:4" ht="13.5" thickBot="1">
      <c r="B38" s="14" t="s">
        <v>72</v>
      </c>
      <c r="C38" s="15"/>
      <c r="D38" s="16"/>
    </row>
  </sheetData>
  <mergeCells count="2">
    <mergeCell ref="B2:D2"/>
    <mergeCell ref="B3:D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F722BE9-C42F-4E3E-B7E4-C07C7247CC24}"/>
</file>

<file path=customXml/itemProps2.xml><?xml version="1.0" encoding="utf-8"?>
<ds:datastoreItem xmlns:ds="http://schemas.openxmlformats.org/officeDocument/2006/customXml" ds:itemID="{71895795-7BC0-4D30-B8C6-933279F0690A}"/>
</file>

<file path=customXml/itemProps3.xml><?xml version="1.0" encoding="utf-8"?>
<ds:datastoreItem xmlns:ds="http://schemas.openxmlformats.org/officeDocument/2006/customXml" ds:itemID="{D8A1F797-8273-4CF8-B1FE-5C67D8016DB6}"/>
</file>

<file path=customXml/itemProps4.xml><?xml version="1.0" encoding="utf-8"?>
<ds:datastoreItem xmlns:ds="http://schemas.openxmlformats.org/officeDocument/2006/customXml" ds:itemID="{CB5C161A-9B0A-4E33-A3C7-D489B13175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Exh. JAS-2</vt:lpstr>
      <vt:lpstr>2019 Actual vs Pro Forma</vt:lpstr>
      <vt:lpstr>Tables</vt:lpstr>
      <vt:lpstr>table of contents</vt:lpstr>
      <vt:lpstr>Table No.1</vt:lpstr>
      <vt:lpstr>Table No.2</vt:lpstr>
      <vt:lpstr>'2019 Actual vs Pro Forma'!Print_Area</vt:lpstr>
      <vt:lpstr>'Exh. JAS-2'!Print_Area</vt:lpstr>
      <vt:lpstr>'table of contents'!Print_Area</vt:lpstr>
      <vt:lpstr>'2019 Actual vs Pro Forma'!Print_Titles</vt:lpstr>
      <vt:lpstr>'Exh. JAS-2'!Print_Titles</vt:lpstr>
      <vt:lpstr>'table of contents'!Print_Titles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Carrozzo, Steve</dc:creator>
  <cp:lastModifiedBy>Andrews, Liz</cp:lastModifiedBy>
  <cp:lastPrinted>2020-10-04T23:38:50Z</cp:lastPrinted>
  <dcterms:created xsi:type="dcterms:W3CDTF">2001-03-24T00:02:34Z</dcterms:created>
  <dcterms:modified xsi:type="dcterms:W3CDTF">2020-10-23T02:35:38Z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0x0101006E56B4D1795A2E4DB2F0B01679ED314A0027A08A98646D534B82D0990F27BFBC3C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