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20\2020 WA Elec and Gas GRC\Adjustments\2.18 ECBR - Power Supply\"/>
    </mc:Choice>
  </mc:AlternateContent>
  <bookViews>
    <workbookView xWindow="0" yWindow="0" windowWidth="28800" windowHeight="12690"/>
  </bookViews>
  <sheets>
    <sheet name="PF Power Supply Proforma" sheetId="5" r:id="rId1"/>
    <sheet name="Monthly Authorized" sheetId="4" r:id="rId2"/>
    <sheet name="12.2019 Actual" sheetId="3" r:id="rId3"/>
    <sheet name="PF Power Supply 2.18 CBR" sheetId="1" r:id="rId4"/>
  </sheets>
  <definedNames>
    <definedName name="_xlnm.Print_Area" localSheetId="2">'12.2019 Actual'!$A$1:$F$116</definedName>
    <definedName name="_xlnm.Print_Area" localSheetId="1">'Monthly Authorized'!$A$1:$O$60</definedName>
    <definedName name="_xlnm.Print_Area" localSheetId="3">'PF Power Supply 2.18 CBR'!$A$1:$T$55</definedName>
    <definedName name="_xlnm.Print_Area" localSheetId="0">'PF Power Supply Proforma'!$A$1:$T$55</definedName>
    <definedName name="_xlnm.Print_Titles" localSheetId="2">'12.2019 Actual'!$1:$7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1" i="5" l="1"/>
  <c r="AD17" i="5"/>
  <c r="AB16" i="5" l="1"/>
  <c r="AF32" i="5" l="1"/>
  <c r="AD13" i="5"/>
  <c r="AF14" i="5"/>
  <c r="AF15" i="5"/>
  <c r="AF17" i="5"/>
  <c r="AF18" i="5"/>
  <c r="AG40" i="5"/>
  <c r="AG21" i="5"/>
  <c r="AB13" i="5"/>
  <c r="Q13" i="5"/>
  <c r="AF13" i="5" s="1"/>
  <c r="X21" i="5"/>
  <c r="D18" i="5"/>
  <c r="D16" i="5" s="1"/>
  <c r="E117" i="3"/>
  <c r="D99" i="3" l="1"/>
  <c r="E110" i="3" l="1"/>
  <c r="D107" i="3" l="1"/>
  <c r="X38" i="5" l="1"/>
  <c r="AB37" i="5"/>
  <c r="AB36" i="5"/>
  <c r="AB35" i="5"/>
  <c r="Z33" i="5"/>
  <c r="AB31" i="5"/>
  <c r="AF31" i="5" s="1"/>
  <c r="AB30" i="5"/>
  <c r="AF30" i="5" s="1"/>
  <c r="AD29" i="5"/>
  <c r="AB29" i="5"/>
  <c r="AF29" i="5" s="1"/>
  <c r="AB27" i="5"/>
  <c r="AF27" i="5" s="1"/>
  <c r="AB25" i="5"/>
  <c r="AF25" i="5" s="1"/>
  <c r="AB20" i="5"/>
  <c r="Z20" i="5"/>
  <c r="AD18" i="5"/>
  <c r="AB18" i="5"/>
  <c r="AB17" i="5"/>
  <c r="Z17" i="5"/>
  <c r="AB15" i="5"/>
  <c r="AB14" i="5"/>
  <c r="Z11" i="5"/>
  <c r="Z37" i="5" s="1"/>
  <c r="K55" i="5"/>
  <c r="M54" i="5"/>
  <c r="M53" i="5"/>
  <c r="K52" i="5"/>
  <c r="K51" i="5" s="1"/>
  <c r="F37" i="5"/>
  <c r="F36" i="5"/>
  <c r="F35" i="5"/>
  <c r="M34" i="5"/>
  <c r="D34" i="5"/>
  <c r="F34" i="5" s="1"/>
  <c r="F33" i="5"/>
  <c r="M32" i="5"/>
  <c r="D32" i="5"/>
  <c r="F32" i="5" s="1"/>
  <c r="F31" i="5"/>
  <c r="F30" i="5"/>
  <c r="S29" i="5"/>
  <c r="M28" i="5"/>
  <c r="D28" i="5"/>
  <c r="F27" i="5"/>
  <c r="M26" i="5"/>
  <c r="D26" i="5"/>
  <c r="F25" i="5"/>
  <c r="M24" i="5"/>
  <c r="D24" i="5"/>
  <c r="F24" i="5" s="1"/>
  <c r="O20" i="5"/>
  <c r="AD20" i="5" s="1"/>
  <c r="F20" i="5"/>
  <c r="AG20" i="5" s="1"/>
  <c r="M19" i="5"/>
  <c r="S18" i="5"/>
  <c r="Q18" i="5"/>
  <c r="Q17" i="5"/>
  <c r="O17" i="5"/>
  <c r="F17" i="5"/>
  <c r="M16" i="5"/>
  <c r="Q15" i="5"/>
  <c r="F15" i="5"/>
  <c r="F14" i="5"/>
  <c r="M13" i="5"/>
  <c r="D13" i="5"/>
  <c r="F13" i="5" s="1"/>
  <c r="O11" i="5"/>
  <c r="O31" i="5" s="1"/>
  <c r="X40" i="5" l="1"/>
  <c r="K57" i="5"/>
  <c r="S17" i="5"/>
  <c r="AB24" i="5"/>
  <c r="Q34" i="5"/>
  <c r="M55" i="5"/>
  <c r="AG38" i="5"/>
  <c r="S20" i="5"/>
  <c r="AB19" i="5"/>
  <c r="Z14" i="5"/>
  <c r="Z25" i="5"/>
  <c r="AB26" i="5"/>
  <c r="Z32" i="5"/>
  <c r="Z36" i="5"/>
  <c r="Z13" i="5"/>
  <c r="Z24" i="5"/>
  <c r="Z28" i="5"/>
  <c r="Z31" i="5"/>
  <c r="AD31" i="5" s="1"/>
  <c r="AB32" i="5"/>
  <c r="Z35" i="5"/>
  <c r="Q26" i="5"/>
  <c r="Q28" i="5"/>
  <c r="Z16" i="5"/>
  <c r="AD16" i="5" s="1"/>
  <c r="Z27" i="5"/>
  <c r="AB28" i="5"/>
  <c r="Z30" i="5"/>
  <c r="Z34" i="5"/>
  <c r="M21" i="5"/>
  <c r="Q16" i="5"/>
  <c r="F26" i="5"/>
  <c r="F28" i="5"/>
  <c r="Z15" i="5"/>
  <c r="AF16" i="5"/>
  <c r="Z19" i="5"/>
  <c r="Z26" i="5"/>
  <c r="AB34" i="5"/>
  <c r="M33" i="5"/>
  <c r="AB33" i="5" s="1"/>
  <c r="O14" i="5"/>
  <c r="O24" i="5"/>
  <c r="O35" i="5"/>
  <c r="O13" i="5"/>
  <c r="S13" i="5" s="1"/>
  <c r="F16" i="5"/>
  <c r="Q24" i="5"/>
  <c r="O27" i="5"/>
  <c r="Q32" i="5"/>
  <c r="O34" i="5"/>
  <c r="S34" i="5" s="1"/>
  <c r="D38" i="5"/>
  <c r="O32" i="5"/>
  <c r="S32" i="5" s="1"/>
  <c r="O37" i="5"/>
  <c r="O26" i="5"/>
  <c r="O28" i="5"/>
  <c r="O30" i="5"/>
  <c r="O36" i="5"/>
  <c r="O15" i="5"/>
  <c r="O16" i="5"/>
  <c r="O19" i="5"/>
  <c r="O25" i="5"/>
  <c r="M33" i="1"/>
  <c r="AF28" i="5" l="1"/>
  <c r="AF24" i="5"/>
  <c r="AF26" i="5"/>
  <c r="AF34" i="5"/>
  <c r="AB21" i="5"/>
  <c r="S28" i="5"/>
  <c r="S26" i="5"/>
  <c r="S15" i="5"/>
  <c r="AD36" i="5"/>
  <c r="S30" i="5"/>
  <c r="AD14" i="5"/>
  <c r="AD15" i="5"/>
  <c r="AD27" i="5"/>
  <c r="AD35" i="5"/>
  <c r="AD19" i="5"/>
  <c r="AD30" i="5"/>
  <c r="AD25" i="5"/>
  <c r="AD37" i="5"/>
  <c r="AB38" i="5"/>
  <c r="F38" i="5"/>
  <c r="AD26" i="5"/>
  <c r="Z38" i="5"/>
  <c r="AD24" i="5"/>
  <c r="AD32" i="5"/>
  <c r="AD28" i="5"/>
  <c r="AD34" i="5"/>
  <c r="Z21" i="5"/>
  <c r="S16" i="5"/>
  <c r="S25" i="5"/>
  <c r="O21" i="5"/>
  <c r="S24" i="5"/>
  <c r="Q33" i="5"/>
  <c r="Q38" i="5" s="1"/>
  <c r="O33" i="5"/>
  <c r="M38" i="5"/>
  <c r="M40" i="5" s="1"/>
  <c r="G99" i="3"/>
  <c r="AB40" i="5" l="1"/>
  <c r="AF40" i="5" s="1"/>
  <c r="AF33" i="5"/>
  <c r="AF38" i="5" s="1"/>
  <c r="AD21" i="5"/>
  <c r="Z40" i="5"/>
  <c r="Z47" i="5" s="1"/>
  <c r="S33" i="5"/>
  <c r="AD33" i="5"/>
  <c r="AD38" i="5" s="1"/>
  <c r="O38" i="5"/>
  <c r="O40" i="5" s="1"/>
  <c r="G33" i="3"/>
  <c r="AD40" i="5" l="1"/>
  <c r="AD42" i="5" s="1"/>
  <c r="AD44" i="5" s="1"/>
  <c r="AD46" i="5" s="1"/>
  <c r="S38" i="5"/>
  <c r="Z42" i="5"/>
  <c r="Z44" i="5" s="1"/>
  <c r="O42" i="5"/>
  <c r="O44" i="5" s="1"/>
  <c r="O47" i="5"/>
  <c r="X13" i="1"/>
  <c r="O11" i="1"/>
  <c r="F17" i="1"/>
  <c r="D18" i="1" l="1"/>
  <c r="E43" i="3" l="1"/>
  <c r="E42" i="3"/>
  <c r="E108" i="3" l="1"/>
  <c r="K55" i="1" l="1"/>
  <c r="K57" i="1" s="1"/>
  <c r="K51" i="1" l="1"/>
  <c r="AB13" i="1"/>
  <c r="X33" i="1"/>
  <c r="M55" i="1" l="1"/>
  <c r="M54" i="1"/>
  <c r="M38" i="1" l="1"/>
  <c r="M34" i="1"/>
  <c r="M32" i="1"/>
  <c r="M28" i="1"/>
  <c r="M26" i="1"/>
  <c r="M24" i="1"/>
  <c r="M16" i="1"/>
  <c r="M13" i="1"/>
  <c r="M21" i="1" s="1"/>
  <c r="H107" i="3" l="1"/>
  <c r="E27" i="3" l="1"/>
  <c r="E109" i="3" l="1"/>
  <c r="E44" i="3" l="1"/>
  <c r="H40" i="3" l="1"/>
  <c r="E29" i="3" l="1"/>
  <c r="E28" i="3"/>
  <c r="AD50" i="1" l="1"/>
  <c r="X25" i="1" l="1"/>
  <c r="X27" i="1"/>
  <c r="X30" i="1"/>
  <c r="X31" i="1"/>
  <c r="X15" i="1"/>
  <c r="X17" i="1"/>
  <c r="X18" i="1"/>
  <c r="X19" i="1"/>
  <c r="K52" i="1" l="1"/>
  <c r="D16" i="1"/>
  <c r="F16" i="1" s="1"/>
  <c r="X29" i="1" l="1"/>
  <c r="X14" i="1"/>
  <c r="J107" i="3" l="1"/>
  <c r="K107" i="3"/>
  <c r="L107" i="3"/>
  <c r="N107" i="3"/>
  <c r="O107" i="3"/>
  <c r="P107" i="3"/>
  <c r="S107" i="3"/>
  <c r="I107" i="3"/>
  <c r="M107" i="3"/>
  <c r="Q107" i="3"/>
  <c r="R107" i="3"/>
  <c r="G105" i="3"/>
  <c r="G104" i="3"/>
  <c r="G103" i="3"/>
  <c r="G102" i="3"/>
  <c r="G101" i="3"/>
  <c r="G100" i="3"/>
  <c r="G108" i="3"/>
  <c r="I40" i="3"/>
  <c r="J40" i="3"/>
  <c r="K40" i="3"/>
  <c r="L40" i="3"/>
  <c r="M40" i="3"/>
  <c r="N40" i="3"/>
  <c r="O40" i="3"/>
  <c r="P40" i="3"/>
  <c r="Q40" i="3"/>
  <c r="R40" i="3"/>
  <c r="S40" i="3"/>
  <c r="G34" i="3"/>
  <c r="G35" i="3"/>
  <c r="G36" i="3"/>
  <c r="G37" i="3"/>
  <c r="G38" i="3"/>
  <c r="G106" i="3" l="1"/>
  <c r="D106" i="3" s="1"/>
  <c r="G80" i="3"/>
  <c r="G110" i="3"/>
  <c r="G98" i="3"/>
  <c r="D98" i="3" s="1"/>
  <c r="H77" i="3"/>
  <c r="I77" i="3"/>
  <c r="J77" i="3"/>
  <c r="K77" i="3"/>
  <c r="L77" i="3"/>
  <c r="M77" i="3"/>
  <c r="N77" i="3"/>
  <c r="O77" i="3"/>
  <c r="P77" i="3"/>
  <c r="Q77" i="3"/>
  <c r="R77" i="3"/>
  <c r="S77" i="3"/>
  <c r="G75" i="3"/>
  <c r="D75" i="3" s="1"/>
  <c r="G76" i="3"/>
  <c r="D76" i="3" s="1"/>
  <c r="G74" i="3"/>
  <c r="D74" i="3" s="1"/>
  <c r="G73" i="3"/>
  <c r="D73" i="3" s="1"/>
  <c r="G72" i="3"/>
  <c r="D72" i="3" s="1"/>
  <c r="G71" i="3"/>
  <c r="D71" i="3" s="1"/>
  <c r="G70" i="3"/>
  <c r="D70" i="3" s="1"/>
  <c r="G69" i="3"/>
  <c r="D69" i="3" s="1"/>
  <c r="G68" i="3"/>
  <c r="D68" i="3" s="1"/>
  <c r="G67" i="3"/>
  <c r="D67" i="3" s="1"/>
  <c r="H61" i="3"/>
  <c r="I61" i="3"/>
  <c r="J61" i="3"/>
  <c r="K61" i="3"/>
  <c r="L61" i="3"/>
  <c r="M61" i="3"/>
  <c r="N61" i="3"/>
  <c r="O61" i="3"/>
  <c r="P61" i="3"/>
  <c r="Q61" i="3"/>
  <c r="R61" i="3"/>
  <c r="S61" i="3"/>
  <c r="H47" i="3"/>
  <c r="I47" i="3"/>
  <c r="J47" i="3"/>
  <c r="K47" i="3"/>
  <c r="L47" i="3"/>
  <c r="M47" i="3"/>
  <c r="N47" i="3"/>
  <c r="O47" i="3"/>
  <c r="P47" i="3"/>
  <c r="Q47" i="3"/>
  <c r="R47" i="3"/>
  <c r="S47" i="3"/>
  <c r="G54" i="3"/>
  <c r="D54" i="3" s="1"/>
  <c r="G55" i="3"/>
  <c r="D55" i="3" s="1"/>
  <c r="G56" i="3"/>
  <c r="D56" i="3" s="1"/>
  <c r="G57" i="3"/>
  <c r="D57" i="3" s="1"/>
  <c r="G58" i="3"/>
  <c r="D58" i="3" s="1"/>
  <c r="G59" i="3"/>
  <c r="D59" i="3" s="1"/>
  <c r="G60" i="3"/>
  <c r="D60" i="3" s="1"/>
  <c r="G53" i="3"/>
  <c r="D53" i="3" s="1"/>
  <c r="G52" i="3"/>
  <c r="D52" i="3" s="1"/>
  <c r="G51" i="3"/>
  <c r="D51" i="3" s="1"/>
  <c r="G50" i="3"/>
  <c r="D50" i="3" s="1"/>
  <c r="G46" i="3"/>
  <c r="D46" i="3" s="1"/>
  <c r="G45" i="3"/>
  <c r="D45" i="3" s="1"/>
  <c r="G44" i="3"/>
  <c r="D44" i="3" s="1"/>
  <c r="G43" i="3"/>
  <c r="D43" i="3" s="1"/>
  <c r="G31" i="3"/>
  <c r="D31" i="3" s="1"/>
  <c r="D32" i="3"/>
  <c r="D33" i="3"/>
  <c r="G39" i="3"/>
  <c r="D39" i="3" s="1"/>
  <c r="G30" i="3"/>
  <c r="D30" i="3" s="1"/>
  <c r="H95" i="3"/>
  <c r="I95" i="3"/>
  <c r="J95" i="3"/>
  <c r="K95" i="3"/>
  <c r="L95" i="3"/>
  <c r="M95" i="3"/>
  <c r="N95" i="3"/>
  <c r="O95" i="3"/>
  <c r="P95" i="3"/>
  <c r="Q95" i="3"/>
  <c r="R95" i="3"/>
  <c r="S95" i="3"/>
  <c r="G94" i="3"/>
  <c r="D94" i="3" s="1"/>
  <c r="G93" i="3"/>
  <c r="D93" i="3" s="1"/>
  <c r="G92" i="3"/>
  <c r="D92" i="3" s="1"/>
  <c r="G91" i="3"/>
  <c r="D91" i="3" s="1"/>
  <c r="G90" i="3"/>
  <c r="D90" i="3" s="1"/>
  <c r="G89" i="3"/>
  <c r="D89" i="3" s="1"/>
  <c r="G88" i="3"/>
  <c r="D88" i="3" s="1"/>
  <c r="G87" i="3"/>
  <c r="D87" i="3" s="1"/>
  <c r="G86" i="3"/>
  <c r="D86" i="3" s="1"/>
  <c r="G85" i="3"/>
  <c r="D85" i="3" s="1"/>
  <c r="H27" i="3"/>
  <c r="I27" i="3"/>
  <c r="J27" i="3"/>
  <c r="K27" i="3"/>
  <c r="L27" i="3"/>
  <c r="M27" i="3"/>
  <c r="N27" i="3"/>
  <c r="O27" i="3"/>
  <c r="P27" i="3"/>
  <c r="Q27" i="3"/>
  <c r="R27" i="3"/>
  <c r="S27" i="3"/>
  <c r="G15" i="3"/>
  <c r="D15" i="3" s="1"/>
  <c r="G14" i="3"/>
  <c r="D14" i="3" s="1"/>
  <c r="G13" i="3"/>
  <c r="D13" i="3" s="1"/>
  <c r="G12" i="3"/>
  <c r="D12" i="3" s="1"/>
  <c r="G11" i="3"/>
  <c r="D11" i="3" s="1"/>
  <c r="G10" i="3"/>
  <c r="D10" i="3" s="1"/>
  <c r="G9" i="3"/>
  <c r="D9" i="3" s="1"/>
  <c r="G17" i="3"/>
  <c r="D17" i="3" s="1"/>
  <c r="G18" i="3"/>
  <c r="D18" i="3" s="1"/>
  <c r="G19" i="3"/>
  <c r="D19" i="3" s="1"/>
  <c r="G20" i="3"/>
  <c r="D20" i="3" s="1"/>
  <c r="G21" i="3"/>
  <c r="D21" i="3" s="1"/>
  <c r="G22" i="3"/>
  <c r="D22" i="3" s="1"/>
  <c r="G23" i="3"/>
  <c r="D23" i="3" s="1"/>
  <c r="G24" i="3"/>
  <c r="D24" i="3" s="1"/>
  <c r="G25" i="3"/>
  <c r="D25" i="3" s="1"/>
  <c r="G26" i="3"/>
  <c r="D26" i="3" s="1"/>
  <c r="G16" i="3"/>
  <c r="D16" i="3" s="1"/>
  <c r="G107" i="3" l="1"/>
  <c r="G77" i="3"/>
  <c r="G40" i="3"/>
  <c r="G47" i="3"/>
  <c r="G61" i="3"/>
  <c r="G95" i="3"/>
  <c r="G27" i="3"/>
  <c r="B49" i="4" l="1"/>
  <c r="N47" i="4"/>
  <c r="M47" i="4"/>
  <c r="L47" i="4"/>
  <c r="K47" i="4"/>
  <c r="J47" i="4"/>
  <c r="I47" i="4"/>
  <c r="H47" i="4"/>
  <c r="G47" i="4"/>
  <c r="F47" i="4"/>
  <c r="E47" i="4"/>
  <c r="D47" i="4"/>
  <c r="C47" i="4"/>
  <c r="N38" i="4"/>
  <c r="M38" i="4"/>
  <c r="L38" i="4"/>
  <c r="K38" i="4"/>
  <c r="J38" i="4"/>
  <c r="I38" i="4"/>
  <c r="H38" i="4"/>
  <c r="G38" i="4"/>
  <c r="F38" i="4"/>
  <c r="E38" i="4"/>
  <c r="D38" i="4"/>
  <c r="C38" i="4"/>
  <c r="B32" i="4"/>
  <c r="B30" i="4"/>
  <c r="B28" i="4"/>
  <c r="N26" i="4"/>
  <c r="N34" i="4" s="1"/>
  <c r="N36" i="4" s="1"/>
  <c r="M26" i="4"/>
  <c r="M34" i="4" s="1"/>
  <c r="L26" i="4"/>
  <c r="L34" i="4" s="1"/>
  <c r="L36" i="4" s="1"/>
  <c r="K26" i="4"/>
  <c r="K34" i="4" s="1"/>
  <c r="K36" i="4" s="1"/>
  <c r="J26" i="4"/>
  <c r="J34" i="4" s="1"/>
  <c r="J36" i="4" s="1"/>
  <c r="I26" i="4"/>
  <c r="I34" i="4" s="1"/>
  <c r="H26" i="4"/>
  <c r="H34" i="4" s="1"/>
  <c r="H36" i="4" s="1"/>
  <c r="G26" i="4"/>
  <c r="G34" i="4" s="1"/>
  <c r="G36" i="4" s="1"/>
  <c r="F26" i="4"/>
  <c r="F34" i="4" s="1"/>
  <c r="F36" i="4" s="1"/>
  <c r="E26" i="4"/>
  <c r="E34" i="4" s="1"/>
  <c r="D26" i="4"/>
  <c r="D34" i="4" s="1"/>
  <c r="D36" i="4" s="1"/>
  <c r="C26" i="4"/>
  <c r="C34" i="4" s="1"/>
  <c r="C36" i="4" s="1"/>
  <c r="B24" i="4"/>
  <c r="B22" i="4"/>
  <c r="B20" i="4"/>
  <c r="B18" i="4"/>
  <c r="B38" i="4" l="1"/>
  <c r="D40" i="4"/>
  <c r="H40" i="4"/>
  <c r="L40" i="4"/>
  <c r="M36" i="4"/>
  <c r="M40" i="4" s="1"/>
  <c r="I36" i="4"/>
  <c r="I40" i="4" s="1"/>
  <c r="E36" i="4"/>
  <c r="E40" i="4" s="1"/>
  <c r="N40" i="4"/>
  <c r="F40" i="4"/>
  <c r="J40" i="4"/>
  <c r="G40" i="4"/>
  <c r="K40" i="4"/>
  <c r="B34" i="4"/>
  <c r="B26" i="4"/>
  <c r="B36" i="4" l="1"/>
  <c r="B40" i="4" s="1"/>
  <c r="B51" i="4" s="1"/>
  <c r="C40" i="4"/>
  <c r="X32" i="1" l="1"/>
  <c r="X16" i="1" l="1"/>
  <c r="X26" i="1"/>
  <c r="M53" i="1"/>
  <c r="X28" i="1"/>
  <c r="X34" i="1"/>
  <c r="X24" i="1"/>
  <c r="E111" i="3" l="1"/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30" i="3" s="1"/>
  <c r="A31" i="3" s="1"/>
  <c r="A32" i="3" s="1"/>
  <c r="A33" i="3" s="1"/>
  <c r="A39" i="3" s="1"/>
  <c r="A40" i="3" s="1"/>
  <c r="A43" i="3" s="1"/>
  <c r="A44" i="3" s="1"/>
  <c r="A45" i="3" s="1"/>
  <c r="A46" i="3" s="1"/>
  <c r="A47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D27" i="3"/>
  <c r="D40" i="3"/>
  <c r="D32" i="1" s="1"/>
  <c r="D47" i="3"/>
  <c r="D61" i="3"/>
  <c r="D26" i="1" s="1"/>
  <c r="D77" i="3"/>
  <c r="D34" i="1" s="1"/>
  <c r="D95" i="3"/>
  <c r="F107" i="3"/>
  <c r="D19" i="5" l="1"/>
  <c r="F27" i="3"/>
  <c r="E31" i="3"/>
  <c r="F40" i="3"/>
  <c r="D82" i="3"/>
  <c r="D13" i="1"/>
  <c r="F13" i="1" s="1"/>
  <c r="E96" i="3"/>
  <c r="D28" i="1"/>
  <c r="D19" i="1"/>
  <c r="E48" i="3"/>
  <c r="D24" i="1"/>
  <c r="A68" i="3"/>
  <c r="A69" i="3" s="1"/>
  <c r="A70" i="3" s="1"/>
  <c r="A71" i="3" s="1"/>
  <c r="A72" i="3" s="1"/>
  <c r="A73" i="3" s="1"/>
  <c r="A74" i="3" s="1"/>
  <c r="A75" i="3" s="1"/>
  <c r="A76" i="3" s="1"/>
  <c r="A77" i="3" s="1"/>
  <c r="A80" i="3" s="1"/>
  <c r="A82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8" i="3" s="1"/>
  <c r="A99" i="3" s="1"/>
  <c r="A106" i="3" s="1"/>
  <c r="A107" i="3" s="1"/>
  <c r="A110" i="3" s="1"/>
  <c r="A113" i="3" s="1"/>
  <c r="A115" i="3" s="1"/>
  <c r="D113" i="3"/>
  <c r="AR29" i="1"/>
  <c r="AR18" i="1"/>
  <c r="Q19" i="5" l="1"/>
  <c r="F19" i="5"/>
  <c r="D21" i="5"/>
  <c r="D40" i="5" s="1"/>
  <c r="Q13" i="1"/>
  <c r="D115" i="3"/>
  <c r="AM37" i="1"/>
  <c r="AM35" i="1"/>
  <c r="AI38" i="1"/>
  <c r="AB37" i="1"/>
  <c r="AB36" i="1"/>
  <c r="AB35" i="1"/>
  <c r="O37" i="1"/>
  <c r="O36" i="1"/>
  <c r="O35" i="1"/>
  <c r="F37" i="1"/>
  <c r="F36" i="1"/>
  <c r="F35" i="1"/>
  <c r="AM31" i="1"/>
  <c r="Q21" i="5" l="1"/>
  <c r="Q40" i="5" s="1"/>
  <c r="AF19" i="5"/>
  <c r="AF21" i="5" s="1"/>
  <c r="F21" i="5"/>
  <c r="S19" i="5"/>
  <c r="AM36" i="1"/>
  <c r="AM27" i="1"/>
  <c r="AM14" i="1"/>
  <c r="AB26" i="1"/>
  <c r="AB27" i="1"/>
  <c r="AB28" i="1"/>
  <c r="AB29" i="1"/>
  <c r="AD29" i="1"/>
  <c r="AB30" i="1"/>
  <c r="AB31" i="1"/>
  <c r="AB32" i="1"/>
  <c r="AB34" i="1"/>
  <c r="AB25" i="1"/>
  <c r="AB24" i="1"/>
  <c r="AB14" i="1"/>
  <c r="AB15" i="1"/>
  <c r="AB16" i="1"/>
  <c r="AB17" i="1"/>
  <c r="AB18" i="1"/>
  <c r="AD18" i="1"/>
  <c r="AB20" i="1"/>
  <c r="F40" i="5" l="1"/>
  <c r="S21" i="5"/>
  <c r="AM38" i="1"/>
  <c r="S40" i="5" l="1"/>
  <c r="F42" i="5"/>
  <c r="F44" i="5" s="1"/>
  <c r="AK20" i="1"/>
  <c r="AI21" i="1"/>
  <c r="AK17" i="1"/>
  <c r="Z14" i="1"/>
  <c r="Z20" i="1"/>
  <c r="X21" i="1"/>
  <c r="Z17" i="1"/>
  <c r="Q34" i="1"/>
  <c r="O34" i="1"/>
  <c r="F34" i="1"/>
  <c r="F33" i="1"/>
  <c r="O32" i="1"/>
  <c r="O31" i="1"/>
  <c r="F31" i="1"/>
  <c r="O30" i="1"/>
  <c r="F30" i="1"/>
  <c r="S29" i="1"/>
  <c r="Q28" i="1"/>
  <c r="O28" i="1"/>
  <c r="F28" i="1"/>
  <c r="O27" i="1"/>
  <c r="F27" i="1"/>
  <c r="Q26" i="1"/>
  <c r="O26" i="1"/>
  <c r="F26" i="1"/>
  <c r="O25" i="1"/>
  <c r="F25" i="1"/>
  <c r="Q24" i="1"/>
  <c r="O24" i="1"/>
  <c r="F24" i="1"/>
  <c r="O20" i="1"/>
  <c r="F20" i="1"/>
  <c r="M19" i="1"/>
  <c r="S18" i="1"/>
  <c r="AQ18" i="1" s="1"/>
  <c r="Q18" i="1"/>
  <c r="Q17" i="1"/>
  <c r="O17" i="1"/>
  <c r="Q16" i="1"/>
  <c r="O16" i="1"/>
  <c r="Q15" i="1"/>
  <c r="O15" i="1"/>
  <c r="F15" i="1"/>
  <c r="O14" i="1"/>
  <c r="F14" i="1"/>
  <c r="O13" i="1"/>
  <c r="S42" i="5" l="1"/>
  <c r="S44" i="5" s="1"/>
  <c r="M40" i="1"/>
  <c r="S34" i="1"/>
  <c r="Z30" i="1"/>
  <c r="AD30" i="1" s="1"/>
  <c r="AR17" i="1"/>
  <c r="AR20" i="1"/>
  <c r="S15" i="1"/>
  <c r="O19" i="1"/>
  <c r="O21" i="1" s="1"/>
  <c r="S24" i="1"/>
  <c r="Z31" i="1"/>
  <c r="AD31" i="1" s="1"/>
  <c r="Z37" i="1"/>
  <c r="Z35" i="1"/>
  <c r="Z36" i="1"/>
  <c r="AK11" i="1"/>
  <c r="AK19" i="1" s="1"/>
  <c r="Z24" i="1"/>
  <c r="Z32" i="1"/>
  <c r="S17" i="1"/>
  <c r="S28" i="1"/>
  <c r="S30" i="1"/>
  <c r="Z26" i="1"/>
  <c r="S16" i="1"/>
  <c r="AD20" i="1"/>
  <c r="Z28" i="1"/>
  <c r="AD28" i="1" s="1"/>
  <c r="Z34" i="1"/>
  <c r="AD34" i="1" s="1"/>
  <c r="AD14" i="1"/>
  <c r="Q19" i="1"/>
  <c r="Q21" i="1" s="1"/>
  <c r="S20" i="1"/>
  <c r="Z19" i="1"/>
  <c r="AB19" i="1"/>
  <c r="AB21" i="1" s="1"/>
  <c r="AD17" i="1"/>
  <c r="S25" i="1"/>
  <c r="AI40" i="1"/>
  <c r="AK33" i="1"/>
  <c r="AK14" i="1"/>
  <c r="AO14" i="1" s="1"/>
  <c r="AM21" i="1"/>
  <c r="AM40" i="1" s="1"/>
  <c r="Z16" i="1"/>
  <c r="Z13" i="1"/>
  <c r="Z15" i="1"/>
  <c r="Z25" i="1"/>
  <c r="Z27" i="1"/>
  <c r="S13" i="1"/>
  <c r="F19" i="1"/>
  <c r="F21" i="1" s="1"/>
  <c r="D21" i="1"/>
  <c r="S26" i="1"/>
  <c r="S46" i="5" l="1"/>
  <c r="AQ34" i="1"/>
  <c r="AK24" i="1"/>
  <c r="O33" i="1"/>
  <c r="S33" i="1" s="1"/>
  <c r="AB33" i="1"/>
  <c r="AB38" i="1" s="1"/>
  <c r="AB40" i="1" s="1"/>
  <c r="Q33" i="1"/>
  <c r="X38" i="1"/>
  <c r="X40" i="1" s="1"/>
  <c r="Z33" i="1"/>
  <c r="AR33" i="1" s="1"/>
  <c r="AQ14" i="1"/>
  <c r="AR14" i="1"/>
  <c r="AD25" i="1"/>
  <c r="AD36" i="1"/>
  <c r="AD15" i="1"/>
  <c r="AD24" i="1"/>
  <c r="AQ24" i="1" s="1"/>
  <c r="AR24" i="1"/>
  <c r="AD35" i="1"/>
  <c r="AD13" i="1"/>
  <c r="AQ13" i="1" s="1"/>
  <c r="AD32" i="1"/>
  <c r="AD26" i="1"/>
  <c r="AQ26" i="1" s="1"/>
  <c r="AQ28" i="1"/>
  <c r="AD37" i="1"/>
  <c r="S19" i="1"/>
  <c r="S21" i="1" s="1"/>
  <c r="AD19" i="1"/>
  <c r="AR19" i="1"/>
  <c r="AQ17" i="1"/>
  <c r="AD16" i="1"/>
  <c r="AQ16" i="1" s="1"/>
  <c r="F32" i="1"/>
  <c r="D38" i="1"/>
  <c r="D40" i="1" s="1"/>
  <c r="Q32" i="1"/>
  <c r="AK36" i="1"/>
  <c r="AO36" i="1" s="1"/>
  <c r="AK37" i="1"/>
  <c r="AO37" i="1" s="1"/>
  <c r="AK35" i="1"/>
  <c r="AO35" i="1" s="1"/>
  <c r="AK30" i="1"/>
  <c r="AR30" i="1" s="1"/>
  <c r="AK15" i="1"/>
  <c r="AK34" i="1"/>
  <c r="AR34" i="1" s="1"/>
  <c r="AK28" i="1"/>
  <c r="AR28" i="1" s="1"/>
  <c r="AK13" i="1"/>
  <c r="AR13" i="1" s="1"/>
  <c r="AK32" i="1"/>
  <c r="AK26" i="1"/>
  <c r="AR26" i="1" s="1"/>
  <c r="AK27" i="1"/>
  <c r="AO27" i="1" s="1"/>
  <c r="AK31" i="1"/>
  <c r="AK25" i="1"/>
  <c r="AR25" i="1" s="1"/>
  <c r="AK16" i="1"/>
  <c r="AR16" i="1" s="1"/>
  <c r="AD27" i="1"/>
  <c r="AO21" i="1"/>
  <c r="Z21" i="1"/>
  <c r="AD33" i="1" l="1"/>
  <c r="AQ33" i="1" s="1"/>
  <c r="O38" i="1"/>
  <c r="O40" i="1" s="1"/>
  <c r="O47" i="1" s="1"/>
  <c r="Q38" i="1"/>
  <c r="Q40" i="1" s="1"/>
  <c r="Z38" i="1"/>
  <c r="Z40" i="1" s="1"/>
  <c r="Z47" i="1" s="1"/>
  <c r="AR32" i="1"/>
  <c r="AD21" i="1"/>
  <c r="AQ21" i="1" s="1"/>
  <c r="AR37" i="1"/>
  <c r="AQ37" i="1"/>
  <c r="AK38" i="1"/>
  <c r="AK21" i="1"/>
  <c r="AR27" i="1"/>
  <c r="AR35" i="1"/>
  <c r="AR15" i="1"/>
  <c r="AR36" i="1"/>
  <c r="AQ27" i="1"/>
  <c r="AQ19" i="1"/>
  <c r="AQ35" i="1"/>
  <c r="AQ36" i="1"/>
  <c r="AO31" i="1"/>
  <c r="AO38" i="1" s="1"/>
  <c r="AR31" i="1"/>
  <c r="S32" i="1"/>
  <c r="S38" i="1" s="1"/>
  <c r="F38" i="1"/>
  <c r="AD38" i="1" l="1"/>
  <c r="AD40" i="1" s="1"/>
  <c r="AD51" i="1" s="1"/>
  <c r="AD52" i="1" s="1"/>
  <c r="O42" i="1"/>
  <c r="O44" i="1" s="1"/>
  <c r="AK40" i="1"/>
  <c r="AK42" i="1" s="1"/>
  <c r="AK44" i="1" s="1"/>
  <c r="AQ31" i="1"/>
  <c r="AR21" i="1"/>
  <c r="S40" i="1"/>
  <c r="S42" i="1" s="1"/>
  <c r="S44" i="1" s="1"/>
  <c r="AQ32" i="1"/>
  <c r="AO40" i="1"/>
  <c r="AO42" i="1" s="1"/>
  <c r="AO44" i="1" s="1"/>
  <c r="AO46" i="1" s="1"/>
  <c r="F40" i="1"/>
  <c r="F42" i="1" s="1"/>
  <c r="AR38" i="1"/>
  <c r="Z42" i="1"/>
  <c r="Z44" i="1" s="1"/>
  <c r="S46" i="1" l="1"/>
  <c r="AD42" i="1"/>
  <c r="AD44" i="1" s="1"/>
  <c r="AD46" i="1" s="1"/>
  <c r="AQ38" i="1"/>
  <c r="AQ40" i="1"/>
  <c r="F44" i="1"/>
  <c r="AR44" i="1" s="1"/>
  <c r="AR40" i="1"/>
  <c r="AQ44" i="1" l="1"/>
</calcChain>
</file>

<file path=xl/comments1.xml><?xml version="1.0" encoding="utf-8"?>
<comments xmlns="http://schemas.openxmlformats.org/spreadsheetml/2006/main">
  <authors>
    <author>Brandon, Annette</author>
    <author>gzhkw6</author>
  </authors>
  <commentList>
    <comment ref="AD16" authorId="0" shapeId="0">
      <text>
        <r>
          <rPr>
            <b/>
            <sz val="9"/>
            <color indexed="81"/>
            <rFont val="Tahoma"/>
            <charset val="1"/>
          </rPr>
          <t>Brandon, Annette:</t>
        </r>
        <r>
          <rPr>
            <sz val="9"/>
            <color indexed="81"/>
            <rFont val="Tahoma"/>
            <charset val="1"/>
          </rPr>
          <t xml:space="preserve">
exclude bc included in Transmission adjustment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Brandon, Annette:456700 ED.WA line 93 excel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456700 ED.ID. Line 96 (excel)
plus 456030 Clearwater Directly assigned</t>
        </r>
      </text>
    </comment>
    <comment ref="M33" authorId="1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plus Weather Adjustment retail load change times monthly retail revenue adjustment rate (weighted pro-ration).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Tara's weather adjustment</t>
        </r>
      </text>
    </comment>
  </commentList>
</comments>
</file>

<file path=xl/comments2.xml><?xml version="1.0" encoding="utf-8"?>
<comments xmlns="http://schemas.openxmlformats.org/spreadsheetml/2006/main">
  <authors>
    <author>Brandon, Annette</author>
    <author>annette brandon</author>
  </authors>
  <commentList>
    <comment ref="D31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This was load reduction inland empire paper - was recorded by Cheryl in "other"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Natural Gas Other Purchase + Misc. Power supply</t>
        </r>
      </text>
    </comment>
    <comment ref="H89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why were these positive last year?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REC Journal not ERM Journal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REC Journal - 557171 moved from 557 account totals above because it's an offset to Revenue.
</t>
        </r>
      </text>
    </comment>
    <comment ref="E108" authorId="1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456700 is allocated incorrectly on ERM Actual worksheet.  ROO is correct.  WA is included as if it is "AN" and then allocated when it is already assigned only to WA</t>
        </r>
      </text>
    </comment>
    <comment ref="H108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Cheryl's workbook</t>
        </r>
      </text>
    </comment>
    <comment ref="E109" authorId="1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</t>
        </r>
      </text>
    </comment>
    <comment ref="E110" authorId="1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account; includes 557171 as reconciling item</t>
        </r>
      </text>
    </comment>
  </commentList>
</comments>
</file>

<file path=xl/comments3.xml><?xml version="1.0" encoding="utf-8"?>
<comments xmlns="http://schemas.openxmlformats.org/spreadsheetml/2006/main">
  <authors>
    <author>Brandon, Annette</author>
    <author>gzhkw6</author>
  </authors>
  <commentList>
    <comment ref="D17" authorId="0" shapeId="0">
      <text>
        <r>
          <rPr>
            <b/>
            <sz val="9"/>
            <color indexed="81"/>
            <rFont val="Tahoma"/>
            <family val="2"/>
          </rPr>
          <t>Brandon, Annette:456700 ED.WA line 93 excel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456700 ED.ID. Line 96 (excel)
plus 456030 Clearwater Directly assigned</t>
        </r>
      </text>
    </comment>
    <comment ref="M33" authorId="1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plus Weather Adjustment retail load change times monthly retail revenue adjustment rate (weighted pro-ration).</t>
        </r>
      </text>
    </comment>
    <comment ref="X33" authorId="1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retail load change times monthly retail revenue adjustment rate (weighted pro-ration).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Tara's weather adjustment</t>
        </r>
      </text>
    </comment>
  </commentList>
</comments>
</file>

<file path=xl/sharedStrings.xml><?xml version="1.0" encoding="utf-8"?>
<sst xmlns="http://schemas.openxmlformats.org/spreadsheetml/2006/main" count="575" uniqueCount="247">
  <si>
    <t>Avista Corporation</t>
  </si>
  <si>
    <t>NET</t>
  </si>
  <si>
    <t>WA Share</t>
  </si>
  <si>
    <t>CHANGE</t>
  </si>
  <si>
    <t>NET CHANGE</t>
  </si>
  <si>
    <t>Power</t>
  </si>
  <si>
    <t>Total</t>
  </si>
  <si>
    <t>Supply</t>
  </si>
  <si>
    <t>Washington</t>
  </si>
  <si>
    <t>System</t>
  </si>
  <si>
    <t>Amounts</t>
  </si>
  <si>
    <t>P/T Allocation Percentages</t>
  </si>
  <si>
    <t>(1)</t>
  </si>
  <si>
    <t>447 Sales for Resale</t>
  </si>
  <si>
    <t>453 Sales of Water and Water Power</t>
  </si>
  <si>
    <t>454 Misc Rents</t>
  </si>
  <si>
    <t>456 Transmission Wheeling Revenue</t>
  </si>
  <si>
    <t>Direct WA</t>
  </si>
  <si>
    <t>Direct ID</t>
  </si>
  <si>
    <t>456 Other Electric Revenue</t>
  </si>
  <si>
    <t>456 Other Electric Revenue-Direct WA</t>
  </si>
  <si>
    <t xml:space="preserve">   Total Revenue</t>
  </si>
  <si>
    <t>501 Thermal Fuel Expense</t>
  </si>
  <si>
    <t>546 Other Power Gen Supvsn &amp; Eng</t>
  </si>
  <si>
    <t>547 Other Fuel Expense</t>
  </si>
  <si>
    <t>536 Water for Power</t>
  </si>
  <si>
    <t>555 Purchased Power</t>
  </si>
  <si>
    <t>549 Misc Other Gen Expense</t>
  </si>
  <si>
    <t>550 Rents</t>
  </si>
  <si>
    <t>556 System Control &amp; Dispatch</t>
  </si>
  <si>
    <t>557 Other Expenses</t>
  </si>
  <si>
    <t>XXX Other Expenses-Direct WA</t>
  </si>
  <si>
    <t>(2)</t>
  </si>
  <si>
    <t>565 Trans. of Elec. by Others</t>
  </si>
  <si>
    <t xml:space="preserve">   Total Expense</t>
  </si>
  <si>
    <t>Net Income Before Income Taxes</t>
  </si>
  <si>
    <t>Federal Income Tax</t>
  </si>
  <si>
    <t>Net Income</t>
  </si>
  <si>
    <t xml:space="preserve">Net Change in Revenue Requirement </t>
  </si>
  <si>
    <t>MWhs</t>
  </si>
  <si>
    <t>load change</t>
  </si>
  <si>
    <t>load change power cost</t>
  </si>
  <si>
    <t>2018 Pro Forma not in ERM</t>
  </si>
  <si>
    <t>566 Misc. Transmission Exp</t>
  </si>
  <si>
    <t>XXX Other Transmission Expenses</t>
  </si>
  <si>
    <t>570 Maintenance of Station Equipment</t>
  </si>
  <si>
    <t>WA Power Supply/Transmission Actual Net Cost</t>
  </si>
  <si>
    <t>Non-ERM</t>
  </si>
  <si>
    <t>Non-ERM  Costs</t>
  </si>
  <si>
    <t>ERM Retail Revenue Adjustment rate</t>
  </si>
  <si>
    <t>Total Adjustment</t>
  </si>
  <si>
    <t>Check</t>
  </si>
  <si>
    <t>WA Power Supply/Transmission 
Pro Forma Net Costs</t>
  </si>
  <si>
    <t>Pro Forma 
12 ME 04.2019</t>
  </si>
  <si>
    <t>Adjustment</t>
  </si>
  <si>
    <t>TOTAL NET EXPENSE</t>
  </si>
  <si>
    <t>TOTAL REVENUE</t>
  </si>
  <si>
    <t>Upstream Storage Revenue</t>
  </si>
  <si>
    <t>453 SALES OF WATER AND WATER POWER</t>
  </si>
  <si>
    <t xml:space="preserve"> </t>
  </si>
  <si>
    <t>Total Account 456</t>
  </si>
  <si>
    <t>Gas Not Consumed Sales Revenue</t>
  </si>
  <si>
    <t>456 OTHER ELECTRIC REVENUE</t>
  </si>
  <si>
    <t>Total Account 447</t>
  </si>
  <si>
    <t>Intracompany Generation</t>
  </si>
  <si>
    <t>COB Optimization</t>
  </si>
  <si>
    <t>Energy America</t>
  </si>
  <si>
    <t>Pend Oreille DES &amp; Spinning</t>
  </si>
  <si>
    <t>Sovereign/Kaiser DES</t>
  </si>
  <si>
    <t>Nichols Pumping Sale</t>
  </si>
  <si>
    <t>PGE Capacity Sale</t>
  </si>
  <si>
    <t>Actual ST Market Sales - Financial M-to-M</t>
  </si>
  <si>
    <t>Actual ST Market Sales - Physical</t>
  </si>
  <si>
    <t>Modeled Short-Term Market Sales</t>
  </si>
  <si>
    <t>447 SALES FOR RESALE</t>
  </si>
  <si>
    <t>TOTAL EXPENSE</t>
  </si>
  <si>
    <t>Headwater Benefits Payments</t>
  </si>
  <si>
    <t>536 WATER FOR POWER</t>
  </si>
  <si>
    <t>Total Account 565</t>
  </si>
  <si>
    <t>PGE Firm Wheeling</t>
  </si>
  <si>
    <t>Northwestern for Colstrip</t>
  </si>
  <si>
    <t>Sagle-Northern Lights</t>
  </si>
  <si>
    <t>Kootenai for Worley</t>
  </si>
  <si>
    <t>Avista on BPA - Borderline</t>
  </si>
  <si>
    <t>BPA Townsend-Garrison Wheeling</t>
  </si>
  <si>
    <t>BPA PTP for Colstrip, Coyote &amp; Lancaster</t>
  </si>
  <si>
    <t>Short-term Transmission Purchases</t>
  </si>
  <si>
    <t>WNP-3</t>
  </si>
  <si>
    <t>565 TRANSMISSION OF ELECTRICITY BY OTHERS</t>
  </si>
  <si>
    <t>Total Account 547</t>
  </si>
  <si>
    <t>Kettle Falls CT Gas</t>
  </si>
  <si>
    <t>Boulder Park Gas</t>
  </si>
  <si>
    <t>Northeast CT Gas</t>
  </si>
  <si>
    <t>Rathdrum  Gas</t>
  </si>
  <si>
    <t>Gas Transportation for BP, NE and KFCT</t>
  </si>
  <si>
    <t>Actual Financial Gas Transactions M-to-M</t>
  </si>
  <si>
    <t>Lancaster Gas Transportation</t>
  </si>
  <si>
    <t>Lancaster Gas</t>
  </si>
  <si>
    <t>Coyote Springs 2 Gas Transportation</t>
  </si>
  <si>
    <t>Coyote Springs Gas</t>
  </si>
  <si>
    <t>547 OTHER FUEL EXPENSE</t>
  </si>
  <si>
    <t>Total Account 501</t>
  </si>
  <si>
    <t>Colstrip - Oil</t>
  </si>
  <si>
    <t>Colstrip - Coal</t>
  </si>
  <si>
    <t>Kettle Falls - Start-up Gas</t>
  </si>
  <si>
    <t>Kettle Falls - Wood Fuel</t>
  </si>
  <si>
    <t>501 THERMAL FUEL EXPENSE</t>
  </si>
  <si>
    <t>Total Account 557</t>
  </si>
  <si>
    <t>Natural Gas Fuel Purchases</t>
  </si>
  <si>
    <t>Broker Commission Fees</t>
  </si>
  <si>
    <t>557 OTHER EXPENSES</t>
  </si>
  <si>
    <t>Total Account 555</t>
  </si>
  <si>
    <t>Palouse Wind</t>
  </si>
  <si>
    <t>Ancillary Services</t>
  </si>
  <si>
    <t xml:space="preserve">Non-Monetary </t>
  </si>
  <si>
    <t>Spokane Waste-to-Energy</t>
  </si>
  <si>
    <t>Spokane-Upriver</t>
  </si>
  <si>
    <t>Stimson</t>
  </si>
  <si>
    <t>Small Power</t>
  </si>
  <si>
    <t>Deer Lake-IP&amp;L</t>
  </si>
  <si>
    <t>Lancaster Capacity Payment</t>
  </si>
  <si>
    <t>Douglas Settlement</t>
  </si>
  <si>
    <t>Priest Rapids Project</t>
  </si>
  <si>
    <t>Wells - Avista Share</t>
  </si>
  <si>
    <t>Rocky Reach/Rock Island Purchase</t>
  </si>
  <si>
    <t>Actual ST Purchases - Financial M-to-M</t>
  </si>
  <si>
    <t>Actual ST Market Purchases</t>
  </si>
  <si>
    <t>Modeled ST Market Purchases</t>
  </si>
  <si>
    <t>555 PURCHASED POWER</t>
  </si>
  <si>
    <t>Actuals</t>
  </si>
  <si>
    <t>No.</t>
  </si>
  <si>
    <t>Line</t>
  </si>
  <si>
    <t>Power Supply Pro forma - Washington Jurisdiction</t>
  </si>
  <si>
    <t>Avista Corp.</t>
  </si>
  <si>
    <t>Miscellaneous</t>
  </si>
  <si>
    <t>WA Power Supply Commission Basis Net Costs</t>
  </si>
  <si>
    <t>Average Cost per MWh</t>
  </si>
  <si>
    <t>12.31.2017 Normalized Historical Loads</t>
  </si>
  <si>
    <t>Weather adj load change power cost</t>
  </si>
  <si>
    <t>weather adjustment load change</t>
  </si>
  <si>
    <t>$/MWh</t>
  </si>
  <si>
    <t>Fuel Handling Costs not included in ERM</t>
  </si>
  <si>
    <t>Labor</t>
  </si>
  <si>
    <t>Deferrals &amp; Amorts</t>
  </si>
  <si>
    <t>Nez Perce &amp; other</t>
  </si>
  <si>
    <t>Misc Elec Rev</t>
  </si>
  <si>
    <t>Decoupling</t>
  </si>
  <si>
    <t>Transmission Revenue</t>
  </si>
  <si>
    <t>Avista Utilities</t>
  </si>
  <si>
    <t>Commission Basis Power Supply</t>
  </si>
  <si>
    <t xml:space="preserve">ERM Authorized Values changed 5/1/2018 </t>
  </si>
  <si>
    <t>Avista Corp</t>
  </si>
  <si>
    <t>ERM Authorized Expense and Retail Sales</t>
  </si>
  <si>
    <t>ERM Authorized Power Supply Expense - System Numbers (1)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</si>
  <si>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</si>
  <si>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</si>
  <si>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</si>
  <si>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</si>
  <si>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</si>
  <si>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</si>
  <si>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</si>
  <si>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</si>
  <si>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</si>
  <si>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</si>
  <si>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</si>
  <si>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</si>
  <si>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Account 555 - Purchased Power</t>
  </si>
  <si>
    <t>Account 501 - Thermal Fuel</t>
  </si>
  <si>
    <t>Account 547 - Natural Gas Fuel</t>
  </si>
  <si>
    <t>Account 447 - Sale for Resale</t>
  </si>
  <si>
    <t>Power Supply Expense</t>
  </si>
  <si>
    <t>Transmission Expense</t>
  </si>
  <si>
    <t>Broker Fees</t>
  </si>
  <si>
    <t>WA Share of System Costs</t>
  </si>
  <si>
    <t>ERM Authorized Washington Retail Sales (2)</t>
  </si>
  <si>
    <t>Total Retail Sales, MWh (2)</t>
  </si>
  <si>
    <t>/MWh</t>
  </si>
  <si>
    <t>UE-170485 Authorized</t>
  </si>
  <si>
    <t>Effective beginning 5/1/2018</t>
  </si>
  <si>
    <t>Pro forma May 2018 - April 2019</t>
  </si>
  <si>
    <t>January through December 2016 Historic Normalized Loads</t>
  </si>
  <si>
    <t xml:space="preserve">     Total</t>
  </si>
  <si>
    <t>WA Only Adjustment (3)</t>
  </si>
  <si>
    <t>Total WA Share of System Costs</t>
  </si>
  <si>
    <t>Retail Revenue Adjustment Rate</t>
  </si>
  <si>
    <t>(1)  Multiply system numbers by 65.73% to determine Washington share.</t>
  </si>
  <si>
    <t>(2)  Twelve months ended December 2016 normalized monthly WA Retail Sales.</t>
  </si>
  <si>
    <t>(3) Adjustment per final order No 07 UE-170485 to match revenue requirement of $14.519 million</t>
  </si>
  <si>
    <t>Ferc Acct</t>
  </si>
  <si>
    <t>Clearwater Power Company</t>
  </si>
  <si>
    <t>Gas Transport Optimization</t>
  </si>
  <si>
    <t>Federal Income Tax (pro-rated rate)</t>
  </si>
  <si>
    <t xml:space="preserve">(2)  Includes authorized directly assigned reductions and a power cost adjustment for change in WA retail loads from authorized.  </t>
  </si>
  <si>
    <t>(3)</t>
  </si>
  <si>
    <t>WA Power Supply Current Authorized Net Costs</t>
  </si>
  <si>
    <t>Solar Select</t>
  </si>
  <si>
    <t>Per Results</t>
  </si>
  <si>
    <t>Eliminate Power Cost of Weather Adjustment</t>
  </si>
  <si>
    <t>Production Transmission Ratio True-Up</t>
  </si>
  <si>
    <t>Decoupling Normalization Cost Change</t>
  </si>
  <si>
    <t>ERM Retail Revenue Adjustment rate (weighted average)</t>
  </si>
  <si>
    <t>P/T Allocation Percentages (authorized weighted average)</t>
  </si>
  <si>
    <t>Earnings Test Power Cost True-Up</t>
  </si>
  <si>
    <t>Earnings Test Only
Adjustment</t>
  </si>
  <si>
    <t>Twelve Months Ended December 2019 Embedded Authorized Power Supply</t>
  </si>
  <si>
    <t>In effect all of 2019</t>
  </si>
  <si>
    <t xml:space="preserve">System Numbers - 12.2019 Actual </t>
  </si>
  <si>
    <t>Rthdrum Power LLC</t>
  </si>
  <si>
    <t>ties to Journal</t>
  </si>
  <si>
    <t>12.2019</t>
  </si>
  <si>
    <t>Misc. Power Supply Expense - 557160</t>
  </si>
  <si>
    <t>Clearwater - ID</t>
  </si>
  <si>
    <t>Rathdrum Solar, Buck-a-Block (combined in line 21)</t>
  </si>
  <si>
    <t>Solar Select 555040</t>
  </si>
  <si>
    <t>WNP Mid and  Solar Select 555710</t>
  </si>
  <si>
    <t>12.31.2019 Historical Loads</t>
  </si>
  <si>
    <t>12.2019 Actual</t>
  </si>
  <si>
    <t>12 ME 12.2019 Actual</t>
  </si>
  <si>
    <t>Non-WA EIA REC Sales</t>
  </si>
  <si>
    <t>12 ME 12.2019 Normalized</t>
  </si>
  <si>
    <t>Restated 12.2019</t>
  </si>
  <si>
    <t>12.2019 Actual per books</t>
  </si>
  <si>
    <t>UE-170485 authorized</t>
  </si>
  <si>
    <t>Retail Revenue Adjustment rate</t>
  </si>
  <si>
    <t>12.2019 Weather Normalized</t>
  </si>
  <si>
    <t>check</t>
  </si>
  <si>
    <t>ERM 12.2019 Embedded Authorized</t>
  </si>
  <si>
    <t>Decoupling Normalized Power Cost 2019 Authorized Actual</t>
  </si>
  <si>
    <t>2017 GRC Power Supply - 12.2016 Historical Loads with RRA for WA load change to match 2019 normalized revenue with 2019 actual allocation</t>
  </si>
  <si>
    <t>2017 GRC Power Supply - 12.2016 Historical Loads with RRA for WA load change to match 2019 actual revenue with 2019 ERM allocation</t>
  </si>
  <si>
    <t>REC Expenses (offset to REC Revenue) 5657171</t>
  </si>
  <si>
    <r>
      <t>(1)  65.73% per UE-170485 authorized. ROO current production/transmission allocation ratio</t>
    </r>
    <r>
      <rPr>
        <sz val="10"/>
        <color rgb="FFFF0000"/>
        <rFont val="Arial"/>
        <family val="2"/>
      </rPr>
      <t xml:space="preserve"> 65.64%.</t>
    </r>
  </si>
  <si>
    <t>WA Power Supply Pro Forma Net Costs</t>
  </si>
  <si>
    <t>DONE</t>
  </si>
  <si>
    <t>12.31.2019 Normalized Historical Loads</t>
  </si>
  <si>
    <t>Pro Forma 
12 ME 08.2022</t>
  </si>
  <si>
    <t>Comes from Revenue Normalized Adjustment</t>
  </si>
  <si>
    <t>Review workpaper</t>
  </si>
  <si>
    <t>Consolidated Irrigation should be updated to what we charge them in April.</t>
  </si>
  <si>
    <t>This is directly assigned $144 per month more.</t>
  </si>
  <si>
    <t>Washington-only</t>
  </si>
  <si>
    <t>WA EIA REC Sales - 557171</t>
  </si>
  <si>
    <t>pulls to adjustment page</t>
  </si>
  <si>
    <t>Power Supply Workpaper</t>
  </si>
  <si>
    <t>Transmission</t>
  </si>
  <si>
    <t>09.01.2021 - 08.31.2022 ERM Proposed Authorized</t>
  </si>
  <si>
    <t>STILL NEEDS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</si>
</sst>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&quot;$&quot;#,##0.00"/>
    <numFmt numFmtId="168" formatCode="0.0"/>
    <numFmt numFmtId="169" formatCode="0.00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Geneva"/>
    </font>
    <font>
      <u/>
      <sz val="10"/>
      <name val="Geneva"/>
    </font>
    <font>
      <b/>
      <sz val="10"/>
      <color rgb="FFFF0000"/>
      <name val="Geneva"/>
    </font>
    <font>
      <b/>
      <sz val="11"/>
      <color theme="1"/>
      <name val="Calibri"/>
      <family val="2"/>
      <scheme val="minor"/>
    </font>
    <font>
      <b/>
      <sz val="12"/>
      <name val="Geneva"/>
    </font>
    <font>
      <b/>
      <u/>
      <sz val="10"/>
      <name val="Geneva"/>
    </font>
    <font>
      <b/>
      <sz val="14"/>
      <color theme="1"/>
      <name val="Calibri"/>
      <family val="2"/>
      <scheme val="minor"/>
    </font>
    <font>
      <sz val="10"/>
      <color rgb="FF0000FF"/>
      <name val="Arial"/>
      <family val="2"/>
    </font>
    <font>
      <sz val="9"/>
      <color rgb="FFFF0000"/>
      <name val="Calibri"/>
      <family val="2"/>
      <scheme val="minor"/>
    </font>
    <font>
      <sz val="8"/>
      <color rgb="FFFF0000"/>
      <name val="Geneva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fgColor theme="9"/>
      </patternFill>
    </fill>
    <fill>
      <patternFill patternType="solid">
        <fgColor rgb="FF92D050"/>
        <bgColor indexed="64"/>
      </patternFill>
    </fill>
    <fill>
      <patternFill patternType="solid">
        <fgColor rgb="FFFCD4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0" fillId="0" borderId="0"/>
  </cellStyleXfs>
  <cellXfs count="253">
    <xf numFmtId="0" fontId="0" fillId="0" borderId="0" xfId="0"/>
    <xf numFmtId="0" fontId="3" fillId="0" borderId="0" xfId="5" applyAlignment="1">
      <alignment horizontal="centerContinuous"/>
    </xf>
    <xf numFmtId="0" fontId="3" fillId="2" borderId="0" xfId="5" applyFill="1"/>
    <xf numFmtId="0" fontId="3" fillId="0" borderId="0" xfId="5"/>
    <xf numFmtId="0" fontId="3" fillId="2" borderId="0" xfId="5" applyFill="1" applyAlignment="1">
      <alignment horizontal="centerContinuous"/>
    </xf>
    <xf numFmtId="0" fontId="6" fillId="0" borderId="0" xfId="5" applyFont="1" applyAlignment="1">
      <alignment horizontal="centerContinuous"/>
    </xf>
    <xf numFmtId="0" fontId="3" fillId="2" borderId="0" xfId="5" applyFill="1" applyBorder="1"/>
    <xf numFmtId="164" fontId="9" fillId="2" borderId="0" xfId="4" applyNumberFormat="1" applyFont="1" applyFill="1" applyBorder="1" applyAlignment="1">
      <alignment horizontal="center"/>
    </xf>
    <xf numFmtId="0" fontId="3" fillId="0" borderId="0" xfId="5" applyAlignment="1">
      <alignment horizontal="center"/>
    </xf>
    <xf numFmtId="0" fontId="3" fillId="0" borderId="0" xfId="5" applyBorder="1"/>
    <xf numFmtId="0" fontId="6" fillId="0" borderId="0" xfId="5" applyFont="1" applyAlignment="1">
      <alignment horizontal="center"/>
    </xf>
    <xf numFmtId="16" fontId="6" fillId="0" borderId="0" xfId="5" applyNumberFormat="1" applyFont="1" applyBorder="1" applyAlignment="1">
      <alignment horizontal="left"/>
    </xf>
    <xf numFmtId="10" fontId="0" fillId="0" borderId="0" xfId="6" applyNumberFormat="1" applyFont="1" applyAlignment="1">
      <alignment horizontal="center"/>
    </xf>
    <xf numFmtId="10" fontId="0" fillId="2" borderId="0" xfId="6" applyNumberFormat="1" applyFont="1" applyFill="1" applyAlignment="1">
      <alignment horizontal="center"/>
    </xf>
    <xf numFmtId="10" fontId="3" fillId="0" borderId="0" xfId="6" applyNumberFormat="1" applyFont="1" applyBorder="1" applyAlignment="1">
      <alignment horizontal="left"/>
    </xf>
    <xf numFmtId="10" fontId="0" fillId="0" borderId="0" xfId="6" applyNumberFormat="1" applyFont="1" applyFill="1" applyAlignment="1">
      <alignment horizontal="center"/>
    </xf>
    <xf numFmtId="10" fontId="0" fillId="2" borderId="0" xfId="6" quotePrefix="1" applyNumberFormat="1" applyFont="1" applyFill="1" applyAlignment="1">
      <alignment horizontal="center"/>
    </xf>
    <xf numFmtId="166" fontId="3" fillId="0" borderId="0" xfId="5" applyNumberFormat="1"/>
    <xf numFmtId="166" fontId="3" fillId="0" borderId="0" xfId="5" applyNumberFormat="1" applyBorder="1"/>
    <xf numFmtId="0" fontId="3" fillId="0" borderId="0" xfId="5" applyFill="1"/>
    <xf numFmtId="166" fontId="3" fillId="0" borderId="0" xfId="5" applyNumberFormat="1" applyFill="1"/>
    <xf numFmtId="3" fontId="3" fillId="0" borderId="0" xfId="5" applyNumberFormat="1"/>
    <xf numFmtId="3" fontId="3" fillId="0" borderId="0" xfId="5" applyNumberFormat="1" applyBorder="1"/>
    <xf numFmtId="3" fontId="3" fillId="0" borderId="0" xfId="5" applyNumberFormat="1" applyFill="1"/>
    <xf numFmtId="164" fontId="3" fillId="0" borderId="0" xfId="1" applyNumberFormat="1" applyFont="1"/>
    <xf numFmtId="166" fontId="3" fillId="0" borderId="0" xfId="5" applyNumberFormat="1" applyFont="1" applyFill="1" applyAlignment="1">
      <alignment horizontal="center"/>
    </xf>
    <xf numFmtId="0" fontId="3" fillId="0" borderId="0" xfId="7" applyFont="1" applyFill="1" applyAlignment="1">
      <alignment horizontal="center"/>
    </xf>
    <xf numFmtId="3" fontId="3" fillId="0" borderId="0" xfId="5" applyNumberFormat="1" applyFill="1" applyBorder="1"/>
    <xf numFmtId="3" fontId="3" fillId="0" borderId="0" xfId="5" applyNumberFormat="1" applyFont="1" applyFill="1"/>
    <xf numFmtId="3" fontId="3" fillId="0" borderId="2" xfId="5" applyNumberFormat="1" applyBorder="1"/>
    <xf numFmtId="3" fontId="3" fillId="0" borderId="2" xfId="5" applyNumberFormat="1" applyFill="1" applyBorder="1"/>
    <xf numFmtId="164" fontId="3" fillId="0" borderId="2" xfId="1" applyNumberFormat="1" applyFont="1" applyBorder="1"/>
    <xf numFmtId="164" fontId="3" fillId="0" borderId="0" xfId="1" applyNumberFormat="1" applyFont="1" applyFill="1"/>
    <xf numFmtId="166" fontId="11" fillId="0" borderId="0" xfId="5" applyNumberFormat="1" applyFont="1" applyFill="1"/>
    <xf numFmtId="0" fontId="3" fillId="0" borderId="0" xfId="5" quotePrefix="1" applyFill="1"/>
    <xf numFmtId="3" fontId="3" fillId="0" borderId="3" xfId="5" applyNumberFormat="1" applyBorder="1"/>
    <xf numFmtId="3" fontId="3" fillId="0" borderId="3" xfId="5" applyNumberFormat="1" applyFill="1" applyBorder="1"/>
    <xf numFmtId="9" fontId="3" fillId="0" borderId="0" xfId="5" applyNumberFormat="1"/>
    <xf numFmtId="166" fontId="3" fillId="0" borderId="2" xfId="5" applyNumberFormat="1" applyBorder="1"/>
    <xf numFmtId="0" fontId="7" fillId="0" borderId="0" xfId="5" applyFont="1"/>
    <xf numFmtId="166" fontId="7" fillId="0" borderId="0" xfId="5" applyNumberFormat="1" applyFont="1"/>
    <xf numFmtId="0" fontId="3" fillId="0" borderId="0" xfId="5" applyFont="1"/>
    <xf numFmtId="165" fontId="3" fillId="0" borderId="0" xfId="2" applyNumberFormat="1" applyFont="1" applyBorder="1"/>
    <xf numFmtId="0" fontId="7" fillId="0" borderId="0" xfId="5" applyFont="1" applyFill="1"/>
    <xf numFmtId="0" fontId="3" fillId="0" borderId="0" xfId="5" applyFont="1" applyFill="1"/>
    <xf numFmtId="164" fontId="3" fillId="0" borderId="0" xfId="5" applyNumberFormat="1"/>
    <xf numFmtId="7" fontId="3" fillId="0" borderId="0" xfId="2" applyNumberFormat="1" applyFont="1"/>
    <xf numFmtId="0" fontId="3" fillId="0" borderId="0" xfId="5" quotePrefix="1"/>
    <xf numFmtId="5" fontId="3" fillId="0" borderId="0" xfId="2" applyNumberFormat="1" applyFont="1"/>
    <xf numFmtId="0" fontId="3" fillId="0" borderId="0" xfId="5" applyAlignment="1">
      <alignment horizontal="center" wrapText="1"/>
    </xf>
    <xf numFmtId="0" fontId="6" fillId="0" borderId="0" xfId="5" applyFont="1" applyAlignment="1">
      <alignment wrapText="1"/>
    </xf>
    <xf numFmtId="0" fontId="3" fillId="2" borderId="0" xfId="5" applyFill="1" applyAlignment="1">
      <alignment horizontal="center"/>
    </xf>
    <xf numFmtId="3" fontId="3" fillId="0" borderId="1" xfId="5" applyNumberFormat="1" applyBorder="1"/>
    <xf numFmtId="165" fontId="7" fillId="0" borderId="0" xfId="2" applyNumberFormat="1" applyFont="1" applyFill="1" applyBorder="1"/>
    <xf numFmtId="0" fontId="3" fillId="0" borderId="0" xfId="5" applyAlignment="1">
      <alignment horizontal="center"/>
    </xf>
    <xf numFmtId="164" fontId="3" fillId="0" borderId="0" xfId="1" applyNumberFormat="1" applyFont="1" applyBorder="1"/>
    <xf numFmtId="3" fontId="3" fillId="3" borderId="0" xfId="5" applyNumberFormat="1" applyFill="1"/>
    <xf numFmtId="3" fontId="3" fillId="3" borderId="0" xfId="5" applyNumberFormat="1" applyFill="1" applyBorder="1"/>
    <xf numFmtId="166" fontId="3" fillId="3" borderId="0" xfId="5" applyNumberFormat="1" applyFill="1"/>
    <xf numFmtId="0" fontId="3" fillId="3" borderId="0" xfId="5" applyFill="1"/>
    <xf numFmtId="164" fontId="3" fillId="3" borderId="0" xfId="1" applyNumberFormat="1" applyFont="1" applyFill="1"/>
    <xf numFmtId="3" fontId="3" fillId="0" borderId="1" xfId="5" applyNumberFormat="1" applyFill="1" applyBorder="1"/>
    <xf numFmtId="167" fontId="3" fillId="0" borderId="0" xfId="5" applyNumberFormat="1"/>
    <xf numFmtId="0" fontId="7" fillId="2" borderId="0" xfId="5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6" fontId="0" fillId="0" borderId="0" xfId="0" applyNumberFormat="1"/>
    <xf numFmtId="0" fontId="2" fillId="0" borderId="0" xfId="3"/>
    <xf numFmtId="0" fontId="2" fillId="0" borderId="0" xfId="3" applyAlignment="1">
      <alignment horizontal="left"/>
    </xf>
    <xf numFmtId="0" fontId="2" fillId="0" borderId="2" xfId="3" applyBorder="1"/>
    <xf numFmtId="0" fontId="12" fillId="0" borderId="0" xfId="3" applyFont="1"/>
    <xf numFmtId="0" fontId="2" fillId="0" borderId="0" xfId="3" applyAlignment="1">
      <alignment horizontal="center"/>
    </xf>
    <xf numFmtId="3" fontId="2" fillId="0" borderId="0" xfId="3" applyNumberFormat="1" applyBorder="1" applyAlignment="1">
      <alignment horizontal="right"/>
    </xf>
    <xf numFmtId="3" fontId="2" fillId="0" borderId="3" xfId="3" applyNumberFormat="1" applyBorder="1" applyAlignment="1">
      <alignment horizontal="right"/>
    </xf>
    <xf numFmtId="0" fontId="2" fillId="0" borderId="3" xfId="3" applyBorder="1"/>
    <xf numFmtId="0" fontId="12" fillId="0" borderId="4" xfId="3" applyFont="1" applyBorder="1"/>
    <xf numFmtId="3" fontId="2" fillId="0" borderId="0" xfId="3" applyNumberFormat="1" applyFill="1" applyBorder="1" applyAlignment="1">
      <alignment horizontal="right"/>
    </xf>
    <xf numFmtId="0" fontId="13" fillId="0" borderId="0" xfId="3" applyFont="1" applyBorder="1"/>
    <xf numFmtId="3" fontId="2" fillId="0" borderId="1" xfId="3" applyNumberFormat="1" applyFill="1" applyBorder="1" applyAlignment="1">
      <alignment horizontal="right"/>
    </xf>
    <xf numFmtId="0" fontId="13" fillId="0" borderId="0" xfId="3" applyFont="1"/>
    <xf numFmtId="0" fontId="2" fillId="0" borderId="0" xfId="3" applyFont="1"/>
    <xf numFmtId="0" fontId="2" fillId="0" borderId="0" xfId="3" applyBorder="1"/>
    <xf numFmtId="0" fontId="2" fillId="0" borderId="2" xfId="3" applyFont="1" applyBorder="1"/>
    <xf numFmtId="0" fontId="2" fillId="0" borderId="0" xfId="3" applyBorder="1" applyAlignment="1">
      <alignment horizontal="center"/>
    </xf>
    <xf numFmtId="0" fontId="2" fillId="0" borderId="2" xfId="3" applyNumberFormat="1" applyBorder="1" applyAlignment="1">
      <alignment horizontal="center"/>
    </xf>
    <xf numFmtId="0" fontId="2" fillId="0" borderId="0" xfId="3" applyNumberFormat="1" applyAlignment="1">
      <alignment horizontal="center"/>
    </xf>
    <xf numFmtId="3" fontId="2" fillId="0" borderId="0" xfId="3" applyNumberFormat="1" applyBorder="1"/>
    <xf numFmtId="0" fontId="12" fillId="0" borderId="2" xfId="3" applyFont="1" applyBorder="1" applyAlignment="1">
      <alignment horizontal="center"/>
    </xf>
    <xf numFmtId="0" fontId="13" fillId="0" borderId="0" xfId="3" applyFont="1" applyBorder="1" applyAlignment="1">
      <alignment horizontal="center"/>
    </xf>
    <xf numFmtId="0" fontId="14" fillId="0" borderId="0" xfId="3" applyFont="1" applyAlignment="1">
      <alignment horizontal="center"/>
    </xf>
    <xf numFmtId="14" fontId="2" fillId="0" borderId="0" xfId="3" applyNumberFormat="1" applyAlignment="1">
      <alignment horizontal="left"/>
    </xf>
    <xf numFmtId="14" fontId="2" fillId="0" borderId="0" xfId="3" applyNumberFormat="1" applyAlignment="1">
      <alignment horizontal="center"/>
    </xf>
    <xf numFmtId="0" fontId="12" fillId="0" borderId="0" xfId="3" applyFont="1" applyAlignment="1">
      <alignment horizontal="center"/>
    </xf>
    <xf numFmtId="0" fontId="3" fillId="4" borderId="0" xfId="5" applyFill="1" applyAlignment="1">
      <alignment horizontal="center"/>
    </xf>
    <xf numFmtId="0" fontId="3" fillId="4" borderId="0" xfId="5" applyFill="1" applyAlignment="1">
      <alignment horizontal="centerContinuous"/>
    </xf>
    <xf numFmtId="2" fontId="3" fillId="4" borderId="0" xfId="5" applyNumberFormat="1" applyFill="1" applyAlignment="1">
      <alignment horizontal="centerContinuous"/>
    </xf>
    <xf numFmtId="0" fontId="7" fillId="4" borderId="0" xfId="5" applyFont="1" applyFill="1" applyAlignment="1">
      <alignment horizontal="center" wrapText="1"/>
    </xf>
    <xf numFmtId="0" fontId="3" fillId="0" borderId="0" xfId="5" applyAlignment="1">
      <alignment horizontal="center"/>
    </xf>
    <xf numFmtId="0" fontId="3" fillId="0" borderId="0" xfId="5" applyFill="1" applyAlignment="1">
      <alignment horizontal="right"/>
    </xf>
    <xf numFmtId="0" fontId="3" fillId="0" borderId="0" xfId="5" applyAlignment="1">
      <alignment horizontal="right"/>
    </xf>
    <xf numFmtId="0" fontId="3" fillId="0" borderId="0" xfId="5" applyFill="1" applyAlignment="1">
      <alignment horizontal="center"/>
    </xf>
    <xf numFmtId="0" fontId="3" fillId="0" borderId="0" xfId="5" quotePrefix="1" applyAlignment="1">
      <alignment horizontal="center"/>
    </xf>
    <xf numFmtId="164" fontId="2" fillId="0" borderId="0" xfId="1" applyNumberFormat="1" applyFont="1"/>
    <xf numFmtId="164" fontId="2" fillId="0" borderId="0" xfId="3" applyNumberFormat="1"/>
    <xf numFmtId="164" fontId="2" fillId="0" borderId="1" xfId="3" applyNumberFormat="1" applyBorder="1"/>
    <xf numFmtId="0" fontId="16" fillId="0" borderId="0" xfId="0" applyFont="1" applyFill="1"/>
    <xf numFmtId="0" fontId="0" fillId="0" borderId="0" xfId="0" applyFill="1"/>
    <xf numFmtId="0" fontId="0" fillId="0" borderId="0" xfId="0" applyFont="1" applyFill="1"/>
    <xf numFmtId="0" fontId="17" fillId="0" borderId="0" xfId="0" applyFont="1" applyFill="1"/>
    <xf numFmtId="0" fontId="13" fillId="0" borderId="0" xfId="0" applyFont="1" applyFill="1" applyAlignment="1">
      <alignment horizontal="center"/>
    </xf>
    <xf numFmtId="17" fontId="13" fillId="0" borderId="0" xfId="0" applyNumberFormat="1" applyFont="1" applyFill="1" applyAlignment="1">
      <alignment horizontal="center"/>
    </xf>
    <xf numFmtId="166" fontId="0" fillId="0" borderId="0" xfId="0" applyNumberFormat="1" applyFill="1"/>
    <xf numFmtId="0" fontId="0" fillId="0" borderId="2" xfId="0" applyFill="1" applyBorder="1"/>
    <xf numFmtId="166" fontId="0" fillId="0" borderId="2" xfId="0" applyNumberFormat="1" applyFill="1" applyBorder="1"/>
    <xf numFmtId="0" fontId="12" fillId="0" borderId="0" xfId="0" applyFont="1" applyFill="1"/>
    <xf numFmtId="166" fontId="2" fillId="0" borderId="0" xfId="0" applyNumberFormat="1" applyFont="1" applyFill="1"/>
    <xf numFmtId="0" fontId="0" fillId="0" borderId="1" xfId="0" applyFill="1" applyBorder="1"/>
    <xf numFmtId="3" fontId="0" fillId="0" borderId="0" xfId="0" applyNumberFormat="1" applyFill="1"/>
    <xf numFmtId="0" fontId="0" fillId="0" borderId="0" xfId="0" quotePrefix="1" applyFill="1"/>
    <xf numFmtId="0" fontId="15" fillId="0" borderId="0" xfId="0" applyFont="1"/>
    <xf numFmtId="0" fontId="12" fillId="0" borderId="0" xfId="0" applyFont="1" applyFill="1" applyAlignment="1">
      <alignment wrapText="1"/>
    </xf>
    <xf numFmtId="0" fontId="2" fillId="0" borderId="0" xfId="3" quotePrefix="1" applyBorder="1" applyAlignment="1">
      <alignment horizontal="center"/>
    </xf>
    <xf numFmtId="166" fontId="2" fillId="0" borderId="0" xfId="3" applyNumberFormat="1" applyFill="1" applyBorder="1" applyAlignment="1">
      <alignment horizontal="right"/>
    </xf>
    <xf numFmtId="3" fontId="2" fillId="5" borderId="0" xfId="3" applyNumberFormat="1" applyFill="1" applyBorder="1" applyAlignment="1">
      <alignment horizontal="right"/>
    </xf>
    <xf numFmtId="164" fontId="3" fillId="0" borderId="0" xfId="5" applyNumberFormat="1" applyFill="1"/>
    <xf numFmtId="0" fontId="3" fillId="0" borderId="0" xfId="5" applyFill="1" applyAlignment="1">
      <alignment horizontal="left"/>
    </xf>
    <xf numFmtId="3" fontId="19" fillId="0" borderId="0" xfId="5" applyNumberFormat="1" applyFont="1" applyFill="1"/>
    <xf numFmtId="0" fontId="7" fillId="4" borderId="0" xfId="5" applyFont="1" applyFill="1" applyAlignment="1">
      <alignment horizontal="centerContinuous"/>
    </xf>
    <xf numFmtId="3" fontId="2" fillId="0" borderId="0" xfId="3" applyNumberFormat="1"/>
    <xf numFmtId="164" fontId="2" fillId="0" borderId="0" xfId="1" applyNumberFormat="1" applyFont="1" applyFill="1"/>
    <xf numFmtId="164" fontId="2" fillId="0" borderId="0" xfId="3" applyNumberFormat="1" applyFill="1"/>
    <xf numFmtId="0" fontId="2" fillId="0" borderId="0" xfId="3" applyFill="1"/>
    <xf numFmtId="164" fontId="2" fillId="0" borderId="1" xfId="3" applyNumberFormat="1" applyFill="1" applyBorder="1"/>
    <xf numFmtId="6" fontId="2" fillId="0" borderId="0" xfId="3" applyNumberFormat="1" applyFill="1"/>
    <xf numFmtId="0" fontId="2" fillId="0" borderId="0" xfId="3" applyFill="1" applyBorder="1"/>
    <xf numFmtId="0" fontId="2" fillId="0" borderId="0" xfId="3" applyFill="1" applyAlignment="1">
      <alignment horizontal="center"/>
    </xf>
    <xf numFmtId="166" fontId="20" fillId="0" borderId="0" xfId="0" applyNumberFormat="1" applyFont="1"/>
    <xf numFmtId="0" fontId="11" fillId="0" borderId="0" xfId="5" applyFont="1" applyFill="1"/>
    <xf numFmtId="166" fontId="3" fillId="0" borderId="2" xfId="5" applyNumberFormat="1" applyFill="1" applyBorder="1"/>
    <xf numFmtId="5" fontId="3" fillId="0" borderId="0" xfId="5" applyNumberFormat="1"/>
    <xf numFmtId="0" fontId="12" fillId="4" borderId="4" xfId="3" applyFont="1" applyFill="1" applyBorder="1"/>
    <xf numFmtId="0" fontId="2" fillId="4" borderId="3" xfId="3" applyFill="1" applyBorder="1"/>
    <xf numFmtId="0" fontId="2" fillId="4" borderId="0" xfId="3" applyFill="1"/>
    <xf numFmtId="164" fontId="19" fillId="0" borderId="0" xfId="1" applyNumberFormat="1" applyFont="1" applyFill="1"/>
    <xf numFmtId="10" fontId="15" fillId="0" borderId="0" xfId="6" applyNumberFormat="1" applyFont="1" applyFill="1" applyAlignment="1">
      <alignment horizontal="center"/>
    </xf>
    <xf numFmtId="167" fontId="3" fillId="0" borderId="0" xfId="5" applyNumberFormat="1" applyFill="1"/>
    <xf numFmtId="5" fontId="0" fillId="0" borderId="0" xfId="0" applyNumberFormat="1"/>
    <xf numFmtId="5" fontId="0" fillId="0" borderId="1" xfId="0" applyNumberFormat="1" applyBorder="1"/>
    <xf numFmtId="5" fontId="0" fillId="0" borderId="0" xfId="0" applyNumberFormat="1" applyBorder="1"/>
    <xf numFmtId="0" fontId="3" fillId="0" borderId="0" xfId="5" applyFill="1" applyAlignment="1">
      <alignment vertical="top" wrapText="1"/>
    </xf>
    <xf numFmtId="5" fontId="3" fillId="0" borderId="0" xfId="5" applyNumberFormat="1" applyFill="1"/>
    <xf numFmtId="0" fontId="3" fillId="4" borderId="0" xfId="5" applyFill="1" applyAlignment="1">
      <alignment horizontal="center" wrapText="1"/>
    </xf>
    <xf numFmtId="0" fontId="15" fillId="0" borderId="0" xfId="0" applyFont="1" applyAlignment="1">
      <alignment horizontal="left"/>
    </xf>
    <xf numFmtId="0" fontId="0" fillId="4" borderId="0" xfId="0" applyFill="1"/>
    <xf numFmtId="3" fontId="2" fillId="0" borderId="2" xfId="3" applyNumberFormat="1" applyBorder="1"/>
    <xf numFmtId="165" fontId="2" fillId="0" borderId="0" xfId="2" applyNumberFormat="1" applyFont="1"/>
    <xf numFmtId="43" fontId="2" fillId="0" borderId="0" xfId="3" applyNumberFormat="1"/>
    <xf numFmtId="168" fontId="2" fillId="0" borderId="0" xfId="3" applyNumberFormat="1"/>
    <xf numFmtId="165" fontId="2" fillId="0" borderId="0" xfId="3" applyNumberFormat="1"/>
    <xf numFmtId="3" fontId="2" fillId="0" borderId="0" xfId="3" applyNumberFormat="1" applyFill="1"/>
    <xf numFmtId="165" fontId="2" fillId="0" borderId="0" xfId="2" applyNumberFormat="1" applyFont="1" applyFill="1" applyBorder="1"/>
    <xf numFmtId="165" fontId="2" fillId="0" borderId="0" xfId="3" applyNumberFormat="1" applyFill="1" applyBorder="1"/>
    <xf numFmtId="3" fontId="22" fillId="0" borderId="0" xfId="5" applyNumberFormat="1" applyFont="1"/>
    <xf numFmtId="0" fontId="23" fillId="0" borderId="0" xfId="0" applyFont="1"/>
    <xf numFmtId="169" fontId="23" fillId="0" borderId="0" xfId="0" applyNumberFormat="1" applyFont="1"/>
    <xf numFmtId="164" fontId="19" fillId="0" borderId="0" xfId="5" applyNumberFormat="1" applyFont="1" applyFill="1"/>
    <xf numFmtId="9" fontId="3" fillId="0" borderId="0" xfId="5" applyNumberFormat="1" applyFill="1"/>
    <xf numFmtId="0" fontId="15" fillId="0" borderId="0" xfId="0" applyFont="1" applyFill="1"/>
    <xf numFmtId="166" fontId="2" fillId="0" borderId="2" xfId="0" applyNumberFormat="1" applyFont="1" applyFill="1" applyBorder="1"/>
    <xf numFmtId="167" fontId="0" fillId="0" borderId="0" xfId="0" applyNumberFormat="1" applyFill="1"/>
    <xf numFmtId="3" fontId="2" fillId="0" borderId="0" xfId="3" applyNumberFormat="1" applyFont="1" applyFill="1" applyBorder="1" applyAlignment="1">
      <alignment horizontal="right"/>
    </xf>
    <xf numFmtId="0" fontId="8" fillId="2" borderId="0" xfId="5" applyFont="1" applyFill="1" applyAlignment="1">
      <alignment horizontal="center"/>
    </xf>
    <xf numFmtId="17" fontId="2" fillId="0" borderId="0" xfId="3" applyNumberFormat="1" applyFill="1"/>
    <xf numFmtId="6" fontId="2" fillId="0" borderId="0" xfId="2" applyNumberFormat="1" applyFont="1" applyFill="1"/>
    <xf numFmtId="6" fontId="2" fillId="0" borderId="1" xfId="3" applyNumberFormat="1" applyFill="1" applyBorder="1"/>
    <xf numFmtId="0" fontId="21" fillId="0" borderId="0" xfId="3" applyFont="1" applyFill="1"/>
    <xf numFmtId="6" fontId="2" fillId="0" borderId="0" xfId="3" applyNumberFormat="1" applyFont="1" applyFill="1"/>
    <xf numFmtId="0" fontId="7" fillId="2" borderId="0" xfId="5" applyFont="1" applyFill="1"/>
    <xf numFmtId="0" fontId="7" fillId="2" borderId="0" xfId="5" quotePrefix="1" applyFont="1" applyFill="1" applyAlignment="1">
      <alignment horizontal="center"/>
    </xf>
    <xf numFmtId="0" fontId="6" fillId="0" borderId="0" xfId="5" applyFont="1" applyAlignment="1">
      <alignment horizontal="center"/>
    </xf>
    <xf numFmtId="0" fontId="3" fillId="0" borderId="0" xfId="5" applyAlignment="1">
      <alignment horizontal="center" wrapText="1"/>
    </xf>
    <xf numFmtId="0" fontId="8" fillId="2" borderId="0" xfId="5" applyFont="1" applyFill="1" applyAlignment="1">
      <alignment horizontal="center"/>
    </xf>
    <xf numFmtId="0" fontId="3" fillId="0" borderId="0" xfId="5" applyAlignment="1">
      <alignment horizontal="center"/>
    </xf>
    <xf numFmtId="0" fontId="3" fillId="0" borderId="0" xfId="5" applyFill="1" applyAlignment="1">
      <alignment horizontal="centerContinuous"/>
    </xf>
    <xf numFmtId="2" fontId="3" fillId="0" borderId="0" xfId="5" applyNumberFormat="1" applyFill="1" applyAlignment="1">
      <alignment horizontal="centerContinuous"/>
    </xf>
    <xf numFmtId="0" fontId="7" fillId="0" borderId="0" xfId="5" applyFont="1" applyFill="1" applyAlignment="1">
      <alignment horizontal="center" wrapText="1"/>
    </xf>
    <xf numFmtId="0" fontId="6" fillId="0" borderId="0" xfId="5" applyFont="1" applyFill="1" applyAlignment="1">
      <alignment horizontal="center"/>
    </xf>
    <xf numFmtId="166" fontId="3" fillId="0" borderId="0" xfId="5" applyNumberFormat="1" applyFill="1" applyBorder="1"/>
    <xf numFmtId="166" fontId="7" fillId="0" borderId="0" xfId="5" applyNumberFormat="1" applyFont="1" applyFill="1"/>
    <xf numFmtId="165" fontId="3" fillId="0" borderId="0" xfId="2" applyNumberFormat="1" applyFont="1" applyFill="1" applyBorder="1"/>
    <xf numFmtId="0" fontId="3" fillId="0" borderId="5" xfId="5" applyBorder="1" applyAlignment="1">
      <alignment horizontal="centerContinuous"/>
    </xf>
    <xf numFmtId="0" fontId="3" fillId="0" borderId="6" xfId="5" applyBorder="1"/>
    <xf numFmtId="0" fontId="3" fillId="0" borderId="7" xfId="5" applyBorder="1" applyAlignment="1">
      <alignment horizontal="centerContinuous"/>
    </xf>
    <xf numFmtId="0" fontId="3" fillId="2" borderId="8" xfId="5" applyFill="1" applyBorder="1" applyAlignment="1">
      <alignment horizontal="centerContinuous"/>
    </xf>
    <xf numFmtId="0" fontId="3" fillId="4" borderId="9" xfId="5" applyFill="1" applyBorder="1" applyAlignment="1">
      <alignment horizontal="center"/>
    </xf>
    <xf numFmtId="0" fontId="7" fillId="4" borderId="9" xfId="5" applyFont="1" applyFill="1" applyBorder="1" applyAlignment="1">
      <alignment horizontal="center" wrapText="1"/>
    </xf>
    <xf numFmtId="0" fontId="3" fillId="0" borderId="8" xfId="5" applyBorder="1" applyAlignment="1">
      <alignment horizontal="center"/>
    </xf>
    <xf numFmtId="0" fontId="3" fillId="0" borderId="9" xfId="5" applyBorder="1" applyAlignment="1">
      <alignment horizontal="center"/>
    </xf>
    <xf numFmtId="0" fontId="6" fillId="0" borderId="8" xfId="5" applyFont="1" applyBorder="1" applyAlignment="1">
      <alignment horizontal="center"/>
    </xf>
    <xf numFmtId="0" fontId="6" fillId="0" borderId="9" xfId="5" applyFont="1" applyBorder="1" applyAlignment="1">
      <alignment horizontal="center"/>
    </xf>
    <xf numFmtId="0" fontId="3" fillId="0" borderId="8" xfId="5" applyBorder="1"/>
    <xf numFmtId="10" fontId="0" fillId="0" borderId="9" xfId="6" applyNumberFormat="1" applyFont="1" applyFill="1" applyBorder="1" applyAlignment="1">
      <alignment horizontal="center"/>
    </xf>
    <xf numFmtId="0" fontId="3" fillId="0" borderId="9" xfId="5" applyBorder="1"/>
    <xf numFmtId="166" fontId="3" fillId="0" borderId="8" xfId="5" applyNumberFormat="1" applyBorder="1"/>
    <xf numFmtId="166" fontId="3" fillId="0" borderId="9" xfId="5" applyNumberFormat="1" applyBorder="1"/>
    <xf numFmtId="3" fontId="3" fillId="3" borderId="8" xfId="5" applyNumberFormat="1" applyFill="1" applyBorder="1"/>
    <xf numFmtId="3" fontId="3" fillId="3" borderId="9" xfId="5" applyNumberFormat="1" applyFill="1" applyBorder="1"/>
    <xf numFmtId="3" fontId="3" fillId="0" borderId="8" xfId="5" applyNumberFormat="1" applyFill="1" applyBorder="1"/>
    <xf numFmtId="3" fontId="3" fillId="0" borderId="9" xfId="5" applyNumberFormat="1" applyFill="1" applyBorder="1"/>
    <xf numFmtId="3" fontId="3" fillId="0" borderId="10" xfId="5" applyNumberFormat="1" applyBorder="1"/>
    <xf numFmtId="3" fontId="3" fillId="0" borderId="11" xfId="5" applyNumberFormat="1" applyBorder="1"/>
    <xf numFmtId="3" fontId="3" fillId="0" borderId="8" xfId="5" applyNumberFormat="1" applyBorder="1"/>
    <xf numFmtId="3" fontId="3" fillId="0" borderId="9" xfId="5" applyNumberFormat="1" applyBorder="1"/>
    <xf numFmtId="3" fontId="3" fillId="0" borderId="12" xfId="5" applyNumberFormat="1" applyBorder="1"/>
    <xf numFmtId="3" fontId="3" fillId="0" borderId="13" xfId="5" applyNumberFormat="1" applyBorder="1"/>
    <xf numFmtId="166" fontId="3" fillId="0" borderId="14" xfId="5" applyNumberFormat="1" applyBorder="1"/>
    <xf numFmtId="166" fontId="7" fillId="0" borderId="9" xfId="5" applyNumberFormat="1" applyFont="1" applyBorder="1"/>
    <xf numFmtId="0" fontId="3" fillId="0" borderId="15" xfId="5" applyBorder="1"/>
    <xf numFmtId="0" fontId="3" fillId="0" borderId="16" xfId="5" applyBorder="1"/>
    <xf numFmtId="3" fontId="3" fillId="0" borderId="17" xfId="5" applyNumberFormat="1" applyBorder="1"/>
    <xf numFmtId="10" fontId="0" fillId="6" borderId="0" xfId="6" applyNumberFormat="1" applyFont="1" applyFill="1" applyAlignment="1">
      <alignment horizontal="center"/>
    </xf>
    <xf numFmtId="0" fontId="22" fillId="2" borderId="8" xfId="5" applyFont="1" applyFill="1" applyBorder="1" applyAlignment="1">
      <alignment horizontal="centerContinuous"/>
    </xf>
    <xf numFmtId="0" fontId="22" fillId="2" borderId="8" xfId="5" applyFont="1" applyFill="1" applyBorder="1" applyAlignment="1">
      <alignment horizontal="center"/>
    </xf>
    <xf numFmtId="0" fontId="11" fillId="2" borderId="8" xfId="5" applyFont="1" applyFill="1" applyBorder="1" applyAlignment="1">
      <alignment horizontal="center" wrapText="1"/>
    </xf>
    <xf numFmtId="0" fontId="24" fillId="0" borderId="0" xfId="0" applyFont="1"/>
    <xf numFmtId="3" fontId="3" fillId="4" borderId="0" xfId="5" applyNumberFormat="1" applyFill="1"/>
    <xf numFmtId="166" fontId="3" fillId="4" borderId="0" xfId="5" applyNumberFormat="1" applyFill="1"/>
    <xf numFmtId="3" fontId="3" fillId="4" borderId="0" xfId="5" applyNumberFormat="1" applyFont="1" applyFill="1"/>
    <xf numFmtId="3" fontId="3" fillId="7" borderId="0" xfId="5" applyNumberFormat="1" applyFill="1"/>
    <xf numFmtId="3" fontId="3" fillId="7" borderId="3" xfId="5" applyNumberFormat="1" applyFill="1" applyBorder="1"/>
    <xf numFmtId="0" fontId="14" fillId="0" borderId="0" xfId="3" applyFont="1"/>
    <xf numFmtId="3" fontId="14" fillId="4" borderId="3" xfId="3" applyNumberFormat="1" applyFont="1" applyFill="1" applyBorder="1" applyAlignment="1">
      <alignment horizontal="right"/>
    </xf>
    <xf numFmtId="3" fontId="14" fillId="0" borderId="1" xfId="3" applyNumberFormat="1" applyFont="1" applyBorder="1" applyAlignment="1">
      <alignment horizontal="right"/>
    </xf>
    <xf numFmtId="164" fontId="14" fillId="0" borderId="0" xfId="1" applyNumberFormat="1" applyFont="1" applyFill="1"/>
    <xf numFmtId="3" fontId="14" fillId="0" borderId="1" xfId="3" applyNumberFormat="1" applyFont="1" applyFill="1" applyBorder="1" applyAlignment="1">
      <alignment horizontal="right"/>
    </xf>
    <xf numFmtId="166" fontId="0" fillId="0" borderId="2" xfId="0" applyNumberFormat="1" applyBorder="1"/>
    <xf numFmtId="0" fontId="7" fillId="4" borderId="9" xfId="5" applyFont="1" applyFill="1" applyBorder="1" applyAlignment="1">
      <alignment horizontal="center"/>
    </xf>
    <xf numFmtId="2" fontId="7" fillId="4" borderId="9" xfId="5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5" applyAlignment="1">
      <alignment horizontal="center"/>
    </xf>
    <xf numFmtId="0" fontId="6" fillId="0" borderId="0" xfId="5" applyFont="1" applyAlignment="1">
      <alignment horizontal="center" vertical="center" wrapText="1"/>
    </xf>
    <xf numFmtId="0" fontId="8" fillId="2" borderId="0" xfId="5" applyFont="1" applyFill="1" applyAlignment="1">
      <alignment horizontal="center"/>
    </xf>
    <xf numFmtId="0" fontId="3" fillId="0" borderId="0" xfId="5" quotePrefix="1" applyFill="1" applyAlignment="1">
      <alignment horizontal="left" vertical="top" wrapText="1"/>
    </xf>
    <xf numFmtId="0" fontId="3" fillId="0" borderId="0" xfId="5" applyFill="1" applyAlignment="1">
      <alignment horizontal="left" vertical="top" wrapText="1"/>
    </xf>
    <xf numFmtId="0" fontId="6" fillId="6" borderId="0" xfId="5" applyFont="1" applyFill="1" applyAlignment="1">
      <alignment horizontal="center" wrapText="1"/>
    </xf>
    <xf numFmtId="0" fontId="7" fillId="2" borderId="0" xfId="5" applyFont="1" applyFill="1" applyAlignment="1">
      <alignment horizontal="center"/>
    </xf>
    <xf numFmtId="0" fontId="3" fillId="0" borderId="0" xfId="5" applyAlignment="1">
      <alignment horizontal="center" wrapText="1"/>
    </xf>
    <xf numFmtId="0" fontId="18" fillId="0" borderId="0" xfId="0" applyFont="1" applyAlignment="1">
      <alignment horizontal="left"/>
    </xf>
    <xf numFmtId="0" fontId="12" fillId="0" borderId="0" xfId="3" applyFont="1" applyFill="1" applyAlignment="1">
      <alignment horizontal="left" vertical="top"/>
    </xf>
    <xf numFmtId="0" fontId="2" fillId="0" borderId="0" xfId="3" applyAlignment="1">
      <alignment horizontal="center" wrapText="1"/>
    </xf>
    <xf numFmtId="0" fontId="6" fillId="0" borderId="0" xfId="5" applyFont="1" applyAlignment="1">
      <alignment horizontal="center"/>
    </xf>
    <xf numFmtId="166" fontId="0" fillId="8" borderId="0" xfId="0" applyNumberFormat="1" applyFill="1"/>
    <xf numFmtId="167" fontId="3" fillId="9" borderId="0" xfId="5" applyNumberFormat="1" applyFill="1"/>
  </cellXfs>
  <cellStyles count="8">
    <cellStyle name="Comma" xfId="1" builtinId="3"/>
    <cellStyle name="Comma 2" xfId="4"/>
    <cellStyle name="Currency" xfId="2" builtinId="4"/>
    <cellStyle name="Normal" xfId="0" builtinId="0"/>
    <cellStyle name="Normal 2" xfId="3"/>
    <cellStyle name="Normal 2 3" xfId="5"/>
    <cellStyle name="Normal 8" xfId="7"/>
    <cellStyle name="Percent 2" xfId="6"/>
  </cellStyles>
  <dxfs count="0"/>
  <tableStyles count="0" defaultTableStyle="TableStyleMedium2" defaultPivotStyle="PivotStyleLight16"/>
  <colors>
    <mruColors>
      <color rgb="FFFCD4F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1928812</xdr:colOff>
      <xdr:row>46</xdr:row>
      <xdr:rowOff>80963</xdr:rowOff>
    </xdr:from>
    <xdr:to>
      <xdr:col>25</xdr:col>
      <xdr:colOff>195262</xdr:colOff>
      <xdr:row>49</xdr:row>
      <xdr:rowOff>47625</xdr:rowOff>
    </xdr:to>
    <xdr:cxnSp macro="">
      <xdr:nvCxnSpPr>
        <xdr:cNvPr id="3" name="Straight Arrow Connector 2"/>
        <xdr:cNvCxnSpPr/>
      </xdr:nvCxnSpPr>
      <xdr:spPr>
        <a:xfrm flipH="1">
          <a:off x="12601575" y="6596063"/>
          <a:ext cx="1866900" cy="4476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333375</xdr:colOff>
      <xdr:row>47</xdr:row>
      <xdr:rowOff>1</xdr:rowOff>
    </xdr:from>
    <xdr:to>
      <xdr:col>25</xdr:col>
      <xdr:colOff>423862</xdr:colOff>
      <xdr:row>48</xdr:row>
      <xdr:rowOff>42863</xdr:rowOff>
    </xdr:to>
    <xdr:cxnSp macro="">
      <xdr:nvCxnSpPr>
        <xdr:cNvPr id="4" name="Straight Arrow Connector 3"/>
        <xdr:cNvCxnSpPr/>
      </xdr:nvCxnSpPr>
      <xdr:spPr>
        <a:xfrm flipH="1" flipV="1">
          <a:off x="14606588" y="7043739"/>
          <a:ext cx="90487" cy="16192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39</xdr:row>
      <xdr:rowOff>128587</xdr:rowOff>
    </xdr:from>
    <xdr:to>
      <xdr:col>5</xdr:col>
      <xdr:colOff>1123950</xdr:colOff>
      <xdr:row>43</xdr:row>
      <xdr:rowOff>109537</xdr:rowOff>
    </xdr:to>
    <xdr:cxnSp macro="">
      <xdr:nvCxnSpPr>
        <xdr:cNvPr id="3" name="Straight Arrow Connector 2"/>
        <xdr:cNvCxnSpPr/>
      </xdr:nvCxnSpPr>
      <xdr:spPr>
        <a:xfrm flipV="1">
          <a:off x="6419850" y="5657850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776287</xdr:colOff>
      <xdr:row>26</xdr:row>
      <xdr:rowOff>114300</xdr:rowOff>
    </xdr:from>
    <xdr:to>
      <xdr:col>5</xdr:col>
      <xdr:colOff>1028700</xdr:colOff>
      <xdr:row>30</xdr:row>
      <xdr:rowOff>95250</xdr:rowOff>
    </xdr:to>
    <xdr:cxnSp macro="">
      <xdr:nvCxnSpPr>
        <xdr:cNvPr id="4" name="Straight Arrow Connector 3"/>
        <xdr:cNvCxnSpPr/>
      </xdr:nvCxnSpPr>
      <xdr:spPr>
        <a:xfrm flipV="1">
          <a:off x="6324600" y="4348163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752475</xdr:colOff>
      <xdr:row>106</xdr:row>
      <xdr:rowOff>128587</xdr:rowOff>
    </xdr:from>
    <xdr:to>
      <xdr:col>5</xdr:col>
      <xdr:colOff>1004888</xdr:colOff>
      <xdr:row>110</xdr:row>
      <xdr:rowOff>104775</xdr:rowOff>
    </xdr:to>
    <xdr:cxnSp macro="">
      <xdr:nvCxnSpPr>
        <xdr:cNvPr id="5" name="Straight Arrow Connector 4"/>
        <xdr:cNvCxnSpPr/>
      </xdr:nvCxnSpPr>
      <xdr:spPr>
        <a:xfrm flipV="1">
          <a:off x="6300788" y="15478125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7"/>
  <sheetViews>
    <sheetView tabSelected="1" zoomScaleNormal="100" zoomScaleSheetLayoutView="85" workbookViewId="0">
      <pane xSplit="3" ySplit="7" topLeftCell="U28" activePane="bottomRight" state="frozen"/>
      <selection pane="topRight" activeCell="D1" sqref="D1"/>
      <selection pane="bottomLeft" activeCell="A8" sqref="A8"/>
      <selection pane="bottomRight" activeCell="AD50" sqref="AD50"/>
    </sheetView>
  </sheetViews>
  <sheetFormatPr defaultRowHeight="14.25"/>
  <cols>
    <col min="1" max="1" width="34.73046875" customWidth="1"/>
    <col min="2" max="2" width="9.1328125" hidden="1" customWidth="1"/>
    <col min="3" max="3" width="9.59765625" customWidth="1"/>
    <col min="4" max="4" width="10.3984375" customWidth="1"/>
    <col min="5" max="5" width="2" customWidth="1"/>
    <col min="6" max="6" width="10.86328125" bestFit="1" customWidth="1"/>
    <col min="7" max="7" width="3.73046875" customWidth="1"/>
    <col min="8" max="8" width="3.59765625" customWidth="1"/>
    <col min="9" max="9" width="1.265625" customWidth="1"/>
    <col min="10" max="10" width="22.1328125" hidden="1" customWidth="1"/>
    <col min="11" max="11" width="11.3984375" customWidth="1"/>
    <col min="12" max="12" width="7.265625" customWidth="1"/>
    <col min="13" max="13" width="11.59765625" customWidth="1"/>
    <col min="14" max="14" width="2.3984375" customWidth="1"/>
    <col min="15" max="15" width="12.1328125" customWidth="1"/>
    <col min="16" max="16" width="1.265625" customWidth="1"/>
    <col min="17" max="17" width="11.3984375" customWidth="1"/>
    <col min="18" max="18" width="1.86328125" customWidth="1"/>
    <col min="19" max="19" width="12.265625" customWidth="1"/>
    <col min="20" max="20" width="1.59765625" customWidth="1"/>
    <col min="21" max="21" width="28.3984375" customWidth="1"/>
    <col min="22" max="22" width="2.1328125" customWidth="1"/>
    <col min="23" max="23" width="4.86328125" customWidth="1"/>
    <col min="24" max="24" width="11.265625" customWidth="1"/>
    <col min="25" max="25" width="3.73046875" customWidth="1"/>
    <col min="26" max="26" width="9.3984375" customWidth="1"/>
    <col min="27" max="27" width="1.73046875" customWidth="1"/>
    <col min="28" max="28" width="14.1328125" customWidth="1"/>
    <col min="29" max="29" width="1.86328125" customWidth="1"/>
    <col min="30" max="30" width="14.86328125" customWidth="1"/>
    <col min="31" max="31" width="6.6640625" style="106" customWidth="1"/>
    <col min="32" max="32" width="13.33203125" customWidth="1"/>
    <col min="33" max="33" width="11.06640625" customWidth="1"/>
  </cols>
  <sheetData>
    <row r="1" spans="1:33" ht="16.899999999999999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180"/>
      <c r="K1" s="246" t="s">
        <v>0</v>
      </c>
      <c r="L1" s="246"/>
      <c r="M1" s="246"/>
      <c r="N1" s="246"/>
      <c r="O1" s="246"/>
      <c r="P1" s="2"/>
      <c r="Q1" s="1"/>
      <c r="R1" s="3"/>
      <c r="S1" s="1"/>
      <c r="T1" s="2"/>
      <c r="U1" s="239" t="s">
        <v>0</v>
      </c>
      <c r="V1" s="239"/>
      <c r="W1" s="239"/>
      <c r="X1" s="239"/>
      <c r="Y1" s="239"/>
      <c r="Z1" s="239"/>
      <c r="AA1" s="2"/>
      <c r="AB1" s="190"/>
      <c r="AC1" s="191"/>
      <c r="AD1" s="192"/>
      <c r="AE1" s="183"/>
    </row>
    <row r="2" spans="1:33" ht="14.45" customHeight="1">
      <c r="A2" s="1" t="s">
        <v>46</v>
      </c>
      <c r="B2" s="1"/>
      <c r="C2" s="1"/>
      <c r="D2" s="1"/>
      <c r="E2" s="1"/>
      <c r="F2" s="1"/>
      <c r="G2" s="1"/>
      <c r="H2" s="1"/>
      <c r="I2" s="2"/>
      <c r="J2" s="182"/>
      <c r="K2" s="239" t="s">
        <v>135</v>
      </c>
      <c r="L2" s="239"/>
      <c r="M2" s="239"/>
      <c r="N2" s="239"/>
      <c r="O2" s="239"/>
      <c r="P2" s="2"/>
      <c r="Q2" s="4"/>
      <c r="R2" s="3"/>
      <c r="S2" s="127" t="s">
        <v>233</v>
      </c>
      <c r="T2" s="2"/>
      <c r="U2" s="239" t="s">
        <v>232</v>
      </c>
      <c r="V2" s="239"/>
      <c r="W2" s="239"/>
      <c r="X2" s="239"/>
      <c r="Y2" s="239"/>
      <c r="Z2" s="239"/>
      <c r="AA2" s="2"/>
      <c r="AB2" s="193"/>
      <c r="AC2" s="9"/>
      <c r="AD2" s="194"/>
      <c r="AE2" s="100"/>
    </row>
    <row r="3" spans="1:33" ht="29.45" customHeight="1">
      <c r="A3" s="1"/>
      <c r="B3" s="1"/>
      <c r="C3" s="1"/>
      <c r="D3" s="1"/>
      <c r="E3" s="1"/>
      <c r="F3" s="1"/>
      <c r="G3" s="1"/>
      <c r="H3" s="1"/>
      <c r="I3" s="2"/>
      <c r="J3" s="182"/>
      <c r="K3" s="240" t="s">
        <v>228</v>
      </c>
      <c r="L3" s="240"/>
      <c r="M3" s="240"/>
      <c r="N3" s="240"/>
      <c r="O3" s="240"/>
      <c r="P3" s="2"/>
      <c r="Q3" s="4"/>
      <c r="R3" s="3"/>
      <c r="S3" s="94" t="s">
        <v>54</v>
      </c>
      <c r="T3" s="2"/>
      <c r="U3" s="182"/>
      <c r="V3" s="182"/>
      <c r="W3" s="182"/>
      <c r="X3" s="182"/>
      <c r="Y3" s="182"/>
      <c r="Z3" s="182"/>
      <c r="AA3" s="2"/>
      <c r="AB3" s="193"/>
      <c r="AC3" s="9"/>
      <c r="AD3" s="236" t="s">
        <v>54</v>
      </c>
      <c r="AE3" s="183"/>
    </row>
    <row r="4" spans="1:33" ht="14.45" customHeight="1">
      <c r="A4" s="1"/>
      <c r="B4" s="1"/>
      <c r="C4" s="1"/>
      <c r="D4" s="1"/>
      <c r="E4" s="1"/>
      <c r="F4" s="1"/>
      <c r="G4" s="1"/>
      <c r="H4" s="1"/>
      <c r="I4" s="2"/>
      <c r="J4" s="182"/>
      <c r="K4" s="240"/>
      <c r="L4" s="240"/>
      <c r="M4" s="240"/>
      <c r="N4" s="240"/>
      <c r="O4" s="240"/>
      <c r="P4" s="2"/>
      <c r="Q4" s="4"/>
      <c r="R4" s="3"/>
      <c r="S4" s="127">
        <v>2.1800000000000002</v>
      </c>
      <c r="T4" s="2"/>
      <c r="U4" s="182"/>
      <c r="V4" s="182"/>
      <c r="W4" s="182"/>
      <c r="X4" s="182"/>
      <c r="Y4" s="182"/>
      <c r="Z4" s="182"/>
      <c r="AA4" s="2"/>
      <c r="AB4" s="193"/>
      <c r="AC4" s="9"/>
      <c r="AD4" s="237">
        <v>3</v>
      </c>
      <c r="AE4" s="184"/>
    </row>
    <row r="5" spans="1:33" ht="16.149999999999999" customHeight="1">
      <c r="A5" s="5" t="s">
        <v>215</v>
      </c>
      <c r="B5" s="1"/>
      <c r="C5" s="1"/>
      <c r="D5" s="1"/>
      <c r="E5" s="1"/>
      <c r="F5" s="1"/>
      <c r="G5" s="1"/>
      <c r="H5" s="1"/>
      <c r="I5" s="2"/>
      <c r="J5" s="50"/>
      <c r="K5" s="240"/>
      <c r="L5" s="240"/>
      <c r="M5" s="240"/>
      <c r="N5" s="240"/>
      <c r="O5" s="240"/>
      <c r="P5" s="2"/>
      <c r="Q5" s="4" t="s">
        <v>1</v>
      </c>
      <c r="R5" s="3"/>
      <c r="S5" s="94" t="s">
        <v>2</v>
      </c>
      <c r="T5" s="2"/>
      <c r="U5" s="244" t="s">
        <v>234</v>
      </c>
      <c r="V5" s="244"/>
      <c r="W5" s="244"/>
      <c r="X5" s="244"/>
      <c r="Y5" s="244"/>
      <c r="Z5" s="244"/>
      <c r="AA5" s="2"/>
      <c r="AB5" s="221" t="s">
        <v>1</v>
      </c>
      <c r="AC5" s="9"/>
      <c r="AD5" s="194" t="s">
        <v>2</v>
      </c>
      <c r="AE5" s="100"/>
    </row>
    <row r="6" spans="1:33">
      <c r="A6" s="245" t="s">
        <v>216</v>
      </c>
      <c r="B6" s="245"/>
      <c r="C6" s="245"/>
      <c r="D6" s="245"/>
      <c r="E6" s="245"/>
      <c r="F6" s="245"/>
      <c r="G6" s="245"/>
      <c r="H6" s="245"/>
      <c r="I6" s="2"/>
      <c r="J6" s="245" t="s">
        <v>226</v>
      </c>
      <c r="K6" s="245"/>
      <c r="L6" s="245"/>
      <c r="M6" s="245"/>
      <c r="N6" s="245"/>
      <c r="O6" s="245"/>
      <c r="P6" s="2"/>
      <c r="Q6" s="51" t="s">
        <v>3</v>
      </c>
      <c r="R6" s="3"/>
      <c r="S6" s="93" t="s">
        <v>4</v>
      </c>
      <c r="T6" s="2"/>
      <c r="U6" s="245"/>
      <c r="V6" s="245"/>
      <c r="W6" s="245"/>
      <c r="X6" s="245"/>
      <c r="Y6" s="245"/>
      <c r="Z6" s="245"/>
      <c r="AA6" s="2"/>
      <c r="AB6" s="222" t="s">
        <v>3</v>
      </c>
      <c r="AC6" s="9"/>
      <c r="AD6" s="194" t="s">
        <v>4</v>
      </c>
      <c r="AE6" s="100"/>
      <c r="AF6" s="64" t="s">
        <v>51</v>
      </c>
      <c r="AG6" s="238" t="s">
        <v>243</v>
      </c>
    </row>
    <row r="7" spans="1:33" ht="30.6" customHeight="1">
      <c r="A7" s="2"/>
      <c r="B7" s="2"/>
      <c r="C7" s="177"/>
      <c r="D7" s="181" t="s">
        <v>217</v>
      </c>
      <c r="E7" s="177"/>
      <c r="F7" s="178"/>
      <c r="G7" s="6"/>
      <c r="H7" s="7"/>
      <c r="I7" s="2"/>
      <c r="J7" s="2"/>
      <c r="K7" s="241" t="s">
        <v>219</v>
      </c>
      <c r="L7" s="241"/>
      <c r="M7" s="241"/>
      <c r="N7" s="241"/>
      <c r="O7" s="241"/>
      <c r="P7" s="2"/>
      <c r="Q7" s="63" t="s">
        <v>220</v>
      </c>
      <c r="R7" s="3"/>
      <c r="S7" s="96" t="s">
        <v>220</v>
      </c>
      <c r="T7" s="2"/>
      <c r="U7" s="245" t="s">
        <v>245</v>
      </c>
      <c r="V7" s="245"/>
      <c r="W7" s="245"/>
      <c r="X7" s="245"/>
      <c r="Y7" s="245"/>
      <c r="Z7" s="245"/>
      <c r="AA7" s="2"/>
      <c r="AB7" s="223" t="s">
        <v>235</v>
      </c>
      <c r="AC7" s="9"/>
      <c r="AD7" s="195" t="s">
        <v>235</v>
      </c>
      <c r="AE7" s="185"/>
      <c r="AF7" s="65" t="s">
        <v>50</v>
      </c>
      <c r="AG7" s="238"/>
    </row>
    <row r="8" spans="1:33">
      <c r="A8" s="3"/>
      <c r="B8" s="3"/>
      <c r="C8" s="3"/>
      <c r="D8" s="182" t="s">
        <v>5</v>
      </c>
      <c r="E8" s="182"/>
      <c r="F8" s="182" t="s">
        <v>6</v>
      </c>
      <c r="G8" s="9"/>
      <c r="H8" s="3"/>
      <c r="I8" s="2"/>
      <c r="J8" s="3"/>
      <c r="K8" s="3"/>
      <c r="L8" s="3"/>
      <c r="M8" s="182" t="s">
        <v>5</v>
      </c>
      <c r="N8" s="182"/>
      <c r="O8" s="182" t="s">
        <v>6</v>
      </c>
      <c r="P8" s="2"/>
      <c r="Q8" s="182" t="s">
        <v>5</v>
      </c>
      <c r="R8" s="3"/>
      <c r="S8" s="182" t="s">
        <v>6</v>
      </c>
      <c r="T8" s="2"/>
      <c r="U8" s="3"/>
      <c r="V8" s="3"/>
      <c r="W8" s="3"/>
      <c r="X8" s="182" t="s">
        <v>5</v>
      </c>
      <c r="Y8" s="182"/>
      <c r="Z8" s="182" t="s">
        <v>6</v>
      </c>
      <c r="AA8" s="2"/>
      <c r="AB8" s="196" t="s">
        <v>5</v>
      </c>
      <c r="AC8" s="9"/>
      <c r="AD8" s="197" t="s">
        <v>6</v>
      </c>
      <c r="AE8" s="100"/>
    </row>
    <row r="9" spans="1:33">
      <c r="A9" s="3"/>
      <c r="B9" s="3"/>
      <c r="C9" s="3"/>
      <c r="D9" s="182" t="s">
        <v>7</v>
      </c>
      <c r="E9" s="182"/>
      <c r="F9" s="182" t="s">
        <v>8</v>
      </c>
      <c r="G9" s="9"/>
      <c r="H9" s="3"/>
      <c r="I9" s="2"/>
      <c r="J9" s="3"/>
      <c r="K9" s="3"/>
      <c r="L9" s="3"/>
      <c r="M9" s="182" t="s">
        <v>7</v>
      </c>
      <c r="N9" s="182"/>
      <c r="O9" s="182" t="s">
        <v>8</v>
      </c>
      <c r="P9" s="2"/>
      <c r="Q9" s="182" t="s">
        <v>7</v>
      </c>
      <c r="R9" s="3"/>
      <c r="S9" s="182" t="s">
        <v>8</v>
      </c>
      <c r="T9" s="2"/>
      <c r="U9" s="3"/>
      <c r="V9" s="3"/>
      <c r="W9" s="3"/>
      <c r="X9" s="182" t="s">
        <v>7</v>
      </c>
      <c r="Y9" s="182"/>
      <c r="Z9" s="182" t="s">
        <v>8</v>
      </c>
      <c r="AA9" s="2"/>
      <c r="AB9" s="196" t="s">
        <v>7</v>
      </c>
      <c r="AC9" s="9"/>
      <c r="AD9" s="197" t="s">
        <v>8</v>
      </c>
      <c r="AE9" s="100"/>
    </row>
    <row r="10" spans="1:33">
      <c r="A10" s="3"/>
      <c r="B10" s="3"/>
      <c r="C10" s="3"/>
      <c r="D10" s="179" t="s">
        <v>9</v>
      </c>
      <c r="E10" s="179"/>
      <c r="F10" s="179" t="s">
        <v>10</v>
      </c>
      <c r="G10" s="11"/>
      <c r="H10" s="3"/>
      <c r="I10" s="2"/>
      <c r="J10" s="3"/>
      <c r="K10" s="3"/>
      <c r="L10" s="3"/>
      <c r="M10" s="179" t="s">
        <v>9</v>
      </c>
      <c r="N10" s="179"/>
      <c r="O10" s="179" t="s">
        <v>10</v>
      </c>
      <c r="P10" s="2"/>
      <c r="Q10" s="179" t="s">
        <v>9</v>
      </c>
      <c r="R10" s="3"/>
      <c r="S10" s="179" t="s">
        <v>10</v>
      </c>
      <c r="T10" s="2"/>
      <c r="U10" s="3"/>
      <c r="V10" s="3"/>
      <c r="W10" s="3"/>
      <c r="X10" s="179" t="s">
        <v>9</v>
      </c>
      <c r="Y10" s="179"/>
      <c r="Z10" s="179" t="s">
        <v>10</v>
      </c>
      <c r="AA10" s="2"/>
      <c r="AB10" s="198" t="s">
        <v>9</v>
      </c>
      <c r="AC10" s="9"/>
      <c r="AD10" s="199" t="s">
        <v>10</v>
      </c>
      <c r="AE10" s="186"/>
    </row>
    <row r="11" spans="1:33">
      <c r="A11" s="3" t="s">
        <v>11</v>
      </c>
      <c r="B11" s="3"/>
      <c r="C11" s="19"/>
      <c r="D11" s="19" t="s">
        <v>196</v>
      </c>
      <c r="E11" s="12"/>
      <c r="F11" s="15">
        <v>0.65639999999999998</v>
      </c>
      <c r="G11" s="14"/>
      <c r="H11" s="15"/>
      <c r="I11" s="2"/>
      <c r="J11" s="3" t="s">
        <v>11</v>
      </c>
      <c r="K11" s="44"/>
      <c r="L11" s="19"/>
      <c r="M11" s="3"/>
      <c r="N11" s="16" t="s">
        <v>12</v>
      </c>
      <c r="O11" s="144">
        <f>F11</f>
        <v>0.65639999999999998</v>
      </c>
      <c r="P11" s="2"/>
      <c r="Q11" s="3"/>
      <c r="R11" s="3"/>
      <c r="S11" s="15"/>
      <c r="T11" s="2"/>
      <c r="U11" s="3" t="s">
        <v>11</v>
      </c>
      <c r="V11" s="3"/>
      <c r="W11" s="3"/>
      <c r="X11" s="3"/>
      <c r="Z11" s="220">
        <f>F11</f>
        <v>0.65639999999999998</v>
      </c>
      <c r="AA11" s="2"/>
      <c r="AB11" s="200"/>
      <c r="AC11" s="9"/>
      <c r="AD11" s="201"/>
      <c r="AE11" s="15"/>
    </row>
    <row r="12" spans="1:33">
      <c r="A12" s="3"/>
      <c r="B12" s="3"/>
      <c r="C12" s="3"/>
      <c r="D12" s="19"/>
      <c r="E12" s="19"/>
      <c r="F12" s="19"/>
      <c r="G12" s="9"/>
      <c r="H12" s="3"/>
      <c r="I12" s="2"/>
      <c r="J12" s="3"/>
      <c r="K12" s="3"/>
      <c r="L12" s="3"/>
      <c r="M12" s="3"/>
      <c r="N12" s="3"/>
      <c r="O12" s="3"/>
      <c r="P12" s="2"/>
      <c r="Q12" s="3"/>
      <c r="R12" s="3"/>
      <c r="S12" s="3"/>
      <c r="T12" s="2"/>
      <c r="U12" s="3"/>
      <c r="V12" s="3"/>
      <c r="W12" s="3"/>
      <c r="X12" s="3"/>
      <c r="Y12" s="3"/>
      <c r="Z12" s="3"/>
      <c r="AA12" s="2"/>
      <c r="AB12" s="200"/>
      <c r="AC12" s="9"/>
      <c r="AD12" s="202"/>
      <c r="AE12" s="19"/>
    </row>
    <row r="13" spans="1:33">
      <c r="A13" s="3" t="s">
        <v>13</v>
      </c>
      <c r="B13" s="3"/>
      <c r="C13" s="3"/>
      <c r="D13" s="20">
        <f>'12.2019 Actual'!D95</f>
        <v>80222</v>
      </c>
      <c r="E13" s="20"/>
      <c r="F13" s="20">
        <f>F$11*D13</f>
        <v>52657.720799999996</v>
      </c>
      <c r="G13" s="18"/>
      <c r="H13" s="17"/>
      <c r="I13" s="2"/>
      <c r="J13" s="19" t="s">
        <v>13</v>
      </c>
      <c r="K13" s="19"/>
      <c r="L13" s="19"/>
      <c r="M13" s="20">
        <f>'Monthly Authorized'!B24/1000</f>
        <v>54103.856</v>
      </c>
      <c r="N13" s="20"/>
      <c r="O13" s="20">
        <f>O$11*M13</f>
        <v>35513.771078400001</v>
      </c>
      <c r="P13" s="2"/>
      <c r="Q13" s="17">
        <f>M13-D13</f>
        <v>-26118.144</v>
      </c>
      <c r="R13" s="3"/>
      <c r="S13" s="17">
        <f>O13-F13</f>
        <v>-17143.949721599995</v>
      </c>
      <c r="T13" s="2"/>
      <c r="U13" s="19" t="s">
        <v>13</v>
      </c>
      <c r="V13" s="19"/>
      <c r="W13" s="19"/>
      <c r="X13" s="226">
        <v>96887</v>
      </c>
      <c r="Y13" s="20"/>
      <c r="Z13" s="20">
        <f>Z$11*X13</f>
        <v>63596.626799999998</v>
      </c>
      <c r="AA13" s="2"/>
      <c r="AB13" s="203">
        <f>X13-M13</f>
        <v>42783.144</v>
      </c>
      <c r="AC13" s="9"/>
      <c r="AD13" s="204">
        <f>Z13-O13</f>
        <v>28082.855721599997</v>
      </c>
      <c r="AE13" s="20"/>
      <c r="AF13" s="66">
        <f>AB13+Q13</f>
        <v>16665</v>
      </c>
      <c r="AG13" s="66">
        <v>16665</v>
      </c>
    </row>
    <row r="14" spans="1:33" ht="19.899999999999999" hidden="1" customHeight="1">
      <c r="A14" s="3" t="s">
        <v>14</v>
      </c>
      <c r="B14" s="3"/>
      <c r="C14" s="59" t="s">
        <v>47</v>
      </c>
      <c r="D14" s="23"/>
      <c r="E14" s="23"/>
      <c r="F14" s="23">
        <f>F$11*D14</f>
        <v>0</v>
      </c>
      <c r="G14" s="57"/>
      <c r="H14" s="58"/>
      <c r="I14" s="59"/>
      <c r="J14" s="59" t="s">
        <v>14</v>
      </c>
      <c r="K14" s="59"/>
      <c r="L14" s="19"/>
      <c r="M14" s="20">
        <v>0</v>
      </c>
      <c r="N14" s="56"/>
      <c r="O14" s="56">
        <f>O$11*M14</f>
        <v>0</v>
      </c>
      <c r="P14" s="59"/>
      <c r="Q14" s="60"/>
      <c r="R14" s="59"/>
      <c r="S14" s="60"/>
      <c r="T14" s="59"/>
      <c r="U14" s="59" t="s">
        <v>14</v>
      </c>
      <c r="V14" s="59"/>
      <c r="W14" s="59"/>
      <c r="X14" s="56">
        <v>0</v>
      </c>
      <c r="Y14" s="56"/>
      <c r="Z14" s="56">
        <f>Z$11*X14</f>
        <v>0</v>
      </c>
      <c r="AA14" s="59"/>
      <c r="AB14" s="205">
        <f t="shared" ref="AB14:AB20" si="0">X14-M14</f>
        <v>0</v>
      </c>
      <c r="AC14" s="57"/>
      <c r="AD14" s="206">
        <f t="shared" ref="AD14:AD20" si="1">Z14-O14</f>
        <v>0</v>
      </c>
      <c r="AE14" s="23"/>
      <c r="AF14" s="66">
        <f t="shared" ref="AF14:AF18" si="2">AB14+Q14</f>
        <v>0</v>
      </c>
      <c r="AG14" s="66">
        <v>0</v>
      </c>
    </row>
    <row r="15" spans="1:33" ht="20.65" hidden="1" customHeight="1">
      <c r="A15" s="3" t="s">
        <v>15</v>
      </c>
      <c r="B15" s="3"/>
      <c r="C15" s="3"/>
      <c r="D15" s="23">
        <v>0</v>
      </c>
      <c r="E15" s="23"/>
      <c r="F15" s="23">
        <f>F$11*D15</f>
        <v>0</v>
      </c>
      <c r="G15" s="22"/>
      <c r="H15" s="17"/>
      <c r="I15" s="2"/>
      <c r="J15" s="19" t="s">
        <v>15</v>
      </c>
      <c r="K15" s="19"/>
      <c r="L15" s="19"/>
      <c r="M15" s="20"/>
      <c r="N15" s="23"/>
      <c r="O15" s="23">
        <f>O$11*M15</f>
        <v>0</v>
      </c>
      <c r="P15" s="2"/>
      <c r="Q15" s="24">
        <f t="shared" ref="Q15:Q19" si="3">M15-D15</f>
        <v>0</v>
      </c>
      <c r="R15" s="3"/>
      <c r="S15" s="24">
        <f t="shared" ref="S15:S20" si="4">O15-F15</f>
        <v>0</v>
      </c>
      <c r="T15" s="2"/>
      <c r="U15" s="19" t="s">
        <v>15</v>
      </c>
      <c r="V15" s="19"/>
      <c r="W15" s="19"/>
      <c r="X15" s="23">
        <v>0</v>
      </c>
      <c r="Y15" s="23"/>
      <c r="Z15" s="23">
        <f>Z$11*X15</f>
        <v>0</v>
      </c>
      <c r="AA15" s="2"/>
      <c r="AB15" s="207">
        <f t="shared" si="0"/>
        <v>0</v>
      </c>
      <c r="AC15" s="27"/>
      <c r="AD15" s="208">
        <f t="shared" si="1"/>
        <v>0</v>
      </c>
      <c r="AE15" s="23"/>
      <c r="AF15" s="66">
        <f t="shared" si="2"/>
        <v>0</v>
      </c>
      <c r="AG15" s="66">
        <v>0</v>
      </c>
    </row>
    <row r="16" spans="1:33">
      <c r="A16" s="3" t="s">
        <v>16</v>
      </c>
      <c r="B16" s="3"/>
      <c r="C16" s="3" t="s">
        <v>9</v>
      </c>
      <c r="D16" s="23">
        <f>'12.2019 Actual'!E108-D17-D18</f>
        <v>19255.005000000001</v>
      </c>
      <c r="E16" s="23"/>
      <c r="F16" s="23">
        <f>F$11*D16</f>
        <v>12638.985282</v>
      </c>
      <c r="G16" s="22"/>
      <c r="H16" s="25"/>
      <c r="I16" s="2"/>
      <c r="J16" s="19" t="s">
        <v>16</v>
      </c>
      <c r="K16" s="19"/>
      <c r="L16" s="19"/>
      <c r="M16" s="20">
        <f>'Monthly Authorized'!B30/1000</f>
        <v>15149.484</v>
      </c>
      <c r="N16" s="23"/>
      <c r="O16" s="23">
        <f>O$11*M16</f>
        <v>9944.1212976000006</v>
      </c>
      <c r="P16" s="2"/>
      <c r="Q16" s="24">
        <f t="shared" si="3"/>
        <v>-4105.5210000000006</v>
      </c>
      <c r="R16" s="3"/>
      <c r="S16" s="24">
        <f t="shared" si="4"/>
        <v>-2694.863984399999</v>
      </c>
      <c r="T16" s="2"/>
      <c r="U16" s="19" t="s">
        <v>16</v>
      </c>
      <c r="V16" s="19"/>
      <c r="W16" s="19"/>
      <c r="X16" s="228">
        <v>16950</v>
      </c>
      <c r="Y16" s="23"/>
      <c r="Z16" s="23">
        <f>Z$11*X16</f>
        <v>11125.98</v>
      </c>
      <c r="AA16" s="2"/>
      <c r="AB16" s="207">
        <f t="shared" si="0"/>
        <v>1800.5159999999996</v>
      </c>
      <c r="AC16" s="27"/>
      <c r="AD16" s="208">
        <f>Z16-O16-1182</f>
        <v>-0.14129760000105307</v>
      </c>
      <c r="AE16" s="23"/>
      <c r="AF16" s="251">
        <f t="shared" si="2"/>
        <v>-2305.005000000001</v>
      </c>
      <c r="AG16" s="66"/>
    </row>
    <row r="17" spans="1:33">
      <c r="A17" s="3" t="s">
        <v>16</v>
      </c>
      <c r="B17" s="3"/>
      <c r="C17" s="3" t="s">
        <v>17</v>
      </c>
      <c r="D17" s="126">
        <v>105</v>
      </c>
      <c r="E17" s="23"/>
      <c r="F17" s="27">
        <f>D17</f>
        <v>105</v>
      </c>
      <c r="G17" s="22"/>
      <c r="H17" s="26"/>
      <c r="I17" s="2"/>
      <c r="J17" s="19" t="s">
        <v>16</v>
      </c>
      <c r="K17" s="19"/>
      <c r="L17" s="19"/>
      <c r="M17" s="23">
        <v>0</v>
      </c>
      <c r="N17" s="23"/>
      <c r="O17" s="27">
        <f>M17</f>
        <v>0</v>
      </c>
      <c r="P17" s="2"/>
      <c r="Q17" s="24">
        <f t="shared" si="3"/>
        <v>-105</v>
      </c>
      <c r="R17" s="3"/>
      <c r="S17" s="24">
        <f t="shared" si="4"/>
        <v>-105</v>
      </c>
      <c r="T17" s="2"/>
      <c r="U17" s="19" t="s">
        <v>16</v>
      </c>
      <c r="V17" s="19"/>
      <c r="W17" s="19"/>
      <c r="X17" s="23"/>
      <c r="Y17" s="23"/>
      <c r="Z17" s="27">
        <f>X17</f>
        <v>0</v>
      </c>
      <c r="AA17" s="2"/>
      <c r="AB17" s="207">
        <f t="shared" si="0"/>
        <v>0</v>
      </c>
      <c r="AC17" s="27"/>
      <c r="AD17" s="208">
        <f t="shared" si="1"/>
        <v>0</v>
      </c>
      <c r="AE17" s="23"/>
      <c r="AF17" s="251">
        <f t="shared" si="2"/>
        <v>-105</v>
      </c>
      <c r="AG17" s="66"/>
    </row>
    <row r="18" spans="1:33">
      <c r="A18" s="3" t="s">
        <v>16</v>
      </c>
      <c r="B18" s="3"/>
      <c r="C18" s="3" t="s">
        <v>18</v>
      </c>
      <c r="D18" s="126">
        <f>51-103</f>
        <v>-52</v>
      </c>
      <c r="E18" s="23"/>
      <c r="F18" s="27">
        <v>0</v>
      </c>
      <c r="G18" s="22"/>
      <c r="H18" s="26"/>
      <c r="I18" s="2"/>
      <c r="J18" s="19" t="s">
        <v>16</v>
      </c>
      <c r="K18" s="19"/>
      <c r="L18" s="19"/>
      <c r="M18" s="23">
        <v>0</v>
      </c>
      <c r="N18" s="23"/>
      <c r="O18" s="27">
        <v>0</v>
      </c>
      <c r="P18" s="2"/>
      <c r="Q18" s="24">
        <f t="shared" si="3"/>
        <v>52</v>
      </c>
      <c r="R18" s="3"/>
      <c r="S18" s="24">
        <f t="shared" si="4"/>
        <v>0</v>
      </c>
      <c r="T18" s="2"/>
      <c r="U18" s="19" t="s">
        <v>16</v>
      </c>
      <c r="V18" s="19"/>
      <c r="W18" s="19"/>
      <c r="X18" s="23"/>
      <c r="Y18" s="23"/>
      <c r="Z18" s="27">
        <v>0</v>
      </c>
      <c r="AA18" s="2"/>
      <c r="AB18" s="207">
        <f t="shared" si="0"/>
        <v>0</v>
      </c>
      <c r="AC18" s="27"/>
      <c r="AD18" s="208">
        <f t="shared" si="1"/>
        <v>0</v>
      </c>
      <c r="AE18" s="23"/>
      <c r="AF18" s="251">
        <f t="shared" si="2"/>
        <v>52</v>
      </c>
      <c r="AG18" s="66"/>
    </row>
    <row r="19" spans="1:33" ht="13.9" customHeight="1">
      <c r="A19" s="3" t="s">
        <v>19</v>
      </c>
      <c r="B19" s="3"/>
      <c r="C19" s="3"/>
      <c r="D19" s="23">
        <f>'12.2019 Actual'!D107</f>
        <v>55414.771489999999</v>
      </c>
      <c r="E19" s="23"/>
      <c r="F19" s="23">
        <f>F$11*D19</f>
        <v>36374.256006035997</v>
      </c>
      <c r="G19" s="22"/>
      <c r="H19" s="17"/>
      <c r="I19" s="2"/>
      <c r="J19" s="19" t="s">
        <v>19</v>
      </c>
      <c r="K19" s="19"/>
      <c r="L19" s="19"/>
      <c r="M19" s="28">
        <f>0-M20</f>
        <v>0</v>
      </c>
      <c r="N19" s="23"/>
      <c r="O19" s="23">
        <f>O$11*M19</f>
        <v>0</v>
      </c>
      <c r="P19" s="2"/>
      <c r="Q19" s="24">
        <f t="shared" si="3"/>
        <v>-55414.771489999999</v>
      </c>
      <c r="R19" s="3"/>
      <c r="S19" s="24">
        <f t="shared" si="4"/>
        <v>-36374.256006035997</v>
      </c>
      <c r="T19" s="2"/>
      <c r="U19" s="19" t="s">
        <v>19</v>
      </c>
      <c r="V19" s="19"/>
      <c r="W19" s="19"/>
      <c r="X19" s="227">
        <v>240</v>
      </c>
      <c r="Y19" s="23"/>
      <c r="Z19" s="23">
        <f>Z$11*X19</f>
        <v>157.536</v>
      </c>
      <c r="AA19" s="2"/>
      <c r="AB19" s="207">
        <f t="shared" si="0"/>
        <v>240</v>
      </c>
      <c r="AC19" s="27"/>
      <c r="AD19" s="208">
        <f t="shared" si="1"/>
        <v>157.536</v>
      </c>
      <c r="AE19" s="23"/>
      <c r="AF19" s="235">
        <f t="shared" ref="AF19" si="5">AB19+Q19</f>
        <v>-55174.771489999999</v>
      </c>
      <c r="AG19" s="235">
        <v>-55175</v>
      </c>
    </row>
    <row r="20" spans="1:33" ht="0.6" customHeight="1">
      <c r="A20" s="3" t="s">
        <v>20</v>
      </c>
      <c r="B20" s="3"/>
      <c r="C20" s="3"/>
      <c r="D20" s="30">
        <v>0</v>
      </c>
      <c r="E20" s="27"/>
      <c r="F20" s="30">
        <f>D20</f>
        <v>0</v>
      </c>
      <c r="G20" s="22"/>
      <c r="H20" s="17"/>
      <c r="I20" s="2"/>
      <c r="J20" s="19" t="s">
        <v>20</v>
      </c>
      <c r="K20" s="19"/>
      <c r="L20" s="19"/>
      <c r="M20" s="30">
        <v>0</v>
      </c>
      <c r="N20" s="27"/>
      <c r="O20" s="30">
        <f>M20</f>
        <v>0</v>
      </c>
      <c r="P20" s="2"/>
      <c r="Q20" s="29"/>
      <c r="R20" s="3"/>
      <c r="S20" s="31">
        <f t="shared" si="4"/>
        <v>0</v>
      </c>
      <c r="T20" s="2"/>
      <c r="U20" s="19" t="s">
        <v>20</v>
      </c>
      <c r="V20" s="19"/>
      <c r="W20" s="19"/>
      <c r="X20" s="30">
        <v>0</v>
      </c>
      <c r="Y20" s="27"/>
      <c r="Z20" s="30">
        <f>X20</f>
        <v>0</v>
      </c>
      <c r="AA20" s="2"/>
      <c r="AB20" s="207">
        <f t="shared" si="0"/>
        <v>0</v>
      </c>
      <c r="AC20" s="27"/>
      <c r="AD20" s="208">
        <f t="shared" si="1"/>
        <v>0</v>
      </c>
      <c r="AE20" s="23"/>
      <c r="AG20" s="66" t="e">
        <f>#REF!+#REF!-F20</f>
        <v>#REF!</v>
      </c>
    </row>
    <row r="21" spans="1:33">
      <c r="A21" s="3" t="s">
        <v>21</v>
      </c>
      <c r="B21" s="3"/>
      <c r="C21" s="3"/>
      <c r="D21" s="61">
        <f>SUM(D13:D20)</f>
        <v>154944.77649000002</v>
      </c>
      <c r="E21" s="27"/>
      <c r="F21" s="61">
        <f>SUM(F13:F20)</f>
        <v>101775.962088036</v>
      </c>
      <c r="G21" s="22"/>
      <c r="H21" s="17"/>
      <c r="I21" s="2"/>
      <c r="J21" s="19" t="s">
        <v>21</v>
      </c>
      <c r="K21" s="19"/>
      <c r="L21" s="19"/>
      <c r="M21" s="61">
        <f>SUM(M13:M19)</f>
        <v>69253.34</v>
      </c>
      <c r="N21" s="27"/>
      <c r="O21" s="61">
        <f>SUM(O13:O20)</f>
        <v>45457.892376000003</v>
      </c>
      <c r="P21" s="2"/>
      <c r="Q21" s="52">
        <f>SUM(Q13:Q20)</f>
        <v>-85691.436489999993</v>
      </c>
      <c r="R21" s="3"/>
      <c r="S21" s="52">
        <f>SUM(S13:S20)</f>
        <v>-56318.069712035991</v>
      </c>
      <c r="T21" s="2"/>
      <c r="U21" s="19" t="s">
        <v>21</v>
      </c>
      <c r="V21" s="19"/>
      <c r="W21" s="19"/>
      <c r="X21" s="61">
        <f>SUM(X13:X20)</f>
        <v>114077</v>
      </c>
      <c r="Y21" s="27"/>
      <c r="Z21" s="61">
        <f>SUM(Z13:Z20)</f>
        <v>74880.142799999987</v>
      </c>
      <c r="AA21" s="2"/>
      <c r="AB21" s="209">
        <f>SUM(AB13:AB20)</f>
        <v>44823.66</v>
      </c>
      <c r="AC21" s="9"/>
      <c r="AD21" s="210">
        <f>SUM(AD13:AD20)</f>
        <v>28240.250423999998</v>
      </c>
      <c r="AE21" s="27"/>
      <c r="AF21" s="66">
        <f>SUM(AF13:AF20)</f>
        <v>-40867.776490000004</v>
      </c>
      <c r="AG21" s="66">
        <f>SUM(AG13:AG19)</f>
        <v>-38510</v>
      </c>
    </row>
    <row r="22" spans="1:33" ht="12" customHeight="1">
      <c r="A22" s="3"/>
      <c r="B22" s="3"/>
      <c r="C22" s="3"/>
      <c r="D22" s="23"/>
      <c r="E22" s="27"/>
      <c r="F22" s="23"/>
      <c r="G22" s="22"/>
      <c r="H22" s="17"/>
      <c r="I22" s="2"/>
      <c r="J22" s="19"/>
      <c r="K22" s="19"/>
      <c r="L22" s="19"/>
      <c r="M22" s="23"/>
      <c r="N22" s="27"/>
      <c r="O22" s="23"/>
      <c r="P22" s="2"/>
      <c r="Q22" s="21"/>
      <c r="R22" s="3"/>
      <c r="S22" s="21"/>
      <c r="T22" s="2"/>
      <c r="U22" s="19"/>
      <c r="V22" s="19"/>
      <c r="W22" s="19"/>
      <c r="X22" s="23"/>
      <c r="Y22" s="27"/>
      <c r="Z22" s="23"/>
      <c r="AA22" s="2"/>
      <c r="AB22" s="211"/>
      <c r="AC22" s="9"/>
      <c r="AD22" s="212"/>
      <c r="AE22" s="23"/>
    </row>
    <row r="23" spans="1:33" ht="14.45" customHeight="1">
      <c r="A23" s="3"/>
      <c r="B23" s="3"/>
      <c r="C23" s="3"/>
      <c r="D23" s="21"/>
      <c r="E23" s="22"/>
      <c r="F23" s="21"/>
      <c r="G23" s="22"/>
      <c r="H23" s="17"/>
      <c r="I23" s="2"/>
      <c r="J23" s="19"/>
      <c r="K23" s="19"/>
      <c r="L23" s="19"/>
      <c r="M23" s="23"/>
      <c r="N23" s="27"/>
      <c r="O23" s="23"/>
      <c r="P23" s="2"/>
      <c r="Q23" s="21"/>
      <c r="R23" s="3"/>
      <c r="S23" s="21"/>
      <c r="T23" s="2"/>
      <c r="U23" s="19"/>
      <c r="V23" s="19"/>
      <c r="W23" s="19"/>
      <c r="X23" s="23"/>
      <c r="Y23" s="27"/>
      <c r="Z23" s="23"/>
      <c r="AA23" s="2"/>
      <c r="AB23" s="211"/>
      <c r="AC23" s="9"/>
      <c r="AD23" s="212"/>
      <c r="AE23" s="23"/>
    </row>
    <row r="24" spans="1:33">
      <c r="A24" s="3" t="s">
        <v>22</v>
      </c>
      <c r="B24" s="3"/>
      <c r="C24" s="3"/>
      <c r="D24" s="23">
        <f>'12.2019 Actual'!D47</f>
        <v>28880</v>
      </c>
      <c r="E24" s="22"/>
      <c r="F24" s="21">
        <f t="shared" ref="F24:F32" si="6">F$11*D24</f>
        <v>18956.831999999999</v>
      </c>
      <c r="G24" s="22"/>
      <c r="H24" s="17"/>
      <c r="I24" s="2"/>
      <c r="J24" s="19" t="s">
        <v>22</v>
      </c>
      <c r="K24" s="19"/>
      <c r="L24" s="19"/>
      <c r="M24" s="124">
        <f>'Monthly Authorized'!B20/1000</f>
        <v>28873.933000000001</v>
      </c>
      <c r="N24" s="27"/>
      <c r="O24" s="23">
        <f t="shared" ref="O24:O28" si="7">O$11*M24</f>
        <v>18952.849621199999</v>
      </c>
      <c r="P24" s="2"/>
      <c r="Q24" s="17">
        <f>M24-D24</f>
        <v>-6.0669999999990978</v>
      </c>
      <c r="R24" s="3"/>
      <c r="S24" s="17">
        <f>O24-F24</f>
        <v>-3.9823787999994238</v>
      </c>
      <c r="T24" s="2"/>
      <c r="U24" s="19" t="s">
        <v>22</v>
      </c>
      <c r="V24" s="19"/>
      <c r="W24" s="19"/>
      <c r="X24" s="225">
        <v>31785</v>
      </c>
      <c r="Y24" s="27"/>
      <c r="Z24" s="23">
        <f t="shared" ref="Z24:Z28" si="8">Z$11*X24</f>
        <v>20863.673999999999</v>
      </c>
      <c r="AA24" s="2"/>
      <c r="AB24" s="203">
        <f>X24-M24</f>
        <v>2911.0669999999991</v>
      </c>
      <c r="AC24" s="9"/>
      <c r="AD24" s="204">
        <f>Z24-O24</f>
        <v>1910.8243788</v>
      </c>
      <c r="AE24" s="20"/>
      <c r="AF24" s="66">
        <f>AB24+Q24</f>
        <v>2905</v>
      </c>
      <c r="AG24" s="66">
        <v>2904</v>
      </c>
    </row>
    <row r="25" spans="1:33" ht="18" hidden="1" customHeight="1">
      <c r="A25" s="3" t="s">
        <v>23</v>
      </c>
      <c r="B25" s="3"/>
      <c r="C25" s="3"/>
      <c r="D25" s="23">
        <v>0</v>
      </c>
      <c r="E25" s="22"/>
      <c r="F25" s="21">
        <f t="shared" si="6"/>
        <v>0</v>
      </c>
      <c r="G25" s="22"/>
      <c r="H25" s="17"/>
      <c r="I25" s="2"/>
      <c r="J25" s="19" t="s">
        <v>23</v>
      </c>
      <c r="K25" s="19"/>
      <c r="L25" s="19"/>
      <c r="M25" s="124"/>
      <c r="N25" s="27"/>
      <c r="O25" s="23">
        <f t="shared" si="7"/>
        <v>0</v>
      </c>
      <c r="P25" s="2"/>
      <c r="Q25" s="21"/>
      <c r="R25" s="3"/>
      <c r="S25" s="24">
        <f t="shared" ref="S25:S34" si="9">O25-F25</f>
        <v>0</v>
      </c>
      <c r="T25" s="2"/>
      <c r="U25" s="19" t="s">
        <v>23</v>
      </c>
      <c r="V25" s="19"/>
      <c r="W25" s="19"/>
      <c r="X25" s="23">
        <v>0</v>
      </c>
      <c r="Y25" s="27"/>
      <c r="Z25" s="23">
        <f t="shared" si="8"/>
        <v>0</v>
      </c>
      <c r="AA25" s="2"/>
      <c r="AB25" s="207">
        <f t="shared" ref="AB25:AB37" si="10">X25-M25</f>
        <v>0</v>
      </c>
      <c r="AC25" s="27"/>
      <c r="AD25" s="208">
        <f t="shared" ref="AD25:AD37" si="11">Z25-O25</f>
        <v>0</v>
      </c>
      <c r="AE25" s="23"/>
      <c r="AF25" s="66">
        <f t="shared" ref="AF25:AF34" si="12">AB25+Q25</f>
        <v>0</v>
      </c>
      <c r="AG25" s="66"/>
    </row>
    <row r="26" spans="1:33">
      <c r="A26" s="3" t="s">
        <v>24</v>
      </c>
      <c r="B26" s="3"/>
      <c r="C26" s="3"/>
      <c r="D26" s="23">
        <f>'12.2019 Actual'!D61</f>
        <v>71501</v>
      </c>
      <c r="E26" s="22"/>
      <c r="F26" s="21">
        <f t="shared" si="6"/>
        <v>46933.256399999998</v>
      </c>
      <c r="G26" s="22"/>
      <c r="H26" s="17"/>
      <c r="I26" s="2"/>
      <c r="J26" s="19" t="s">
        <v>24</v>
      </c>
      <c r="K26" s="19"/>
      <c r="L26" s="19"/>
      <c r="M26" s="124">
        <f>'Monthly Authorized'!B22/1000</f>
        <v>70067.290999999997</v>
      </c>
      <c r="N26" s="27"/>
      <c r="O26" s="23">
        <f t="shared" si="7"/>
        <v>45992.169812399996</v>
      </c>
      <c r="P26" s="2"/>
      <c r="Q26" s="24">
        <f t="shared" ref="Q26:Q28" si="13">M26-D26</f>
        <v>-1433.7090000000026</v>
      </c>
      <c r="R26" s="3"/>
      <c r="S26" s="24">
        <f t="shared" si="9"/>
        <v>-941.08658760000253</v>
      </c>
      <c r="T26" s="2"/>
      <c r="U26" s="19" t="s">
        <v>24</v>
      </c>
      <c r="V26" s="19"/>
      <c r="W26" s="19"/>
      <c r="X26" s="225">
        <v>83823</v>
      </c>
      <c r="Y26" s="27"/>
      <c r="Z26" s="23">
        <f t="shared" si="8"/>
        <v>55021.417199999996</v>
      </c>
      <c r="AA26" s="2"/>
      <c r="AB26" s="207">
        <f t="shared" si="10"/>
        <v>13755.709000000003</v>
      </c>
      <c r="AC26" s="27"/>
      <c r="AD26" s="208">
        <f t="shared" si="11"/>
        <v>9029.2473876000004</v>
      </c>
      <c r="AE26" s="23"/>
      <c r="AF26" s="66">
        <f t="shared" si="12"/>
        <v>12322</v>
      </c>
      <c r="AG26" s="66">
        <v>12322</v>
      </c>
    </row>
    <row r="27" spans="1:33" ht="13.9" hidden="1" customHeight="1">
      <c r="A27" s="3" t="s">
        <v>25</v>
      </c>
      <c r="B27" s="3"/>
      <c r="C27" s="59" t="s">
        <v>47</v>
      </c>
      <c r="D27" s="56"/>
      <c r="E27" s="56"/>
      <c r="F27" s="56">
        <f t="shared" si="6"/>
        <v>0</v>
      </c>
      <c r="G27" s="57"/>
      <c r="H27" s="58"/>
      <c r="I27" s="59"/>
      <c r="J27" s="59" t="s">
        <v>25</v>
      </c>
      <c r="K27" s="59"/>
      <c r="L27" s="19"/>
      <c r="M27" s="124"/>
      <c r="N27" s="56"/>
      <c r="O27" s="56">
        <f t="shared" si="7"/>
        <v>0</v>
      </c>
      <c r="P27" s="59"/>
      <c r="Q27" s="60"/>
      <c r="R27" s="59"/>
      <c r="S27" s="60"/>
      <c r="T27" s="59"/>
      <c r="U27" s="59" t="s">
        <v>25</v>
      </c>
      <c r="V27" s="59"/>
      <c r="W27" s="59"/>
      <c r="X27" s="56">
        <v>0</v>
      </c>
      <c r="Y27" s="56"/>
      <c r="Z27" s="56">
        <f t="shared" si="8"/>
        <v>0</v>
      </c>
      <c r="AA27" s="59"/>
      <c r="AB27" s="205">
        <f t="shared" si="10"/>
        <v>0</v>
      </c>
      <c r="AC27" s="57"/>
      <c r="AD27" s="206">
        <f t="shared" si="11"/>
        <v>0</v>
      </c>
      <c r="AE27" s="23"/>
      <c r="AF27" s="66">
        <f t="shared" si="12"/>
        <v>0</v>
      </c>
      <c r="AG27" s="66"/>
    </row>
    <row r="28" spans="1:33">
      <c r="A28" s="3" t="s">
        <v>26</v>
      </c>
      <c r="B28" s="3"/>
      <c r="C28" s="3"/>
      <c r="D28" s="23">
        <f>'12.2019 Actual'!D27</f>
        <v>133944</v>
      </c>
      <c r="E28" s="22"/>
      <c r="F28" s="21">
        <f t="shared" si="6"/>
        <v>87920.8416</v>
      </c>
      <c r="G28" s="22"/>
      <c r="H28" s="17"/>
      <c r="I28" s="2"/>
      <c r="J28" s="19" t="s">
        <v>26</v>
      </c>
      <c r="K28" s="19"/>
      <c r="L28" s="19"/>
      <c r="M28" s="124">
        <f>'Monthly Authorized'!B18/1000</f>
        <v>111395.052</v>
      </c>
      <c r="N28" s="27"/>
      <c r="O28" s="23">
        <f t="shared" si="7"/>
        <v>73119.712132799992</v>
      </c>
      <c r="P28" s="2"/>
      <c r="Q28" s="24">
        <f t="shared" si="13"/>
        <v>-22548.948000000004</v>
      </c>
      <c r="R28" s="3"/>
      <c r="S28" s="24">
        <f t="shared" si="9"/>
        <v>-14801.129467200008</v>
      </c>
      <c r="T28" s="2"/>
      <c r="U28" s="19" t="s">
        <v>26</v>
      </c>
      <c r="V28" s="19"/>
      <c r="W28" s="19"/>
      <c r="X28" s="225">
        <v>106667</v>
      </c>
      <c r="Y28" s="27"/>
      <c r="Z28" s="23">
        <f t="shared" si="8"/>
        <v>70016.218800000002</v>
      </c>
      <c r="AA28" s="2"/>
      <c r="AB28" s="207">
        <f t="shared" si="10"/>
        <v>-4728.051999999996</v>
      </c>
      <c r="AC28" s="27"/>
      <c r="AD28" s="208">
        <f t="shared" si="11"/>
        <v>-3103.4933327999897</v>
      </c>
      <c r="AE28" s="23"/>
      <c r="AF28" s="66">
        <f t="shared" si="12"/>
        <v>-27277</v>
      </c>
      <c r="AG28" s="66">
        <v>-27277</v>
      </c>
    </row>
    <row r="29" spans="1:33">
      <c r="A29" s="3" t="s">
        <v>27</v>
      </c>
      <c r="B29" s="3"/>
      <c r="C29" s="3"/>
      <c r="D29" s="21">
        <v>0</v>
      </c>
      <c r="E29" s="22"/>
      <c r="F29" s="23">
        <v>0</v>
      </c>
      <c r="G29" s="22"/>
      <c r="H29" s="3"/>
      <c r="I29" s="2"/>
      <c r="J29" s="19" t="s">
        <v>27</v>
      </c>
      <c r="K29" s="19"/>
      <c r="L29" s="19"/>
      <c r="M29" s="124">
        <v>0</v>
      </c>
      <c r="N29" s="27"/>
      <c r="O29" s="23">
        <v>0</v>
      </c>
      <c r="P29" s="2"/>
      <c r="Q29" s="21"/>
      <c r="R29" s="3"/>
      <c r="S29" s="24">
        <f t="shared" si="9"/>
        <v>0</v>
      </c>
      <c r="T29" s="2"/>
      <c r="U29" s="19" t="s">
        <v>27</v>
      </c>
      <c r="V29" s="19"/>
      <c r="W29" s="19"/>
      <c r="X29" s="23">
        <v>0</v>
      </c>
      <c r="Y29" s="27"/>
      <c r="Z29" s="23">
        <v>0</v>
      </c>
      <c r="AA29" s="2"/>
      <c r="AB29" s="207">
        <f t="shared" si="10"/>
        <v>0</v>
      </c>
      <c r="AC29" s="27"/>
      <c r="AD29" s="208">
        <f t="shared" si="11"/>
        <v>0</v>
      </c>
      <c r="AE29" s="23"/>
      <c r="AF29" s="66">
        <f t="shared" si="12"/>
        <v>0</v>
      </c>
      <c r="AG29" s="66">
        <v>0</v>
      </c>
    </row>
    <row r="30" spans="1:33" ht="13.15" customHeight="1">
      <c r="A30" s="3" t="s">
        <v>28</v>
      </c>
      <c r="B30" s="3"/>
      <c r="C30" s="3"/>
      <c r="D30" s="21">
        <v>0</v>
      </c>
      <c r="E30" s="22"/>
      <c r="F30" s="21">
        <f t="shared" si="6"/>
        <v>0</v>
      </c>
      <c r="G30" s="22"/>
      <c r="H30" s="17"/>
      <c r="I30" s="2"/>
      <c r="J30" s="19" t="s">
        <v>28</v>
      </c>
      <c r="K30" s="19"/>
      <c r="L30" s="19"/>
      <c r="M30" s="124"/>
      <c r="N30" s="27"/>
      <c r="O30" s="23">
        <f t="shared" ref="O30:O32" si="14">O$11*M30</f>
        <v>0</v>
      </c>
      <c r="P30" s="2"/>
      <c r="Q30" s="21"/>
      <c r="R30" s="3"/>
      <c r="S30" s="24">
        <f t="shared" si="9"/>
        <v>0</v>
      </c>
      <c r="T30" s="2"/>
      <c r="U30" s="19" t="s">
        <v>28</v>
      </c>
      <c r="V30" s="19"/>
      <c r="W30" s="19"/>
      <c r="X30" s="23">
        <v>0</v>
      </c>
      <c r="Y30" s="27"/>
      <c r="Z30" s="23">
        <f t="shared" ref="Z30:Z32" si="15">Z$11*X30</f>
        <v>0</v>
      </c>
      <c r="AA30" s="2"/>
      <c r="AB30" s="207">
        <f t="shared" si="10"/>
        <v>0</v>
      </c>
      <c r="AC30" s="27"/>
      <c r="AD30" s="208">
        <f t="shared" si="11"/>
        <v>0</v>
      </c>
      <c r="AE30" s="23"/>
      <c r="AF30" s="66">
        <f t="shared" si="12"/>
        <v>0</v>
      </c>
      <c r="AG30" s="66">
        <v>0</v>
      </c>
    </row>
    <row r="31" spans="1:33" ht="14.45" hidden="1" customHeight="1">
      <c r="A31" s="3" t="s">
        <v>29</v>
      </c>
      <c r="B31" s="3"/>
      <c r="C31" s="59" t="s">
        <v>47</v>
      </c>
      <c r="D31" s="56"/>
      <c r="E31" s="56"/>
      <c r="F31" s="56">
        <f t="shared" si="6"/>
        <v>0</v>
      </c>
      <c r="G31" s="57"/>
      <c r="H31" s="58"/>
      <c r="I31" s="59"/>
      <c r="J31" s="59" t="s">
        <v>29</v>
      </c>
      <c r="K31" s="59"/>
      <c r="L31" s="19"/>
      <c r="M31" s="124"/>
      <c r="N31" s="56"/>
      <c r="O31" s="56">
        <f t="shared" si="14"/>
        <v>0</v>
      </c>
      <c r="P31" s="59"/>
      <c r="Q31" s="60"/>
      <c r="R31" s="59"/>
      <c r="S31" s="60"/>
      <c r="T31" s="59"/>
      <c r="U31" s="59" t="s">
        <v>29</v>
      </c>
      <c r="V31" s="59"/>
      <c r="W31" s="59"/>
      <c r="X31" s="56">
        <v>0</v>
      </c>
      <c r="Y31" s="56"/>
      <c r="Z31" s="56">
        <f t="shared" si="15"/>
        <v>0</v>
      </c>
      <c r="AA31" s="59"/>
      <c r="AB31" s="205">
        <f t="shared" si="10"/>
        <v>0</v>
      </c>
      <c r="AC31" s="57"/>
      <c r="AD31" s="206">
        <f t="shared" si="11"/>
        <v>0</v>
      </c>
      <c r="AE31" s="23"/>
      <c r="AF31" s="66">
        <f t="shared" si="12"/>
        <v>0</v>
      </c>
      <c r="AG31" s="66"/>
    </row>
    <row r="32" spans="1:33">
      <c r="A32" s="3" t="s">
        <v>30</v>
      </c>
      <c r="B32" s="3"/>
      <c r="C32" s="3"/>
      <c r="D32" s="21">
        <f>'12.2019 Actual'!D40-D33</f>
        <v>49676</v>
      </c>
      <c r="E32" s="22"/>
      <c r="F32" s="21">
        <f t="shared" si="6"/>
        <v>32607.326399999998</v>
      </c>
      <c r="G32" s="22"/>
      <c r="H32" s="17"/>
      <c r="I32" s="2"/>
      <c r="J32" s="19" t="s">
        <v>30</v>
      </c>
      <c r="K32" s="19"/>
      <c r="L32" s="19"/>
      <c r="M32" s="124">
        <f>'Monthly Authorized'!B32/1000</f>
        <v>411</v>
      </c>
      <c r="N32" s="27"/>
      <c r="O32" s="23">
        <f t="shared" si="14"/>
        <v>269.78039999999999</v>
      </c>
      <c r="P32" s="2"/>
      <c r="Q32" s="24">
        <f t="shared" ref="Q32:Q34" si="16">M32-D32</f>
        <v>-49265</v>
      </c>
      <c r="R32" s="3"/>
      <c r="S32" s="24">
        <f t="shared" si="9"/>
        <v>-32337.545999999998</v>
      </c>
      <c r="T32" s="2"/>
      <c r="U32" s="19" t="s">
        <v>30</v>
      </c>
      <c r="V32" s="19"/>
      <c r="W32" s="19"/>
      <c r="X32" s="225">
        <v>570</v>
      </c>
      <c r="Y32" s="27"/>
      <c r="Z32" s="23">
        <f t="shared" si="15"/>
        <v>374.14799999999997</v>
      </c>
      <c r="AA32" s="2"/>
      <c r="AB32" s="207">
        <f t="shared" si="10"/>
        <v>159</v>
      </c>
      <c r="AC32" s="27"/>
      <c r="AD32" s="208">
        <f t="shared" si="11"/>
        <v>104.36759999999998</v>
      </c>
      <c r="AE32" s="23"/>
      <c r="AF32" s="66">
        <f>AB32+Q32</f>
        <v>-49106</v>
      </c>
      <c r="AG32" s="66">
        <v>-49105</v>
      </c>
    </row>
    <row r="33" spans="1:34">
      <c r="A33" s="3" t="s">
        <v>31</v>
      </c>
      <c r="B33" s="3"/>
      <c r="C33" s="3"/>
      <c r="D33" s="162">
        <v>0</v>
      </c>
      <c r="E33" s="22"/>
      <c r="F33" s="23">
        <f>D33</f>
        <v>0</v>
      </c>
      <c r="G33" s="22"/>
      <c r="H33" s="33"/>
      <c r="I33" s="2"/>
      <c r="J33" s="19" t="s">
        <v>31</v>
      </c>
      <c r="K33" s="19"/>
      <c r="L33" s="34" t="s">
        <v>32</v>
      </c>
      <c r="M33" s="23">
        <f>ROUND('Monthly Authorized'!B38/1000,0)+ROUND((M55+K55)/1000,0)</f>
        <v>-2503</v>
      </c>
      <c r="N33" s="27"/>
      <c r="O33" s="23">
        <f>M33</f>
        <v>-2503</v>
      </c>
      <c r="P33" s="2"/>
      <c r="Q33" s="24">
        <f t="shared" si="16"/>
        <v>-2503</v>
      </c>
      <c r="R33" s="3"/>
      <c r="S33" s="24">
        <f t="shared" si="9"/>
        <v>-2503</v>
      </c>
      <c r="T33" s="2"/>
      <c r="U33" s="19" t="s">
        <v>31</v>
      </c>
      <c r="V33" s="19"/>
      <c r="W33" s="34"/>
      <c r="X33" s="23">
        <v>0</v>
      </c>
      <c r="Y33" s="27"/>
      <c r="Z33" s="23">
        <f>X33</f>
        <v>0</v>
      </c>
      <c r="AA33" s="2"/>
      <c r="AB33" s="207">
        <f t="shared" si="10"/>
        <v>2503</v>
      </c>
      <c r="AC33" s="27"/>
      <c r="AD33" s="208">
        <f t="shared" si="11"/>
        <v>2503</v>
      </c>
      <c r="AE33" s="23"/>
      <c r="AF33" s="66">
        <f t="shared" si="12"/>
        <v>0</v>
      </c>
      <c r="AG33" s="66">
        <v>0</v>
      </c>
    </row>
    <row r="34" spans="1:34">
      <c r="A34" s="3" t="s">
        <v>33</v>
      </c>
      <c r="B34" s="3"/>
      <c r="C34" s="3"/>
      <c r="D34" s="23">
        <f>'12.2019 Actual'!D77</f>
        <v>17253</v>
      </c>
      <c r="E34" s="22"/>
      <c r="F34" s="21">
        <f>F$11*D34</f>
        <v>11324.869199999999</v>
      </c>
      <c r="G34" s="22"/>
      <c r="H34" s="17"/>
      <c r="I34" s="2"/>
      <c r="J34" s="19" t="s">
        <v>33</v>
      </c>
      <c r="K34" s="19"/>
      <c r="L34" s="19"/>
      <c r="M34" s="124">
        <f>'Monthly Authorized'!B28/1000</f>
        <v>17404.327000000001</v>
      </c>
      <c r="N34" s="27"/>
      <c r="O34" s="23">
        <f>O$11*M34</f>
        <v>11424.2002428</v>
      </c>
      <c r="P34" s="2"/>
      <c r="Q34" s="55">
        <f t="shared" si="16"/>
        <v>151.32700000000114</v>
      </c>
      <c r="R34" s="3"/>
      <c r="S34" s="24">
        <f t="shared" si="9"/>
        <v>99.331042800000432</v>
      </c>
      <c r="T34" s="2"/>
      <c r="U34" s="19" t="s">
        <v>33</v>
      </c>
      <c r="V34" s="19"/>
      <c r="W34" s="19"/>
      <c r="X34" s="225">
        <v>18412</v>
      </c>
      <c r="Y34" s="27"/>
      <c r="Z34" s="23">
        <f>Z$11*X34</f>
        <v>12085.6368</v>
      </c>
      <c r="AA34" s="2"/>
      <c r="AB34" s="207">
        <f t="shared" si="10"/>
        <v>1007.6729999999989</v>
      </c>
      <c r="AC34" s="27"/>
      <c r="AD34" s="208">
        <f t="shared" si="11"/>
        <v>661.43655720000061</v>
      </c>
      <c r="AE34" s="23"/>
      <c r="AF34" s="235">
        <f t="shared" si="12"/>
        <v>1159</v>
      </c>
      <c r="AG34" s="235">
        <v>1159</v>
      </c>
    </row>
    <row r="35" spans="1:34" ht="18.600000000000001" hidden="1" customHeight="1">
      <c r="A35" s="3" t="s">
        <v>43</v>
      </c>
      <c r="B35" s="3"/>
      <c r="C35" s="59" t="s">
        <v>47</v>
      </c>
      <c r="D35" s="56"/>
      <c r="E35" s="56"/>
      <c r="F35" s="56">
        <f>F$11*D35</f>
        <v>0</v>
      </c>
      <c r="G35" s="57"/>
      <c r="H35" s="58"/>
      <c r="I35" s="59"/>
      <c r="J35" s="59"/>
      <c r="K35" s="59"/>
      <c r="L35" s="19"/>
      <c r="M35" s="23"/>
      <c r="N35" s="56"/>
      <c r="O35" s="56">
        <f>O$11*M35</f>
        <v>0</v>
      </c>
      <c r="P35" s="59"/>
      <c r="Q35" s="60"/>
      <c r="R35" s="59"/>
      <c r="S35" s="60"/>
      <c r="T35" s="59"/>
      <c r="U35" s="59" t="s">
        <v>43</v>
      </c>
      <c r="V35" s="59"/>
      <c r="W35" s="59"/>
      <c r="X35" s="56">
        <v>0</v>
      </c>
      <c r="Y35" s="56"/>
      <c r="Z35" s="56">
        <f>Z$11*X35</f>
        <v>0</v>
      </c>
      <c r="AA35" s="59"/>
      <c r="AB35" s="205">
        <f t="shared" si="10"/>
        <v>0</v>
      </c>
      <c r="AC35" s="57"/>
      <c r="AD35" s="206">
        <f t="shared" si="11"/>
        <v>0</v>
      </c>
      <c r="AE35" s="23"/>
      <c r="AF35" s="66"/>
      <c r="AG35" s="66"/>
    </row>
    <row r="36" spans="1:34" ht="18.600000000000001" hidden="1" customHeight="1">
      <c r="A36" s="3" t="s">
        <v>45</v>
      </c>
      <c r="B36" s="3"/>
      <c r="C36" s="59" t="s">
        <v>47</v>
      </c>
      <c r="D36" s="56"/>
      <c r="E36" s="56"/>
      <c r="F36" s="56">
        <f t="shared" ref="F36:F37" si="17">F$11*D36</f>
        <v>0</v>
      </c>
      <c r="G36" s="57"/>
      <c r="H36" s="58"/>
      <c r="I36" s="59"/>
      <c r="J36" s="59"/>
      <c r="K36" s="59"/>
      <c r="L36" s="19"/>
      <c r="M36" s="23"/>
      <c r="N36" s="56"/>
      <c r="O36" s="56">
        <f>O$11*M36</f>
        <v>0</v>
      </c>
      <c r="P36" s="59"/>
      <c r="Q36" s="60"/>
      <c r="R36" s="59"/>
      <c r="S36" s="60"/>
      <c r="T36" s="59"/>
      <c r="U36" s="59" t="s">
        <v>45</v>
      </c>
      <c r="V36" s="59"/>
      <c r="W36" s="59"/>
      <c r="X36" s="56">
        <v>0</v>
      </c>
      <c r="Y36" s="56"/>
      <c r="Z36" s="56">
        <f>Z$11*X36</f>
        <v>0</v>
      </c>
      <c r="AA36" s="59"/>
      <c r="AB36" s="205">
        <f t="shared" si="10"/>
        <v>0</v>
      </c>
      <c r="AC36" s="57"/>
      <c r="AD36" s="206">
        <f t="shared" si="11"/>
        <v>0</v>
      </c>
      <c r="AE36" s="23"/>
      <c r="AF36" s="66"/>
      <c r="AG36" s="66"/>
    </row>
    <row r="37" spans="1:34" ht="14.45" hidden="1" customHeight="1">
      <c r="A37" s="3" t="s">
        <v>44</v>
      </c>
      <c r="B37" s="3"/>
      <c r="C37" s="59" t="s">
        <v>47</v>
      </c>
      <c r="D37" s="56"/>
      <c r="E37" s="56"/>
      <c r="F37" s="56">
        <f t="shared" si="17"/>
        <v>0</v>
      </c>
      <c r="G37" s="57"/>
      <c r="H37" s="58"/>
      <c r="I37" s="59"/>
      <c r="J37" s="59"/>
      <c r="K37" s="59"/>
      <c r="L37" s="19"/>
      <c r="M37" s="23"/>
      <c r="N37" s="56"/>
      <c r="O37" s="56">
        <f>O$11*M37</f>
        <v>0</v>
      </c>
      <c r="P37" s="59"/>
      <c r="Q37" s="60"/>
      <c r="R37" s="59"/>
      <c r="S37" s="60"/>
      <c r="T37" s="59"/>
      <c r="U37" s="59" t="s">
        <v>44</v>
      </c>
      <c r="V37" s="59"/>
      <c r="W37" s="59"/>
      <c r="X37" s="56">
        <v>0</v>
      </c>
      <c r="Y37" s="56"/>
      <c r="Z37" s="56">
        <f>Z$11*X37</f>
        <v>0</v>
      </c>
      <c r="AA37" s="59"/>
      <c r="AB37" s="205">
        <f t="shared" si="10"/>
        <v>0</v>
      </c>
      <c r="AC37" s="57"/>
      <c r="AD37" s="206">
        <f t="shared" si="11"/>
        <v>0</v>
      </c>
      <c r="AE37" s="23"/>
      <c r="AF37" s="66"/>
      <c r="AG37" s="66"/>
    </row>
    <row r="38" spans="1:34">
      <c r="A38" s="3" t="s">
        <v>34</v>
      </c>
      <c r="B38" s="3"/>
      <c r="C38" s="3"/>
      <c r="D38" s="229">
        <f>SUM(D24:D37)</f>
        <v>301254</v>
      </c>
      <c r="E38" s="22"/>
      <c r="F38" s="35">
        <f>SUM(F24:F37)</f>
        <v>197743.12559999997</v>
      </c>
      <c r="G38" s="22"/>
      <c r="H38" s="17"/>
      <c r="I38" s="2"/>
      <c r="J38" s="19" t="s">
        <v>34</v>
      </c>
      <c r="K38" s="19"/>
      <c r="L38" s="19"/>
      <c r="M38" s="36">
        <f>SUM(M24:M34)</f>
        <v>225648.603</v>
      </c>
      <c r="N38" s="27"/>
      <c r="O38" s="36">
        <f>SUM(O24:O37)</f>
        <v>147255.71220919996</v>
      </c>
      <c r="P38" s="2"/>
      <c r="Q38" s="35">
        <f>SUM(Q24:Q37)</f>
        <v>-75605.396999999997</v>
      </c>
      <c r="R38" s="3"/>
      <c r="S38" s="35">
        <f>SUM(S24:S37)</f>
        <v>-50487.413390800008</v>
      </c>
      <c r="T38" s="2"/>
      <c r="U38" s="19" t="s">
        <v>34</v>
      </c>
      <c r="V38" s="19"/>
      <c r="W38" s="19"/>
      <c r="X38" s="36">
        <f>SUM(X24:X37)</f>
        <v>241257</v>
      </c>
      <c r="Y38" s="27"/>
      <c r="Z38" s="36">
        <f>SUM(Z24:Z37)</f>
        <v>158361.09479999999</v>
      </c>
      <c r="AA38" s="2"/>
      <c r="AB38" s="213">
        <f>SUM(AB24:AB37)</f>
        <v>15608.397000000004</v>
      </c>
      <c r="AC38" s="9"/>
      <c r="AD38" s="214">
        <f>SUM(AD24:AD37)</f>
        <v>11105.382590800011</v>
      </c>
      <c r="AE38" s="27"/>
      <c r="AF38" s="66">
        <f>SUM(AF24:AF34)</f>
        <v>-59997</v>
      </c>
      <c r="AG38" s="66">
        <f>SUM(AG24:AG34)</f>
        <v>-59997</v>
      </c>
    </row>
    <row r="39" spans="1:34">
      <c r="A39" s="3"/>
      <c r="B39" s="3"/>
      <c r="C39" s="3"/>
      <c r="D39" s="3"/>
      <c r="E39" s="3"/>
      <c r="F39" s="3"/>
      <c r="G39" s="9"/>
      <c r="H39" s="17"/>
      <c r="I39" s="2"/>
      <c r="J39" s="19"/>
      <c r="K39" s="19"/>
      <c r="L39" s="19"/>
      <c r="M39" s="19"/>
      <c r="N39" s="19"/>
      <c r="O39" s="19"/>
      <c r="P39" s="2"/>
      <c r="Q39" s="3"/>
      <c r="R39" s="3"/>
      <c r="S39" s="3"/>
      <c r="T39" s="2"/>
      <c r="U39" s="19"/>
      <c r="V39" s="19"/>
      <c r="W39" s="19"/>
      <c r="X39" s="19"/>
      <c r="Y39" s="19"/>
      <c r="Z39" s="19"/>
      <c r="AA39" s="2"/>
      <c r="AB39" s="200"/>
      <c r="AC39" s="9"/>
      <c r="AD39" s="202"/>
      <c r="AE39" s="19"/>
    </row>
    <row r="40" spans="1:34" ht="17.45" customHeight="1">
      <c r="A40" s="3" t="s">
        <v>35</v>
      </c>
      <c r="B40" s="3"/>
      <c r="C40" s="3"/>
      <c r="D40" s="21">
        <f>D21-D38</f>
        <v>-146309.22350999998</v>
      </c>
      <c r="E40" s="21"/>
      <c r="F40" s="21">
        <f>F21-F38</f>
        <v>-95967.163511963969</v>
      </c>
      <c r="G40" s="22"/>
      <c r="H40" s="17"/>
      <c r="I40" s="2"/>
      <c r="J40" s="19" t="s">
        <v>35</v>
      </c>
      <c r="K40" s="19"/>
      <c r="L40" s="19"/>
      <c r="M40" s="23">
        <f>M21-M38</f>
        <v>-156395.26300000001</v>
      </c>
      <c r="N40" s="23"/>
      <c r="O40" s="23">
        <f>O21-O38</f>
        <v>-101797.81983319996</v>
      </c>
      <c r="P40" s="2"/>
      <c r="Q40" s="21">
        <f>Q21-Q38</f>
        <v>-10086.039489999996</v>
      </c>
      <c r="R40" s="3"/>
      <c r="S40" s="17">
        <f>S21-S38</f>
        <v>-5830.6563212359833</v>
      </c>
      <c r="T40" s="2"/>
      <c r="U40" s="19" t="s">
        <v>35</v>
      </c>
      <c r="V40" s="19"/>
      <c r="W40" s="19"/>
      <c r="X40" s="23">
        <f>X21-X38</f>
        <v>-127180</v>
      </c>
      <c r="Y40" s="23"/>
      <c r="Z40" s="23">
        <f>Z21-Z38</f>
        <v>-83480.952000000005</v>
      </c>
      <c r="AA40" s="2"/>
      <c r="AB40" s="211">
        <f>AB21-AB38</f>
        <v>29215.262999999999</v>
      </c>
      <c r="AC40" s="9"/>
      <c r="AD40" s="204">
        <f>AD21-AD38</f>
        <v>17134.867833199987</v>
      </c>
      <c r="AE40" s="20"/>
      <c r="AF40" s="66">
        <f>AB40+Q40</f>
        <v>19129.223510000003</v>
      </c>
      <c r="AG40" s="66">
        <f>-AG38+AG21</f>
        <v>21487</v>
      </c>
    </row>
    <row r="41" spans="1:34">
      <c r="A41" s="3"/>
      <c r="B41" s="3"/>
      <c r="C41" s="3"/>
      <c r="D41" s="3"/>
      <c r="E41" s="21"/>
      <c r="F41" s="21"/>
      <c r="G41" s="21"/>
      <c r="H41" s="3"/>
      <c r="I41" s="2"/>
      <c r="J41" s="3"/>
      <c r="K41" s="3"/>
      <c r="L41" s="19"/>
      <c r="M41" s="19"/>
      <c r="N41" s="21"/>
      <c r="O41" s="21"/>
      <c r="P41" s="2"/>
      <c r="Q41" s="3"/>
      <c r="R41" s="3"/>
      <c r="S41" s="17"/>
      <c r="T41" s="2"/>
      <c r="U41" s="3"/>
      <c r="V41" s="3"/>
      <c r="W41" s="3"/>
      <c r="X41" s="3"/>
      <c r="Y41" s="21"/>
      <c r="Z41" s="21"/>
      <c r="AA41" s="2"/>
      <c r="AB41" s="200"/>
      <c r="AC41" s="9"/>
      <c r="AD41" s="204"/>
      <c r="AE41" s="20"/>
      <c r="AG41" s="251">
        <f>-AF40+AG40</f>
        <v>2357.7764899999966</v>
      </c>
      <c r="AH41" t="s">
        <v>244</v>
      </c>
    </row>
    <row r="42" spans="1:34">
      <c r="A42" s="3" t="s">
        <v>191</v>
      </c>
      <c r="B42" s="3"/>
      <c r="C42" s="37">
        <v>0.21</v>
      </c>
      <c r="D42" s="3"/>
      <c r="E42" s="18"/>
      <c r="F42" s="29">
        <f>C42*F40</f>
        <v>-20153.104337512432</v>
      </c>
      <c r="G42" s="17"/>
      <c r="H42" s="3"/>
      <c r="I42" s="2"/>
      <c r="J42" s="3" t="s">
        <v>36</v>
      </c>
      <c r="K42" s="3"/>
      <c r="L42" s="166">
        <v>0.21</v>
      </c>
      <c r="M42" s="19"/>
      <c r="N42" s="18"/>
      <c r="O42" s="29">
        <f>L42*O40</f>
        <v>-21377.54216497199</v>
      </c>
      <c r="P42" s="2"/>
      <c r="Q42" s="3"/>
      <c r="R42" s="3"/>
      <c r="S42" s="38">
        <f>L42*S40</f>
        <v>-1224.4378274595565</v>
      </c>
      <c r="T42" s="2"/>
      <c r="U42" s="3" t="s">
        <v>36</v>
      </c>
      <c r="V42" s="3"/>
      <c r="W42" s="37">
        <v>0.21</v>
      </c>
      <c r="X42" s="3"/>
      <c r="Y42" s="18"/>
      <c r="Z42" s="29">
        <f>W42*Z40</f>
        <v>-17530.999920000002</v>
      </c>
      <c r="AA42" s="2"/>
      <c r="AB42" s="200"/>
      <c r="AC42" s="9"/>
      <c r="AD42" s="215">
        <f>W42*AD40</f>
        <v>3598.3222449719974</v>
      </c>
      <c r="AE42" s="187"/>
    </row>
    <row r="43" spans="1:34">
      <c r="A43" s="3"/>
      <c r="B43" s="3"/>
      <c r="C43" s="3"/>
      <c r="D43" s="3"/>
      <c r="E43" s="18"/>
      <c r="F43" s="17"/>
      <c r="G43" s="17"/>
      <c r="H43" s="3"/>
      <c r="I43" s="2"/>
      <c r="J43" s="3"/>
      <c r="K43" s="3"/>
      <c r="L43" s="19"/>
      <c r="M43" s="19"/>
      <c r="N43" s="18"/>
      <c r="O43" s="17"/>
      <c r="P43" s="2"/>
      <c r="Q43" s="3"/>
      <c r="R43" s="3"/>
      <c r="S43" s="17"/>
      <c r="T43" s="2"/>
      <c r="U43" s="3"/>
      <c r="V43" s="3"/>
      <c r="W43" s="3"/>
      <c r="X43" s="3"/>
      <c r="Y43" s="18"/>
      <c r="Z43" s="17"/>
      <c r="AA43" s="2"/>
      <c r="AB43" s="200"/>
      <c r="AC43" s="9"/>
      <c r="AD43" s="204"/>
      <c r="AE43" s="20"/>
    </row>
    <row r="44" spans="1:34">
      <c r="A44" s="39" t="s">
        <v>37</v>
      </c>
      <c r="B44" s="3"/>
      <c r="C44" s="3"/>
      <c r="D44" s="3"/>
      <c r="E44" s="21"/>
      <c r="F44" s="17">
        <f>F40-F42</f>
        <v>-75814.05917445154</v>
      </c>
      <c r="G44" s="21"/>
      <c r="H44" s="3"/>
      <c r="I44" s="2"/>
      <c r="J44" s="39" t="s">
        <v>37</v>
      </c>
      <c r="K44" s="3"/>
      <c r="L44" s="3"/>
      <c r="M44" s="3"/>
      <c r="N44" s="21"/>
      <c r="O44" s="17">
        <f>O40-O42</f>
        <v>-80420.277668227965</v>
      </c>
      <c r="P44" s="2"/>
      <c r="Q44" s="3"/>
      <c r="R44" s="3"/>
      <c r="S44" s="40">
        <f>S40-S42</f>
        <v>-4606.2184937764268</v>
      </c>
      <c r="T44" s="2"/>
      <c r="U44" s="39" t="s">
        <v>37</v>
      </c>
      <c r="V44" s="3"/>
      <c r="W44" s="3"/>
      <c r="X44" s="3"/>
      <c r="Y44" s="21"/>
      <c r="Z44" s="17">
        <f>Z40-Z42</f>
        <v>-65949.952080000003</v>
      </c>
      <c r="AA44" s="2"/>
      <c r="AB44" s="200"/>
      <c r="AC44" s="9"/>
      <c r="AD44" s="216">
        <f>AD40-AD42</f>
        <v>13536.545588227989</v>
      </c>
      <c r="AE44" s="188"/>
      <c r="AF44" s="66"/>
      <c r="AG44" s="66"/>
    </row>
    <row r="45" spans="1:34" ht="6.6" customHeight="1" thickBot="1">
      <c r="A45" s="3"/>
      <c r="B45" s="3"/>
      <c r="C45" s="3"/>
      <c r="D45" s="3"/>
      <c r="E45" s="21"/>
      <c r="F45" s="21"/>
      <c r="G45" s="21"/>
      <c r="H45" s="3"/>
      <c r="I45" s="3"/>
      <c r="J45" s="3"/>
      <c r="K45" s="3"/>
      <c r="L45" s="3"/>
      <c r="M45" s="3"/>
      <c r="N45" s="21"/>
      <c r="O45" s="21"/>
      <c r="P45" s="3"/>
      <c r="Q45" s="3"/>
      <c r="R45" s="3"/>
      <c r="S45" s="21"/>
      <c r="U45" s="3"/>
      <c r="V45" s="3"/>
      <c r="W45" s="3"/>
      <c r="X45" s="3"/>
      <c r="Y45" s="21"/>
      <c r="Z45" s="21"/>
      <c r="AA45" s="3"/>
      <c r="AB45" s="217"/>
      <c r="AC45" s="218"/>
      <c r="AD45" s="219"/>
      <c r="AE45" s="23"/>
    </row>
    <row r="46" spans="1:34" hidden="1">
      <c r="A46" s="39" t="s">
        <v>38</v>
      </c>
      <c r="B46" s="3"/>
      <c r="C46" s="3"/>
      <c r="D46" s="3"/>
      <c r="E46" s="3"/>
      <c r="F46" s="3"/>
      <c r="G46" s="3"/>
      <c r="H46" s="3"/>
      <c r="I46" s="3"/>
      <c r="J46" s="41"/>
      <c r="K46" s="3"/>
      <c r="L46" s="3"/>
      <c r="M46" s="3"/>
      <c r="N46" s="3"/>
      <c r="O46" s="3"/>
      <c r="P46" s="3"/>
      <c r="Q46" s="3"/>
      <c r="R46" s="3"/>
      <c r="S46" s="42">
        <f>S44/-0.620392</f>
        <v>7424.6903470328862</v>
      </c>
      <c r="U46" s="39" t="s">
        <v>38</v>
      </c>
      <c r="V46" s="3"/>
      <c r="W46" s="3"/>
      <c r="X46" s="3"/>
      <c r="Y46" s="3"/>
      <c r="Z46" s="3"/>
      <c r="AA46" s="3"/>
      <c r="AB46" s="3"/>
      <c r="AC46" s="3"/>
      <c r="AD46" s="42">
        <f>AD44/-0.61941</f>
        <v>-21853.934531615552</v>
      </c>
      <c r="AE46" s="189"/>
    </row>
    <row r="47" spans="1:34">
      <c r="A47" s="39" t="s">
        <v>49</v>
      </c>
      <c r="B47" s="3"/>
      <c r="C47" s="3"/>
      <c r="D47" s="3"/>
      <c r="E47" s="3"/>
      <c r="F47" s="3"/>
      <c r="G47" s="3"/>
      <c r="H47" s="3"/>
      <c r="I47" s="3"/>
      <c r="J47" s="41"/>
      <c r="K47" s="3" t="s">
        <v>136</v>
      </c>
      <c r="L47" s="3"/>
      <c r="M47" s="3"/>
      <c r="N47" s="3"/>
      <c r="O47" s="145">
        <f>-O40/K51*1000</f>
        <v>18.080942160384936</v>
      </c>
      <c r="P47" s="3"/>
      <c r="Q47" s="3"/>
      <c r="R47" s="3"/>
      <c r="S47" s="42"/>
      <c r="U47" s="39" t="s">
        <v>49</v>
      </c>
      <c r="V47" s="3"/>
      <c r="W47" s="3"/>
      <c r="X47" s="3"/>
      <c r="Y47" s="3"/>
      <c r="Z47" s="252">
        <f>-Z40/K51*1000</f>
        <v>14.827569657966256</v>
      </c>
      <c r="AA47" s="3"/>
      <c r="AB47" s="3"/>
      <c r="AC47" s="3"/>
      <c r="AD47" s="42"/>
      <c r="AE47" s="189"/>
      <c r="AF47" s="136"/>
    </row>
    <row r="48" spans="1:34" ht="9.6" customHeight="1">
      <c r="A48" s="43"/>
      <c r="B48" s="19"/>
      <c r="C48" s="19"/>
      <c r="D48" s="19"/>
      <c r="E48" s="19"/>
      <c r="F48" s="19"/>
      <c r="G48" s="19"/>
      <c r="H48" s="19"/>
      <c r="I48" s="19"/>
      <c r="J48" s="44"/>
      <c r="K48" s="19"/>
      <c r="L48" s="19"/>
      <c r="M48" s="19"/>
      <c r="N48" s="19"/>
      <c r="O48" s="19"/>
      <c r="P48" s="19"/>
      <c r="Q48" s="19"/>
      <c r="R48" s="19"/>
      <c r="S48" s="53"/>
    </row>
    <row r="49" spans="1:26">
      <c r="A49" s="34" t="s">
        <v>231</v>
      </c>
      <c r="B49" s="19"/>
      <c r="C49" s="19"/>
      <c r="D49" s="23"/>
      <c r="E49" s="27"/>
      <c r="F49" s="23"/>
      <c r="G49" s="27"/>
      <c r="H49" s="33"/>
      <c r="I49" s="19"/>
      <c r="J49" s="19"/>
      <c r="K49" s="19"/>
      <c r="L49" s="19"/>
      <c r="M49" s="23"/>
      <c r="N49" s="27"/>
      <c r="O49" s="23"/>
      <c r="P49" s="19"/>
      <c r="Q49" s="23"/>
      <c r="R49" s="19"/>
      <c r="S49" s="23"/>
      <c r="U49" s="137" t="s">
        <v>236</v>
      </c>
      <c r="Z49" t="s">
        <v>246</v>
      </c>
    </row>
    <row r="50" spans="1:26">
      <c r="A50" s="242" t="s">
        <v>192</v>
      </c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U50" s="137" t="s">
        <v>237</v>
      </c>
    </row>
    <row r="51" spans="1:26">
      <c r="A51" s="19"/>
      <c r="B51" s="19"/>
      <c r="C51" s="19"/>
      <c r="D51" s="19"/>
      <c r="E51" s="27"/>
      <c r="F51" s="19"/>
      <c r="G51" s="19"/>
      <c r="H51" s="98" t="s">
        <v>224</v>
      </c>
      <c r="I51" s="19"/>
      <c r="K51" s="32">
        <f>K52+K53</f>
        <v>5630117</v>
      </c>
      <c r="L51" s="100" t="s">
        <v>39</v>
      </c>
      <c r="M51" s="143">
        <v>5672872</v>
      </c>
      <c r="N51" s="27"/>
      <c r="O51" s="125" t="s">
        <v>221</v>
      </c>
      <c r="P51" s="19"/>
      <c r="Q51" s="19"/>
      <c r="R51" s="19"/>
      <c r="S51" s="23"/>
    </row>
    <row r="52" spans="1:26">
      <c r="A52" s="19"/>
      <c r="B52" s="19"/>
      <c r="C52" s="19"/>
      <c r="D52" s="19"/>
      <c r="E52" s="19"/>
      <c r="F52" s="19"/>
      <c r="G52" s="19"/>
      <c r="H52" s="98" t="s">
        <v>216</v>
      </c>
      <c r="I52" s="19"/>
      <c r="K52" s="32">
        <f>M51</f>
        <v>5672872</v>
      </c>
      <c r="L52" s="100" t="s">
        <v>39</v>
      </c>
      <c r="M52" s="32">
        <v>5658613</v>
      </c>
      <c r="N52" s="19"/>
      <c r="O52" s="19" t="s">
        <v>222</v>
      </c>
      <c r="P52" s="19"/>
      <c r="Q52" s="19"/>
      <c r="R52" s="19"/>
      <c r="S52" s="19"/>
      <c r="U52" s="224" t="s">
        <v>147</v>
      </c>
    </row>
    <row r="53" spans="1:26">
      <c r="A53" s="3"/>
      <c r="B53" s="3"/>
      <c r="C53" s="3"/>
      <c r="D53" s="3"/>
      <c r="E53" s="3"/>
      <c r="F53" s="3"/>
      <c r="G53" s="3"/>
      <c r="H53" s="99" t="s">
        <v>139</v>
      </c>
      <c r="I53" s="3"/>
      <c r="K53" s="165">
        <v>-42755</v>
      </c>
      <c r="L53" s="182" t="s">
        <v>39</v>
      </c>
      <c r="M53" s="45">
        <f>M51-M52</f>
        <v>14259</v>
      </c>
      <c r="N53" s="3"/>
      <c r="O53" s="3" t="s">
        <v>40</v>
      </c>
      <c r="P53" s="3"/>
      <c r="Q53" s="3"/>
      <c r="R53" s="3"/>
      <c r="S53" s="3"/>
      <c r="U53" s="224" t="s">
        <v>238</v>
      </c>
    </row>
    <row r="54" spans="1:26">
      <c r="A54" s="3"/>
      <c r="B54" s="3"/>
      <c r="C54" s="3"/>
      <c r="D54" s="3"/>
      <c r="E54" s="3"/>
      <c r="F54" s="3"/>
      <c r="G54" s="3"/>
      <c r="H54" s="99" t="s">
        <v>223</v>
      </c>
      <c r="I54" s="3"/>
      <c r="K54" s="46">
        <v>18.11</v>
      </c>
      <c r="L54" s="101" t="s">
        <v>140</v>
      </c>
      <c r="M54" s="46">
        <f>'Monthly Authorized'!B51</f>
        <v>18.106350137374651</v>
      </c>
      <c r="N54" s="3"/>
      <c r="O54" s="3" t="s">
        <v>223</v>
      </c>
      <c r="P54" s="47"/>
      <c r="Q54" s="3"/>
      <c r="R54" s="3"/>
      <c r="S54" s="3"/>
      <c r="U54" s="224" t="s">
        <v>239</v>
      </c>
    </row>
    <row r="55" spans="1:26">
      <c r="A55" s="3"/>
      <c r="B55" s="3"/>
      <c r="C55" s="3"/>
      <c r="D55" s="3"/>
      <c r="E55" s="3"/>
      <c r="F55" s="3"/>
      <c r="G55" s="3"/>
      <c r="H55" s="99" t="s">
        <v>138</v>
      </c>
      <c r="I55" s="3"/>
      <c r="K55" s="48">
        <f>K53*K54</f>
        <v>-774293.04999999993</v>
      </c>
      <c r="L55" s="3"/>
      <c r="M55" s="48">
        <f>M53*M54</f>
        <v>258178.44660882515</v>
      </c>
      <c r="N55" s="3"/>
      <c r="O55" s="3" t="s">
        <v>41</v>
      </c>
      <c r="P55" s="3"/>
      <c r="Q55" s="3"/>
      <c r="R55" s="3"/>
      <c r="S55" s="3"/>
      <c r="U55" s="224" t="s">
        <v>240</v>
      </c>
    </row>
    <row r="57" spans="1:26">
      <c r="G57" s="163" t="s">
        <v>225</v>
      </c>
      <c r="H57" s="163"/>
      <c r="I57" s="163"/>
      <c r="J57" s="163"/>
      <c r="K57" s="164">
        <f>K55/K53</f>
        <v>18.11</v>
      </c>
    </row>
  </sheetData>
  <mergeCells count="13">
    <mergeCell ref="K1:O1"/>
    <mergeCell ref="U1:Z1"/>
    <mergeCell ref="U2:Z2"/>
    <mergeCell ref="U5:Z5"/>
    <mergeCell ref="U6:Z6"/>
    <mergeCell ref="U7:Z7"/>
    <mergeCell ref="AG6:AG7"/>
    <mergeCell ref="K2:O2"/>
    <mergeCell ref="K3:O5"/>
    <mergeCell ref="K7:O7"/>
    <mergeCell ref="A50:S50"/>
    <mergeCell ref="A6:H6"/>
    <mergeCell ref="J6:O6"/>
  </mergeCells>
  <printOptions horizontalCentered="1"/>
  <pageMargins left="0.7" right="0.7" top="0.65" bottom="0.5" header="0.3" footer="0.3"/>
  <pageSetup scale="75" orientation="landscape" r:id="rId1"/>
  <headerFooter scaleWithDoc="0">
    <oddFooter>&amp;C&amp;F / &amp;A&amp;RPage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A25" workbookViewId="0">
      <selection activeCell="B38" sqref="B38"/>
    </sheetView>
  </sheetViews>
  <sheetFormatPr defaultRowHeight="14.25"/>
  <cols>
    <col min="1" max="1" width="37.265625" customWidth="1"/>
    <col min="2" max="2" width="13.86328125" style="106" customWidth="1"/>
    <col min="3" max="3" width="12.73046875" customWidth="1"/>
    <col min="4" max="4" width="11.86328125" customWidth="1"/>
    <col min="5" max="5" width="11.73046875" customWidth="1"/>
    <col min="6" max="6" width="12.59765625" customWidth="1"/>
    <col min="7" max="7" width="12.1328125" customWidth="1"/>
    <col min="8" max="8" width="12.265625" customWidth="1"/>
    <col min="9" max="10" width="11.86328125" customWidth="1"/>
    <col min="11" max="11" width="12.265625" customWidth="1"/>
    <col min="12" max="12" width="12.3984375" customWidth="1"/>
    <col min="13" max="13" width="13" customWidth="1"/>
    <col min="14" max="14" width="12.73046875" customWidth="1"/>
    <col min="18" max="18" width="12.1328125" bestFit="1" customWidth="1"/>
  </cols>
  <sheetData>
    <row r="1" spans="1:14">
      <c r="A1" s="119" t="s">
        <v>148</v>
      </c>
    </row>
    <row r="2" spans="1:14">
      <c r="A2" s="119" t="s">
        <v>149</v>
      </c>
    </row>
    <row r="3" spans="1:14">
      <c r="A3" s="119" t="s">
        <v>150</v>
      </c>
    </row>
    <row r="4" spans="1:14">
      <c r="A4" s="119" t="s">
        <v>205</v>
      </c>
    </row>
    <row r="5" spans="1:14">
      <c r="A5" s="119"/>
    </row>
    <row r="6" spans="1:14" ht="18">
      <c r="A6" s="247" t="s">
        <v>204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</row>
    <row r="8" spans="1:14">
      <c r="A8" s="152" t="s">
        <v>177</v>
      </c>
      <c r="B8" s="167" t="s">
        <v>178</v>
      </c>
    </row>
    <row r="9" spans="1:14" ht="15.4">
      <c r="A9" s="105" t="s">
        <v>151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1:14" ht="15.4">
      <c r="A10" s="105" t="s">
        <v>179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</row>
    <row r="11" spans="1:14" ht="15.4">
      <c r="A11" s="105" t="s">
        <v>152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4" ht="15.4">
      <c r="A12" s="105" t="s">
        <v>180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1:14" ht="15.4">
      <c r="A13" s="105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1:14">
      <c r="A14" s="108" t="s">
        <v>153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14">
      <c r="A15" s="108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14">
      <c r="A16" s="106"/>
      <c r="B16" s="109" t="s">
        <v>6</v>
      </c>
      <c r="C16" s="110" t="s">
        <v>154</v>
      </c>
      <c r="D16" s="110" t="s">
        <v>155</v>
      </c>
      <c r="E16" s="110" t="s">
        <v>156</v>
      </c>
      <c r="F16" s="110" t="s">
        <v>157</v>
      </c>
      <c r="G16" s="110" t="s">
        <v>158</v>
      </c>
      <c r="H16" s="110" t="s">
        <v>159</v>
      </c>
      <c r="I16" s="110" t="s">
        <v>160</v>
      </c>
      <c r="J16" s="110" t="s">
        <v>161</v>
      </c>
      <c r="K16" s="110" t="s">
        <v>162</v>
      </c>
      <c r="L16" s="110" t="s">
        <v>163</v>
      </c>
      <c r="M16" s="110" t="s">
        <v>164</v>
      </c>
      <c r="N16" s="110" t="s">
        <v>165</v>
      </c>
    </row>
    <row r="17" spans="1:14">
      <c r="A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1:14">
      <c r="A18" s="106" t="s">
        <v>166</v>
      </c>
      <c r="B18" s="111">
        <f>SUM(C18:N18)</f>
        <v>111395052</v>
      </c>
      <c r="C18" s="111">
        <v>11810646</v>
      </c>
      <c r="D18" s="111">
        <v>10948943</v>
      </c>
      <c r="E18" s="111">
        <v>10208756</v>
      </c>
      <c r="F18" s="111">
        <v>9754466</v>
      </c>
      <c r="G18" s="111">
        <v>7204007</v>
      </c>
      <c r="H18" s="111">
        <v>6832768</v>
      </c>
      <c r="I18" s="111">
        <v>7367141</v>
      </c>
      <c r="J18" s="111">
        <v>8064916</v>
      </c>
      <c r="K18" s="111">
        <v>7448796</v>
      </c>
      <c r="L18" s="111">
        <v>7999787</v>
      </c>
      <c r="M18" s="111">
        <v>11642227</v>
      </c>
      <c r="N18" s="111">
        <v>12112599</v>
      </c>
    </row>
    <row r="19" spans="1:14">
      <c r="A19" s="106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  <row r="20" spans="1:14">
      <c r="A20" s="106" t="s">
        <v>167</v>
      </c>
      <c r="B20" s="111">
        <f>SUM(C20:N20)</f>
        <v>28873933</v>
      </c>
      <c r="C20" s="111">
        <v>2892906</v>
      </c>
      <c r="D20" s="111">
        <v>2671552</v>
      </c>
      <c r="E20" s="111">
        <v>2768328</v>
      </c>
      <c r="F20" s="111">
        <v>2491505</v>
      </c>
      <c r="G20" s="111">
        <v>1551263</v>
      </c>
      <c r="H20" s="111">
        <v>1358751</v>
      </c>
      <c r="I20" s="111">
        <v>2219592</v>
      </c>
      <c r="J20" s="111">
        <v>2478125</v>
      </c>
      <c r="K20" s="111">
        <v>2578207</v>
      </c>
      <c r="L20" s="111">
        <v>2592987</v>
      </c>
      <c r="M20" s="111">
        <v>2566833</v>
      </c>
      <c r="N20" s="111">
        <v>2703884</v>
      </c>
    </row>
    <row r="21" spans="1:14">
      <c r="A21" s="106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</row>
    <row r="22" spans="1:14">
      <c r="A22" s="106" t="s">
        <v>168</v>
      </c>
      <c r="B22" s="111">
        <f>SUM(C22:N22)</f>
        <v>70067291</v>
      </c>
      <c r="C22" s="111">
        <v>8800467</v>
      </c>
      <c r="D22" s="111">
        <v>7046200</v>
      </c>
      <c r="E22" s="111">
        <v>6405717</v>
      </c>
      <c r="F22" s="111">
        <v>4139185</v>
      </c>
      <c r="G22" s="111">
        <v>1426182</v>
      </c>
      <c r="H22" s="111">
        <v>1698327</v>
      </c>
      <c r="I22" s="111">
        <v>5653252</v>
      </c>
      <c r="J22" s="111">
        <v>7341418</v>
      </c>
      <c r="K22" s="111">
        <v>6493558</v>
      </c>
      <c r="L22" s="111">
        <v>6103470</v>
      </c>
      <c r="M22" s="111">
        <v>6561954</v>
      </c>
      <c r="N22" s="111">
        <v>8397561</v>
      </c>
    </row>
    <row r="23" spans="1:14">
      <c r="A23" s="106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</row>
    <row r="24" spans="1:14">
      <c r="A24" s="112" t="s">
        <v>169</v>
      </c>
      <c r="B24" s="113">
        <f>SUM(C24:N24)</f>
        <v>54103856</v>
      </c>
      <c r="C24" s="113">
        <v>5410854</v>
      </c>
      <c r="D24" s="113">
        <v>3688134</v>
      </c>
      <c r="E24" s="113">
        <v>4363041</v>
      </c>
      <c r="F24" s="113">
        <v>6216672</v>
      </c>
      <c r="G24" s="113">
        <v>3992970</v>
      </c>
      <c r="H24" s="113">
        <v>3782256</v>
      </c>
      <c r="I24" s="113">
        <v>5325599</v>
      </c>
      <c r="J24" s="113">
        <v>3215251</v>
      </c>
      <c r="K24" s="113">
        <v>4016772</v>
      </c>
      <c r="L24" s="113">
        <v>3304259</v>
      </c>
      <c r="M24" s="113">
        <v>4468025</v>
      </c>
      <c r="N24" s="113">
        <v>6320023</v>
      </c>
    </row>
    <row r="25" spans="1:14">
      <c r="A25" s="106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</row>
    <row r="26" spans="1:14">
      <c r="A26" s="114" t="s">
        <v>170</v>
      </c>
      <c r="B26" s="111">
        <f>SUM(C26:N26)</f>
        <v>156232420</v>
      </c>
      <c r="C26" s="111">
        <f>SUM(C18:C22)-C24</f>
        <v>18093165</v>
      </c>
      <c r="D26" s="111">
        <f t="shared" ref="D26:N26" si="0">SUM(D18:D22)-D24</f>
        <v>16978561</v>
      </c>
      <c r="E26" s="111">
        <f t="shared" si="0"/>
        <v>15019760</v>
      </c>
      <c r="F26" s="111">
        <f t="shared" si="0"/>
        <v>10168484</v>
      </c>
      <c r="G26" s="111">
        <f t="shared" si="0"/>
        <v>6188482</v>
      </c>
      <c r="H26" s="111">
        <f t="shared" si="0"/>
        <v>6107590</v>
      </c>
      <c r="I26" s="111">
        <f t="shared" si="0"/>
        <v>9914386</v>
      </c>
      <c r="J26" s="111">
        <f t="shared" si="0"/>
        <v>14669208</v>
      </c>
      <c r="K26" s="111">
        <f t="shared" si="0"/>
        <v>12503789</v>
      </c>
      <c r="L26" s="111">
        <f t="shared" si="0"/>
        <v>13391985</v>
      </c>
      <c r="M26" s="111">
        <f t="shared" si="0"/>
        <v>16302989</v>
      </c>
      <c r="N26" s="111">
        <f t="shared" si="0"/>
        <v>16894021</v>
      </c>
    </row>
    <row r="27" spans="1:14">
      <c r="A27" s="106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</row>
    <row r="28" spans="1:14">
      <c r="A28" s="114" t="s">
        <v>171</v>
      </c>
      <c r="B28" s="111">
        <f>SUM(C28:N28)</f>
        <v>17404327</v>
      </c>
      <c r="C28" s="111">
        <v>1386858</v>
      </c>
      <c r="D28" s="111">
        <v>1618473</v>
      </c>
      <c r="E28" s="111">
        <v>1456728</v>
      </c>
      <c r="F28" s="111">
        <v>1423781</v>
      </c>
      <c r="G28" s="111">
        <v>1394142</v>
      </c>
      <c r="H28" s="111">
        <v>1391308</v>
      </c>
      <c r="I28" s="111">
        <v>1452951</v>
      </c>
      <c r="J28" s="111">
        <v>1443202</v>
      </c>
      <c r="K28" s="111">
        <v>1567441</v>
      </c>
      <c r="L28" s="111">
        <v>1406861</v>
      </c>
      <c r="M28" s="111">
        <v>1416448</v>
      </c>
      <c r="N28" s="111">
        <v>1446134</v>
      </c>
    </row>
    <row r="29" spans="1:14">
      <c r="A29" s="114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</row>
    <row r="30" spans="1:14">
      <c r="A30" s="114" t="s">
        <v>147</v>
      </c>
      <c r="B30" s="115">
        <f>SUM(C30:N30)</f>
        <v>15149484</v>
      </c>
      <c r="C30" s="115">
        <v>1062694</v>
      </c>
      <c r="D30" s="115">
        <v>1178481</v>
      </c>
      <c r="E30" s="115">
        <v>1177115</v>
      </c>
      <c r="F30" s="115">
        <v>1141305</v>
      </c>
      <c r="G30" s="115">
        <v>1253488</v>
      </c>
      <c r="H30" s="115">
        <v>1398529</v>
      </c>
      <c r="I30" s="115">
        <v>1450378</v>
      </c>
      <c r="J30" s="115">
        <v>1346819</v>
      </c>
      <c r="K30" s="115">
        <v>1372213</v>
      </c>
      <c r="L30" s="115">
        <v>1319316</v>
      </c>
      <c r="M30" s="115">
        <v>1257650</v>
      </c>
      <c r="N30" s="115">
        <v>1191496</v>
      </c>
    </row>
    <row r="31" spans="1:14">
      <c r="A31" s="114"/>
      <c r="B31" s="115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1:14">
      <c r="A32" s="114" t="s">
        <v>172</v>
      </c>
      <c r="B32" s="115">
        <f>SUM(C32:N32)</f>
        <v>411000</v>
      </c>
      <c r="C32" s="111">
        <v>34250</v>
      </c>
      <c r="D32" s="111">
        <v>34250</v>
      </c>
      <c r="E32" s="111">
        <v>34250</v>
      </c>
      <c r="F32" s="111">
        <v>34250</v>
      </c>
      <c r="G32" s="111">
        <v>34250</v>
      </c>
      <c r="H32" s="111">
        <v>34250</v>
      </c>
      <c r="I32" s="111">
        <v>34250</v>
      </c>
      <c r="J32" s="111">
        <v>34250</v>
      </c>
      <c r="K32" s="111">
        <v>34250</v>
      </c>
      <c r="L32" s="111">
        <v>34250</v>
      </c>
      <c r="M32" s="111">
        <v>34250</v>
      </c>
      <c r="N32" s="111">
        <v>34250</v>
      </c>
    </row>
    <row r="33" spans="1:14">
      <c r="A33" s="114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</row>
    <row r="34" spans="1:14">
      <c r="A34" s="114" t="s">
        <v>181</v>
      </c>
      <c r="B34" s="115">
        <f>SUM(C34:N34)</f>
        <v>158898263</v>
      </c>
      <c r="C34" s="111">
        <f t="shared" ref="C34:N34" si="1">C26+C28-C30+C32</f>
        <v>18451579</v>
      </c>
      <c r="D34" s="111">
        <f t="shared" si="1"/>
        <v>17452803</v>
      </c>
      <c r="E34" s="111">
        <f t="shared" si="1"/>
        <v>15333623</v>
      </c>
      <c r="F34" s="111">
        <f t="shared" si="1"/>
        <v>10485210</v>
      </c>
      <c r="G34" s="111">
        <f t="shared" si="1"/>
        <v>6363386</v>
      </c>
      <c r="H34" s="111">
        <f t="shared" si="1"/>
        <v>6134619</v>
      </c>
      <c r="I34" s="111">
        <f t="shared" si="1"/>
        <v>9951209</v>
      </c>
      <c r="J34" s="111">
        <f t="shared" si="1"/>
        <v>14799841</v>
      </c>
      <c r="K34" s="111">
        <f t="shared" si="1"/>
        <v>12733267</v>
      </c>
      <c r="L34" s="111">
        <f t="shared" si="1"/>
        <v>13513780</v>
      </c>
      <c r="M34" s="111">
        <f t="shared" si="1"/>
        <v>16496037</v>
      </c>
      <c r="N34" s="111">
        <f t="shared" si="1"/>
        <v>17182909</v>
      </c>
    </row>
    <row r="35" spans="1:14">
      <c r="A35" s="114"/>
      <c r="B35" s="115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</row>
    <row r="36" spans="1:14">
      <c r="A36" s="114" t="s">
        <v>173</v>
      </c>
      <c r="B36" s="115">
        <f>SUM(C36:N36)</f>
        <v>104443828.26989999</v>
      </c>
      <c r="C36" s="111">
        <f>C34*$E$56</f>
        <v>12128222.876700001</v>
      </c>
      <c r="D36" s="111">
        <f t="shared" ref="D36:N36" si="2">D34*$E$56</f>
        <v>11471727.411900001</v>
      </c>
      <c r="E36" s="111">
        <f t="shared" si="2"/>
        <v>10078790.3979</v>
      </c>
      <c r="F36" s="111">
        <f t="shared" si="2"/>
        <v>6891928.5329999998</v>
      </c>
      <c r="G36" s="111">
        <f t="shared" si="2"/>
        <v>4182653.6178000001</v>
      </c>
      <c r="H36" s="111">
        <f t="shared" si="2"/>
        <v>4032285.0687000002</v>
      </c>
      <c r="I36" s="111">
        <f t="shared" si="2"/>
        <v>6540929.6756999996</v>
      </c>
      <c r="J36" s="111">
        <f t="shared" si="2"/>
        <v>9727935.4892999995</v>
      </c>
      <c r="K36" s="111">
        <f t="shared" si="2"/>
        <v>8369576.3991</v>
      </c>
      <c r="L36" s="111">
        <f t="shared" si="2"/>
        <v>8882607.5940000005</v>
      </c>
      <c r="M36" s="111">
        <f t="shared" si="2"/>
        <v>10842845.120099999</v>
      </c>
      <c r="N36" s="111">
        <f t="shared" si="2"/>
        <v>11294326.0857</v>
      </c>
    </row>
    <row r="37" spans="1:14">
      <c r="A37" s="114"/>
      <c r="B37" s="115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</row>
    <row r="38" spans="1:14">
      <c r="A38" s="120" t="s">
        <v>182</v>
      </c>
      <c r="B38" s="168">
        <f>SUM(C38:N38)</f>
        <v>-1986999.9999999998</v>
      </c>
      <c r="C38" s="113">
        <f>-(1987000/12)</f>
        <v>-165583.33333333334</v>
      </c>
      <c r="D38" s="113">
        <f t="shared" ref="D38:N38" si="3">-(1987000/12)</f>
        <v>-165583.33333333334</v>
      </c>
      <c r="E38" s="113">
        <f t="shared" si="3"/>
        <v>-165583.33333333334</v>
      </c>
      <c r="F38" s="113">
        <f t="shared" si="3"/>
        <v>-165583.33333333334</v>
      </c>
      <c r="G38" s="113">
        <f t="shared" si="3"/>
        <v>-165583.33333333334</v>
      </c>
      <c r="H38" s="113">
        <f t="shared" si="3"/>
        <v>-165583.33333333334</v>
      </c>
      <c r="I38" s="113">
        <f t="shared" si="3"/>
        <v>-165583.33333333334</v>
      </c>
      <c r="J38" s="113">
        <f t="shared" si="3"/>
        <v>-165583.33333333334</v>
      </c>
      <c r="K38" s="113">
        <f t="shared" si="3"/>
        <v>-165583.33333333334</v>
      </c>
      <c r="L38" s="113">
        <f t="shared" si="3"/>
        <v>-165583.33333333334</v>
      </c>
      <c r="M38" s="113">
        <f t="shared" si="3"/>
        <v>-165583.33333333334</v>
      </c>
      <c r="N38" s="113">
        <f t="shared" si="3"/>
        <v>-165583.33333333334</v>
      </c>
    </row>
    <row r="39" spans="1:14">
      <c r="A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</row>
    <row r="40" spans="1:14">
      <c r="A40" s="114" t="s">
        <v>183</v>
      </c>
      <c r="B40" s="115">
        <f>B36+B38</f>
        <v>102456828.26989999</v>
      </c>
      <c r="C40" s="115">
        <f>C36+C38</f>
        <v>11962639.543366667</v>
      </c>
      <c r="D40" s="115">
        <f t="shared" ref="D40:N40" si="4">D36+D38</f>
        <v>11306144.078566667</v>
      </c>
      <c r="E40" s="115">
        <f t="shared" si="4"/>
        <v>9913207.0645666663</v>
      </c>
      <c r="F40" s="115">
        <f t="shared" si="4"/>
        <v>6726345.1996666668</v>
      </c>
      <c r="G40" s="115">
        <f t="shared" si="4"/>
        <v>4017070.2844666666</v>
      </c>
      <c r="H40" s="115">
        <f t="shared" si="4"/>
        <v>3866701.7353666667</v>
      </c>
      <c r="I40" s="115">
        <f t="shared" si="4"/>
        <v>6375346.3423666665</v>
      </c>
      <c r="J40" s="115">
        <f t="shared" si="4"/>
        <v>9562352.1559666656</v>
      </c>
      <c r="K40" s="115">
        <f t="shared" si="4"/>
        <v>8203993.065766667</v>
      </c>
      <c r="L40" s="115">
        <f t="shared" si="4"/>
        <v>8717024.2606666666</v>
      </c>
      <c r="M40" s="115">
        <f t="shared" si="4"/>
        <v>10677261.786766665</v>
      </c>
      <c r="N40" s="115">
        <f t="shared" si="4"/>
        <v>11128742.752366666</v>
      </c>
    </row>
    <row r="41" spans="1:14">
      <c r="A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</row>
    <row r="42" spans="1:14" hidden="1">
      <c r="A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</row>
    <row r="43" spans="1:14" hidden="1">
      <c r="A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</row>
    <row r="44" spans="1:14">
      <c r="A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</row>
    <row r="45" spans="1:14">
      <c r="A45" s="108" t="s">
        <v>174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</row>
    <row r="46" spans="1:14">
      <c r="A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</row>
    <row r="47" spans="1:14">
      <c r="A47" s="106"/>
      <c r="B47" s="109" t="s">
        <v>6</v>
      </c>
      <c r="C47" s="110" t="str">
        <f>C16</f>
        <v>January</v>
      </c>
      <c r="D47" s="110" t="str">
        <f t="shared" ref="D47:N47" si="5">D16</f>
        <v>February</v>
      </c>
      <c r="E47" s="110" t="str">
        <f t="shared" si="5"/>
        <v>March</v>
      </c>
      <c r="F47" s="110" t="str">
        <f t="shared" si="5"/>
        <v>April</v>
      </c>
      <c r="G47" s="110" t="str">
        <f t="shared" si="5"/>
        <v>May</v>
      </c>
      <c r="H47" s="110" t="str">
        <f t="shared" si="5"/>
        <v>June</v>
      </c>
      <c r="I47" s="110" t="str">
        <f t="shared" si="5"/>
        <v>July</v>
      </c>
      <c r="J47" s="110" t="str">
        <f t="shared" si="5"/>
        <v>August</v>
      </c>
      <c r="K47" s="110" t="str">
        <f t="shared" si="5"/>
        <v>September</v>
      </c>
      <c r="L47" s="110" t="str">
        <f t="shared" si="5"/>
        <v>October</v>
      </c>
      <c r="M47" s="110" t="str">
        <f t="shared" si="5"/>
        <v>November</v>
      </c>
      <c r="N47" s="110" t="str">
        <f t="shared" si="5"/>
        <v>December</v>
      </c>
    </row>
    <row r="48" spans="1:14">
      <c r="A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</row>
    <row r="49" spans="1:14">
      <c r="A49" s="114" t="s">
        <v>175</v>
      </c>
      <c r="B49" s="117">
        <f>SUM(C49:N49)</f>
        <v>5658613</v>
      </c>
      <c r="C49" s="117">
        <v>556117</v>
      </c>
      <c r="D49" s="117">
        <v>486363</v>
      </c>
      <c r="E49" s="117">
        <v>477535</v>
      </c>
      <c r="F49" s="117">
        <v>431246</v>
      </c>
      <c r="G49" s="117">
        <v>432473</v>
      </c>
      <c r="H49" s="117">
        <v>424693</v>
      </c>
      <c r="I49" s="117">
        <v>490670</v>
      </c>
      <c r="J49" s="117">
        <v>464617</v>
      </c>
      <c r="K49" s="117">
        <v>435934</v>
      </c>
      <c r="L49" s="117">
        <v>436959</v>
      </c>
      <c r="M49" s="117">
        <v>468856</v>
      </c>
      <c r="N49" s="117">
        <v>553150</v>
      </c>
    </row>
    <row r="50" spans="1:14">
      <c r="A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</row>
    <row r="51" spans="1:14">
      <c r="A51" s="114" t="s">
        <v>184</v>
      </c>
      <c r="B51" s="169">
        <f>B40/B49</f>
        <v>18.106350137374651</v>
      </c>
      <c r="C51" s="118" t="s">
        <v>176</v>
      </c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</row>
    <row r="52" spans="1:14">
      <c r="A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</row>
    <row r="53" spans="1:14" hidden="1">
      <c r="A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</row>
    <row r="54" spans="1:14" hidden="1">
      <c r="A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</row>
    <row r="55" spans="1:14">
      <c r="A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</row>
    <row r="56" spans="1:14">
      <c r="A56" s="106" t="s">
        <v>185</v>
      </c>
      <c r="C56" s="106"/>
      <c r="D56" s="106"/>
      <c r="E56" s="153">
        <v>0.6573</v>
      </c>
      <c r="F56" s="106"/>
      <c r="G56" s="106"/>
      <c r="H56" s="106"/>
      <c r="I56" s="106"/>
      <c r="J56" s="106"/>
      <c r="K56" s="106"/>
      <c r="L56" s="106"/>
      <c r="M56" s="106"/>
      <c r="N56" s="106"/>
    </row>
    <row r="57" spans="1:14">
      <c r="A57" s="106" t="s">
        <v>186</v>
      </c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</row>
    <row r="58" spans="1:14">
      <c r="A58" s="106" t="s">
        <v>187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</row>
  </sheetData>
  <mergeCells count="1">
    <mergeCell ref="A6:N6"/>
  </mergeCells>
  <pageMargins left="0.2" right="0.2" top="0.5" bottom="0.5" header="0.3" footer="0.3"/>
  <pageSetup scale="65" fitToHeight="3" orientation="landscape" r:id="rId1"/>
  <headerFooter scaleWithDoc="0">
    <oddFooter>&amp;C&amp;F / &amp;A&amp;RPage &amp;P</oddFooter>
  </headerFooter>
  <rowBreaks count="1" manualBreakCount="1">
    <brk id="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S127"/>
  <sheetViews>
    <sheetView topLeftCell="A81" workbookViewId="0">
      <selection activeCell="D82" sqref="D82"/>
    </sheetView>
  </sheetViews>
  <sheetFormatPr defaultColWidth="11.3984375" defaultRowHeight="12.75" outlineLevelRow="1"/>
  <cols>
    <col min="1" max="1" width="6.1328125" style="68" customWidth="1"/>
    <col min="2" max="2" width="47.265625" style="67" customWidth="1"/>
    <col min="3" max="3" width="9" style="67" customWidth="1"/>
    <col min="4" max="4" width="15.265625" style="67" customWidth="1"/>
    <col min="5" max="5" width="11.3984375" style="67"/>
    <col min="6" max="6" width="21.265625" style="67" customWidth="1"/>
    <col min="7" max="7" width="14.3984375" style="131" bestFit="1" customWidth="1"/>
    <col min="8" max="16" width="14.265625" style="131" bestFit="1" customWidth="1"/>
    <col min="17" max="18" width="11.59765625" style="131" bestFit="1" customWidth="1"/>
    <col min="19" max="19" width="12.3984375" style="131" bestFit="1" customWidth="1"/>
    <col min="20" max="16384" width="11.3984375" style="67"/>
  </cols>
  <sheetData>
    <row r="1" spans="1:19" ht="13.15">
      <c r="A1" s="90"/>
      <c r="B1" s="90"/>
      <c r="C1" s="92" t="s">
        <v>133</v>
      </c>
    </row>
    <row r="2" spans="1:19" ht="13.15">
      <c r="A2" s="90"/>
      <c r="B2" s="90"/>
      <c r="C2" s="92" t="s">
        <v>132</v>
      </c>
    </row>
    <row r="3" spans="1:19" ht="13.15">
      <c r="A3" s="91"/>
      <c r="B3" s="90"/>
      <c r="C3" s="92" t="s">
        <v>206</v>
      </c>
    </row>
    <row r="4" spans="1:19" ht="13.15">
      <c r="A4" s="91"/>
      <c r="B4" s="90"/>
      <c r="C4" s="89"/>
    </row>
    <row r="5" spans="1:19" ht="12.75" customHeight="1">
      <c r="A5" s="71"/>
      <c r="C5" s="89"/>
      <c r="D5" s="83"/>
    </row>
    <row r="6" spans="1:19">
      <c r="A6" s="71" t="s">
        <v>131</v>
      </c>
      <c r="D6" s="121" t="s">
        <v>209</v>
      </c>
      <c r="E6" s="71" t="s">
        <v>188</v>
      </c>
    </row>
    <row r="7" spans="1:19" ht="13.15">
      <c r="A7" s="88" t="s">
        <v>130</v>
      </c>
      <c r="D7" s="87" t="s">
        <v>129</v>
      </c>
      <c r="E7" s="71" t="s">
        <v>6</v>
      </c>
      <c r="G7" s="131" t="s">
        <v>6</v>
      </c>
      <c r="H7" s="172">
        <v>43466</v>
      </c>
      <c r="I7" s="172">
        <v>43497</v>
      </c>
      <c r="J7" s="172">
        <v>43525</v>
      </c>
      <c r="K7" s="172">
        <v>43556</v>
      </c>
      <c r="L7" s="172">
        <v>43586</v>
      </c>
      <c r="M7" s="172">
        <v>43617</v>
      </c>
      <c r="N7" s="172">
        <v>43647</v>
      </c>
      <c r="O7" s="172">
        <v>43678</v>
      </c>
      <c r="P7" s="172">
        <v>43709</v>
      </c>
      <c r="Q7" s="172">
        <v>43739</v>
      </c>
      <c r="R7" s="172">
        <v>43770</v>
      </c>
      <c r="S7" s="172">
        <v>43800</v>
      </c>
    </row>
    <row r="8" spans="1:19">
      <c r="A8" s="71"/>
      <c r="B8" s="79" t="s">
        <v>128</v>
      </c>
      <c r="D8" s="86"/>
    </row>
    <row r="9" spans="1:19">
      <c r="A9" s="71">
        <f t="shared" ref="A9:A27" si="0">A8+1</f>
        <v>1</v>
      </c>
      <c r="B9" s="67" t="s">
        <v>127</v>
      </c>
      <c r="D9" s="122">
        <f>ROUND(G9/1000,0)</f>
        <v>0</v>
      </c>
      <c r="G9" s="133">
        <f t="shared" ref="G9:G15" si="1">SUM(H9:S9)</f>
        <v>0</v>
      </c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</row>
    <row r="10" spans="1:19">
      <c r="A10" s="71">
        <f t="shared" si="0"/>
        <v>2</v>
      </c>
      <c r="B10" s="67" t="s">
        <v>126</v>
      </c>
      <c r="D10" s="122">
        <f t="shared" ref="D10:D26" si="2">ROUND(G10/1000,0)</f>
        <v>38136</v>
      </c>
      <c r="G10" s="133">
        <f t="shared" si="1"/>
        <v>38136438</v>
      </c>
      <c r="H10" s="133">
        <v>2854577</v>
      </c>
      <c r="I10" s="133">
        <v>3156734</v>
      </c>
      <c r="J10" s="133">
        <v>7001996</v>
      </c>
      <c r="K10" s="133">
        <v>1757522</v>
      </c>
      <c r="L10" s="133">
        <v>2214282</v>
      </c>
      <c r="M10" s="133">
        <v>2424058</v>
      </c>
      <c r="N10" s="133">
        <v>3479617</v>
      </c>
      <c r="O10" s="133">
        <v>7463399</v>
      </c>
      <c r="P10" s="133">
        <v>2516919</v>
      </c>
      <c r="Q10" s="133">
        <v>1793415</v>
      </c>
      <c r="R10" s="133">
        <v>1237991</v>
      </c>
      <c r="S10" s="133">
        <v>2235928</v>
      </c>
    </row>
    <row r="11" spans="1:19">
      <c r="A11" s="71">
        <f t="shared" si="0"/>
        <v>3</v>
      </c>
      <c r="B11" s="67" t="s">
        <v>125</v>
      </c>
      <c r="D11" s="122">
        <f t="shared" si="2"/>
        <v>0</v>
      </c>
      <c r="G11" s="133">
        <f t="shared" si="1"/>
        <v>0</v>
      </c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</row>
    <row r="12" spans="1:19">
      <c r="A12" s="71">
        <f t="shared" si="0"/>
        <v>4</v>
      </c>
      <c r="B12" s="67" t="s">
        <v>124</v>
      </c>
      <c r="D12" s="122">
        <f t="shared" si="2"/>
        <v>15277</v>
      </c>
      <c r="G12" s="133">
        <f t="shared" si="1"/>
        <v>15276676</v>
      </c>
      <c r="H12" s="133">
        <v>1277785</v>
      </c>
      <c r="I12" s="133">
        <v>1277785</v>
      </c>
      <c r="J12" s="133">
        <v>1277785</v>
      </c>
      <c r="K12" s="133">
        <v>1277785</v>
      </c>
      <c r="L12" s="133">
        <v>1277785</v>
      </c>
      <c r="M12" s="133">
        <v>1277785</v>
      </c>
      <c r="N12" s="133">
        <v>1277785</v>
      </c>
      <c r="O12" s="133">
        <v>1277785</v>
      </c>
      <c r="P12" s="133">
        <v>1277785</v>
      </c>
      <c r="Q12" s="133">
        <v>1277785</v>
      </c>
      <c r="R12" s="133">
        <v>1277785</v>
      </c>
      <c r="S12" s="133">
        <v>1221041</v>
      </c>
    </row>
    <row r="13" spans="1:19">
      <c r="A13" s="71">
        <f t="shared" si="0"/>
        <v>5</v>
      </c>
      <c r="B13" s="67" t="s">
        <v>123</v>
      </c>
      <c r="D13" s="122">
        <f t="shared" si="2"/>
        <v>1835</v>
      </c>
      <c r="G13" s="133">
        <f t="shared" si="1"/>
        <v>1835376</v>
      </c>
      <c r="H13" s="133">
        <v>152948</v>
      </c>
      <c r="I13" s="133">
        <v>152948</v>
      </c>
      <c r="J13" s="133">
        <v>152948</v>
      </c>
      <c r="K13" s="133">
        <v>152948</v>
      </c>
      <c r="L13" s="133">
        <v>152948</v>
      </c>
      <c r="M13" s="133">
        <v>152948</v>
      </c>
      <c r="N13" s="133">
        <v>152948</v>
      </c>
      <c r="O13" s="133">
        <v>152948</v>
      </c>
      <c r="P13" s="133">
        <v>152948</v>
      </c>
      <c r="Q13" s="133">
        <v>152948</v>
      </c>
      <c r="R13" s="133">
        <v>152948</v>
      </c>
      <c r="S13" s="133">
        <v>152948</v>
      </c>
    </row>
    <row r="14" spans="1:19">
      <c r="A14" s="71">
        <f t="shared" si="0"/>
        <v>6</v>
      </c>
      <c r="B14" s="67" t="s">
        <v>122</v>
      </c>
      <c r="D14" s="122">
        <f t="shared" si="2"/>
        <v>9438</v>
      </c>
      <c r="G14" s="133">
        <f t="shared" si="1"/>
        <v>9437628</v>
      </c>
      <c r="H14" s="133">
        <v>776466</v>
      </c>
      <c r="I14" s="133">
        <v>776466</v>
      </c>
      <c r="J14" s="133">
        <v>776466</v>
      </c>
      <c r="K14" s="133">
        <v>896502</v>
      </c>
      <c r="L14" s="133">
        <v>776466</v>
      </c>
      <c r="M14" s="133">
        <v>776466</v>
      </c>
      <c r="N14" s="133">
        <v>776466</v>
      </c>
      <c r="O14" s="133">
        <v>776466</v>
      </c>
      <c r="P14" s="133">
        <v>776466</v>
      </c>
      <c r="Q14" s="133">
        <v>776466</v>
      </c>
      <c r="R14" s="133">
        <v>776466</v>
      </c>
      <c r="S14" s="133">
        <v>776466</v>
      </c>
    </row>
    <row r="15" spans="1:19">
      <c r="A15" s="71">
        <f t="shared" si="0"/>
        <v>7</v>
      </c>
      <c r="B15" s="67" t="s">
        <v>121</v>
      </c>
      <c r="D15" s="122">
        <f t="shared" si="2"/>
        <v>794</v>
      </c>
      <c r="G15" s="133">
        <f t="shared" si="1"/>
        <v>793828</v>
      </c>
      <c r="H15" s="133">
        <v>63699</v>
      </c>
      <c r="I15" s="133">
        <v>55709</v>
      </c>
      <c r="J15" s="133">
        <v>57590</v>
      </c>
      <c r="K15" s="133">
        <v>39998</v>
      </c>
      <c r="L15" s="133">
        <v>67634</v>
      </c>
      <c r="M15" s="133">
        <v>57526</v>
      </c>
      <c r="N15" s="133">
        <v>121244</v>
      </c>
      <c r="O15" s="133">
        <v>124899</v>
      </c>
      <c r="P15" s="133">
        <v>37471</v>
      </c>
      <c r="Q15" s="133">
        <v>39480</v>
      </c>
      <c r="R15" s="133">
        <v>69247</v>
      </c>
      <c r="S15" s="133">
        <v>59331</v>
      </c>
    </row>
    <row r="16" spans="1:19">
      <c r="A16" s="71">
        <f t="shared" si="0"/>
        <v>8</v>
      </c>
      <c r="B16" s="67" t="s">
        <v>120</v>
      </c>
      <c r="D16" s="122">
        <f t="shared" si="2"/>
        <v>28141</v>
      </c>
      <c r="E16" s="67" t="s">
        <v>207</v>
      </c>
      <c r="G16" s="133">
        <f>SUM(H16:S16)</f>
        <v>28140786</v>
      </c>
      <c r="H16" s="173">
        <v>2434351</v>
      </c>
      <c r="I16" s="173">
        <v>2347256</v>
      </c>
      <c r="J16" s="173">
        <v>2433715</v>
      </c>
      <c r="K16" s="173">
        <v>2283549</v>
      </c>
      <c r="L16" s="173">
        <v>2161515</v>
      </c>
      <c r="M16" s="173">
        <v>2100743</v>
      </c>
      <c r="N16" s="173">
        <v>2362015</v>
      </c>
      <c r="O16" s="173">
        <v>2412726</v>
      </c>
      <c r="P16" s="173">
        <v>2362607</v>
      </c>
      <c r="Q16" s="133">
        <v>2426736</v>
      </c>
      <c r="R16" s="133">
        <v>2418797</v>
      </c>
      <c r="S16" s="133">
        <v>2396776</v>
      </c>
    </row>
    <row r="17" spans="1:19">
      <c r="A17" s="71">
        <f t="shared" si="0"/>
        <v>9</v>
      </c>
      <c r="B17" s="67" t="s">
        <v>189</v>
      </c>
      <c r="D17" s="122">
        <f t="shared" si="2"/>
        <v>14</v>
      </c>
      <c r="G17" s="133">
        <f t="shared" ref="G17:G26" si="3">SUM(H17:S17)</f>
        <v>13889</v>
      </c>
      <c r="H17" s="133">
        <v>1297</v>
      </c>
      <c r="I17" s="133">
        <v>1364</v>
      </c>
      <c r="J17" s="133">
        <v>1397</v>
      </c>
      <c r="K17" s="133">
        <v>1286</v>
      </c>
      <c r="L17" s="133">
        <v>955</v>
      </c>
      <c r="M17" s="133">
        <v>1187</v>
      </c>
      <c r="N17" s="133">
        <v>1003</v>
      </c>
      <c r="O17" s="133">
        <v>955</v>
      </c>
      <c r="P17" s="133">
        <v>1117</v>
      </c>
      <c r="Q17" s="133">
        <v>1058</v>
      </c>
      <c r="R17" s="133">
        <v>1032</v>
      </c>
      <c r="S17" s="133">
        <v>1238</v>
      </c>
    </row>
    <row r="18" spans="1:19">
      <c r="A18" s="71">
        <f t="shared" si="0"/>
        <v>10</v>
      </c>
      <c r="B18" s="67" t="s">
        <v>87</v>
      </c>
      <c r="D18" s="122">
        <f t="shared" si="2"/>
        <v>7911</v>
      </c>
      <c r="G18" s="133">
        <f t="shared" si="3"/>
        <v>7910918</v>
      </c>
      <c r="H18" s="133">
        <v>2751195</v>
      </c>
      <c r="I18" s="133">
        <v>2485973</v>
      </c>
      <c r="J18" s="133">
        <v>1358266</v>
      </c>
      <c r="K18" s="133">
        <v>1315484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</row>
    <row r="19" spans="1:19">
      <c r="A19" s="71">
        <f t="shared" si="0"/>
        <v>11</v>
      </c>
      <c r="B19" s="67" t="s">
        <v>119</v>
      </c>
      <c r="D19" s="122">
        <f t="shared" si="2"/>
        <v>10</v>
      </c>
      <c r="G19" s="133">
        <f t="shared" si="3"/>
        <v>10154</v>
      </c>
      <c r="H19" s="133">
        <v>973</v>
      </c>
      <c r="I19" s="133">
        <v>1128</v>
      </c>
      <c r="J19" s="133">
        <v>1326</v>
      </c>
      <c r="K19" s="133">
        <v>1015</v>
      </c>
      <c r="L19" s="133">
        <v>700</v>
      </c>
      <c r="M19" s="133">
        <v>633</v>
      </c>
      <c r="N19" s="133">
        <v>616</v>
      </c>
      <c r="O19" s="133">
        <v>712</v>
      </c>
      <c r="P19" s="133">
        <v>746</v>
      </c>
      <c r="Q19" s="133">
        <v>24</v>
      </c>
      <c r="R19" s="133">
        <v>1343</v>
      </c>
      <c r="S19" s="133">
        <v>938</v>
      </c>
    </row>
    <row r="20" spans="1:19">
      <c r="A20" s="71">
        <f t="shared" si="0"/>
        <v>12</v>
      </c>
      <c r="B20" s="67" t="s">
        <v>118</v>
      </c>
      <c r="D20" s="122">
        <f t="shared" si="2"/>
        <v>1363</v>
      </c>
      <c r="F20" s="155"/>
      <c r="G20" s="133">
        <f t="shared" si="3"/>
        <v>1363496</v>
      </c>
      <c r="H20" s="133">
        <v>137301</v>
      </c>
      <c r="I20" s="133">
        <v>160032</v>
      </c>
      <c r="J20" s="133">
        <v>130122</v>
      </c>
      <c r="K20" s="133">
        <v>164292</v>
      </c>
      <c r="L20" s="133">
        <v>134892</v>
      </c>
      <c r="M20" s="133">
        <v>155759</v>
      </c>
      <c r="N20" s="133">
        <v>115371</v>
      </c>
      <c r="O20" s="133">
        <v>56688</v>
      </c>
      <c r="P20" s="133">
        <v>54123</v>
      </c>
      <c r="Q20" s="133">
        <v>67753</v>
      </c>
      <c r="R20" s="133">
        <v>88390</v>
      </c>
      <c r="S20" s="133">
        <v>98773</v>
      </c>
    </row>
    <row r="21" spans="1:19">
      <c r="A21" s="71">
        <f t="shared" si="0"/>
        <v>13</v>
      </c>
      <c r="B21" s="67" t="s">
        <v>117</v>
      </c>
      <c r="D21" s="122">
        <f t="shared" si="2"/>
        <v>1941</v>
      </c>
      <c r="F21" s="156"/>
      <c r="G21" s="133">
        <f t="shared" si="3"/>
        <v>1940817</v>
      </c>
      <c r="H21" s="133">
        <v>175035</v>
      </c>
      <c r="I21" s="133">
        <v>112639</v>
      </c>
      <c r="J21" s="133">
        <v>116166</v>
      </c>
      <c r="K21" s="133">
        <v>88987</v>
      </c>
      <c r="L21" s="133">
        <v>158545</v>
      </c>
      <c r="M21" s="133">
        <v>160694</v>
      </c>
      <c r="N21" s="133">
        <v>223005</v>
      </c>
      <c r="O21" s="133">
        <v>204295</v>
      </c>
      <c r="P21" s="133">
        <v>185887</v>
      </c>
      <c r="Q21" s="133">
        <v>74994</v>
      </c>
      <c r="R21" s="133">
        <v>250293</v>
      </c>
      <c r="S21" s="133">
        <v>190277</v>
      </c>
    </row>
    <row r="22" spans="1:19">
      <c r="A22" s="71">
        <f t="shared" si="0"/>
        <v>14</v>
      </c>
      <c r="B22" s="67" t="s">
        <v>116</v>
      </c>
      <c r="D22" s="122">
        <f t="shared" si="2"/>
        <v>2142</v>
      </c>
      <c r="F22" s="157"/>
      <c r="G22" s="133">
        <f t="shared" si="3"/>
        <v>2141849</v>
      </c>
      <c r="H22" s="133">
        <v>278635</v>
      </c>
      <c r="I22" s="133">
        <v>269107</v>
      </c>
      <c r="J22" s="133">
        <v>250887</v>
      </c>
      <c r="K22" s="133">
        <v>301774</v>
      </c>
      <c r="L22" s="133">
        <v>332525</v>
      </c>
      <c r="M22" s="133">
        <v>204948</v>
      </c>
      <c r="N22" s="133">
        <v>14118</v>
      </c>
      <c r="O22" s="133">
        <v>2646</v>
      </c>
      <c r="P22" s="133">
        <v>19886</v>
      </c>
      <c r="Q22" s="133">
        <v>141726</v>
      </c>
      <c r="R22" s="133">
        <v>156592</v>
      </c>
      <c r="S22" s="133">
        <v>169005</v>
      </c>
    </row>
    <row r="23" spans="1:19">
      <c r="A23" s="71">
        <f t="shared" si="0"/>
        <v>15</v>
      </c>
      <c r="B23" s="67" t="s">
        <v>115</v>
      </c>
      <c r="D23" s="122">
        <f t="shared" si="2"/>
        <v>5575</v>
      </c>
      <c r="G23" s="133">
        <f t="shared" si="3"/>
        <v>5574934</v>
      </c>
      <c r="H23" s="133">
        <v>584639</v>
      </c>
      <c r="I23" s="133">
        <v>427257</v>
      </c>
      <c r="J23" s="133">
        <v>466708</v>
      </c>
      <c r="K23" s="133">
        <v>424403</v>
      </c>
      <c r="L23" s="133">
        <v>265006</v>
      </c>
      <c r="M23" s="133">
        <v>390567</v>
      </c>
      <c r="N23" s="133">
        <v>482286</v>
      </c>
      <c r="O23" s="133">
        <v>464242</v>
      </c>
      <c r="P23" s="133">
        <v>487904</v>
      </c>
      <c r="Q23" s="133">
        <v>597266</v>
      </c>
      <c r="R23" s="133">
        <v>373372</v>
      </c>
      <c r="S23" s="133">
        <v>611284</v>
      </c>
    </row>
    <row r="24" spans="1:19">
      <c r="A24" s="71">
        <f>A23+1</f>
        <v>16</v>
      </c>
      <c r="B24" s="67" t="s">
        <v>114</v>
      </c>
      <c r="D24" s="122">
        <f t="shared" si="2"/>
        <v>254</v>
      </c>
      <c r="F24" s="158"/>
      <c r="G24" s="133">
        <f t="shared" si="3"/>
        <v>254375</v>
      </c>
      <c r="H24" s="133">
        <v>-336895</v>
      </c>
      <c r="I24" s="133">
        <v>-717182</v>
      </c>
      <c r="J24" s="133">
        <v>-527151</v>
      </c>
      <c r="K24" s="133">
        <v>-257975</v>
      </c>
      <c r="L24" s="133">
        <v>22739</v>
      </c>
      <c r="M24" s="133">
        <v>1248303</v>
      </c>
      <c r="N24" s="133">
        <v>-480458</v>
      </c>
      <c r="O24" s="133">
        <v>-588206</v>
      </c>
      <c r="P24" s="133">
        <v>44889</v>
      </c>
      <c r="Q24" s="133">
        <v>14473</v>
      </c>
      <c r="R24" s="133">
        <v>-35026</v>
      </c>
      <c r="S24" s="133">
        <v>1866864</v>
      </c>
    </row>
    <row r="25" spans="1:19">
      <c r="A25" s="71">
        <f t="shared" si="0"/>
        <v>17</v>
      </c>
      <c r="B25" s="67" t="s">
        <v>113</v>
      </c>
      <c r="D25" s="122">
        <f t="shared" si="2"/>
        <v>2517</v>
      </c>
      <c r="G25" s="133">
        <f t="shared" si="3"/>
        <v>2516657</v>
      </c>
      <c r="H25" s="133">
        <v>214294</v>
      </c>
      <c r="I25" s="133">
        <v>255268</v>
      </c>
      <c r="J25" s="133">
        <v>255076</v>
      </c>
      <c r="K25" s="133">
        <v>175722</v>
      </c>
      <c r="L25" s="133">
        <v>184130</v>
      </c>
      <c r="M25" s="133">
        <v>188967</v>
      </c>
      <c r="N25" s="133">
        <v>204764</v>
      </c>
      <c r="O25" s="133">
        <v>208156</v>
      </c>
      <c r="P25" s="133">
        <v>185287</v>
      </c>
      <c r="Q25" s="133">
        <v>224882</v>
      </c>
      <c r="R25" s="133">
        <v>208981</v>
      </c>
      <c r="S25" s="133">
        <v>211130</v>
      </c>
    </row>
    <row r="26" spans="1:19">
      <c r="A26" s="71">
        <f t="shared" si="0"/>
        <v>18</v>
      </c>
      <c r="B26" s="69" t="s">
        <v>112</v>
      </c>
      <c r="C26" s="69"/>
      <c r="D26" s="122">
        <f t="shared" si="2"/>
        <v>18596</v>
      </c>
      <c r="G26" s="133">
        <f t="shared" si="3"/>
        <v>18596471</v>
      </c>
      <c r="H26" s="133">
        <v>1921037</v>
      </c>
      <c r="I26" s="133">
        <v>1708936</v>
      </c>
      <c r="J26" s="133">
        <v>1266884</v>
      </c>
      <c r="K26" s="133">
        <v>2031088</v>
      </c>
      <c r="L26" s="133">
        <v>1632368</v>
      </c>
      <c r="M26" s="133">
        <v>1626459</v>
      </c>
      <c r="N26" s="133">
        <v>1146307</v>
      </c>
      <c r="O26" s="133">
        <v>960549</v>
      </c>
      <c r="P26" s="133">
        <v>1499481</v>
      </c>
      <c r="Q26" s="133">
        <v>1786735</v>
      </c>
      <c r="R26" s="133">
        <v>1340867</v>
      </c>
      <c r="S26" s="133">
        <v>1675760</v>
      </c>
    </row>
    <row r="27" spans="1:19">
      <c r="A27" s="71">
        <f t="shared" si="0"/>
        <v>19</v>
      </c>
      <c r="B27" s="67" t="s">
        <v>111</v>
      </c>
      <c r="D27" s="78">
        <f>SUM(D9:D26)</f>
        <v>133944</v>
      </c>
      <c r="E27" s="76">
        <f>144313775/1000</f>
        <v>144313.77499999999</v>
      </c>
      <c r="F27" s="128">
        <f>E27-D27</f>
        <v>10369.774999999994</v>
      </c>
      <c r="G27" s="174">
        <f t="shared" ref="G27:S27" si="4">SUM(G9:G26)</f>
        <v>133944292</v>
      </c>
      <c r="H27" s="174">
        <f t="shared" si="4"/>
        <v>13287337</v>
      </c>
      <c r="I27" s="174">
        <f t="shared" si="4"/>
        <v>12471420</v>
      </c>
      <c r="J27" s="174">
        <f t="shared" si="4"/>
        <v>15020181</v>
      </c>
      <c r="K27" s="174">
        <f t="shared" si="4"/>
        <v>10654380</v>
      </c>
      <c r="L27" s="174">
        <f t="shared" si="4"/>
        <v>9382490</v>
      </c>
      <c r="M27" s="174">
        <f t="shared" si="4"/>
        <v>10767043</v>
      </c>
      <c r="N27" s="174">
        <f t="shared" si="4"/>
        <v>9877087</v>
      </c>
      <c r="O27" s="174">
        <f t="shared" si="4"/>
        <v>13518260</v>
      </c>
      <c r="P27" s="174">
        <f t="shared" si="4"/>
        <v>9603516</v>
      </c>
      <c r="Q27" s="174">
        <f t="shared" si="4"/>
        <v>9375741</v>
      </c>
      <c r="R27" s="174">
        <f t="shared" si="4"/>
        <v>8319078</v>
      </c>
      <c r="S27" s="174">
        <f t="shared" si="4"/>
        <v>11667759</v>
      </c>
    </row>
    <row r="28" spans="1:19">
      <c r="A28" s="71"/>
      <c r="E28" s="128">
        <f>1647259/1000</f>
        <v>1647.259</v>
      </c>
      <c r="F28" s="67" t="s">
        <v>213</v>
      </c>
      <c r="G28" s="175" t="s">
        <v>208</v>
      </c>
    </row>
    <row r="29" spans="1:19">
      <c r="A29" s="71"/>
      <c r="B29" s="79" t="s">
        <v>110</v>
      </c>
      <c r="D29" s="72"/>
      <c r="E29" s="102">
        <f>8728076/1000</f>
        <v>8728.0759999999991</v>
      </c>
      <c r="F29" s="67" t="s">
        <v>211</v>
      </c>
    </row>
    <row r="30" spans="1:19">
      <c r="A30" s="71">
        <f>A27+1</f>
        <v>20</v>
      </c>
      <c r="B30" s="67" t="s">
        <v>109</v>
      </c>
      <c r="D30" s="122">
        <f t="shared" ref="D30:D33" si="5">ROUND(G30/1000,0)</f>
        <v>570</v>
      </c>
      <c r="E30" s="154">
        <v>-5</v>
      </c>
      <c r="F30" s="67" t="s">
        <v>214</v>
      </c>
      <c r="G30" s="133">
        <f t="shared" ref="G30" si="6">SUM(H30:S30)</f>
        <v>570398</v>
      </c>
      <c r="H30" s="133">
        <v>40867</v>
      </c>
      <c r="I30" s="133">
        <v>37768</v>
      </c>
      <c r="J30" s="133">
        <v>91606</v>
      </c>
      <c r="K30" s="133">
        <v>122083</v>
      </c>
      <c r="L30" s="133">
        <v>34547</v>
      </c>
      <c r="M30" s="133">
        <v>44007</v>
      </c>
      <c r="N30" s="133">
        <v>52526</v>
      </c>
      <c r="O30" s="133">
        <v>14925</v>
      </c>
      <c r="P30" s="133">
        <v>40566</v>
      </c>
      <c r="Q30" s="133">
        <v>25367</v>
      </c>
      <c r="R30" s="133">
        <v>29228</v>
      </c>
      <c r="S30" s="133">
        <v>36908</v>
      </c>
    </row>
    <row r="31" spans="1:19">
      <c r="A31" s="71">
        <f>A30+1</f>
        <v>21</v>
      </c>
      <c r="B31" s="67" t="s">
        <v>210</v>
      </c>
      <c r="D31" s="122">
        <f t="shared" si="5"/>
        <v>1454</v>
      </c>
      <c r="E31" s="128">
        <f>SUM(E28:E30)</f>
        <v>10370.334999999999</v>
      </c>
      <c r="F31" s="159"/>
      <c r="G31" s="133">
        <f t="shared" ref="G31:G39" si="7">SUM(H31:S31)</f>
        <v>1454005</v>
      </c>
      <c r="H31" s="133">
        <v>436</v>
      </c>
      <c r="I31" s="133">
        <v>267</v>
      </c>
      <c r="J31" s="133">
        <v>1452099</v>
      </c>
      <c r="K31" s="133">
        <v>0</v>
      </c>
      <c r="L31" s="133">
        <v>0</v>
      </c>
      <c r="M31" s="133">
        <v>1059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144</v>
      </c>
    </row>
    <row r="32" spans="1:19">
      <c r="A32" s="71">
        <f>A31+1</f>
        <v>22</v>
      </c>
      <c r="B32" s="67" t="s">
        <v>230</v>
      </c>
      <c r="D32" s="122">
        <f t="shared" si="5"/>
        <v>0</v>
      </c>
      <c r="E32" s="131"/>
      <c r="G32" s="133"/>
    </row>
    <row r="33" spans="1:19">
      <c r="A33" s="71">
        <f>A32+1</f>
        <v>23</v>
      </c>
      <c r="B33" s="67" t="s">
        <v>212</v>
      </c>
      <c r="D33" s="122">
        <f t="shared" si="5"/>
        <v>1</v>
      </c>
      <c r="E33" s="131"/>
      <c r="G33" s="133">
        <f>SUM(H33:S33)</f>
        <v>601</v>
      </c>
      <c r="H33" s="133">
        <v>25</v>
      </c>
      <c r="I33" s="133">
        <v>17</v>
      </c>
      <c r="J33" s="133">
        <v>135</v>
      </c>
      <c r="K33" s="133">
        <v>32</v>
      </c>
      <c r="L33" s="133">
        <v>37</v>
      </c>
      <c r="M33" s="133">
        <v>48</v>
      </c>
      <c r="N33" s="133">
        <v>74</v>
      </c>
      <c r="O33" s="133">
        <v>79</v>
      </c>
      <c r="P33" s="133">
        <v>48</v>
      </c>
      <c r="Q33" s="133">
        <v>52</v>
      </c>
      <c r="R33" s="133">
        <v>41</v>
      </c>
      <c r="S33" s="133">
        <v>13</v>
      </c>
    </row>
    <row r="34" spans="1:19" hidden="1" outlineLevel="1">
      <c r="A34" s="71"/>
      <c r="D34" s="76"/>
      <c r="E34" s="131"/>
      <c r="G34" s="133">
        <f t="shared" si="7"/>
        <v>15988970</v>
      </c>
      <c r="H34" s="133">
        <v>1083619</v>
      </c>
      <c r="I34" s="133">
        <v>1645941</v>
      </c>
      <c r="J34" s="133">
        <v>1377218</v>
      </c>
      <c r="K34" s="133">
        <v>1492640</v>
      </c>
      <c r="L34" s="133">
        <v>2912803</v>
      </c>
      <c r="M34" s="133">
        <v>2761505</v>
      </c>
      <c r="N34" s="133">
        <v>1833937</v>
      </c>
      <c r="O34" s="133">
        <v>973692</v>
      </c>
      <c r="P34" s="133">
        <v>1907615</v>
      </c>
      <c r="Q34" s="133"/>
      <c r="R34" s="133"/>
      <c r="S34" s="133"/>
    </row>
    <row r="35" spans="1:19" hidden="1" outlineLevel="1">
      <c r="A35" s="71"/>
      <c r="D35" s="76"/>
      <c r="E35" s="131"/>
      <c r="G35" s="133">
        <f t="shared" si="7"/>
        <v>-2547112</v>
      </c>
      <c r="H35" s="133">
        <v>-2490169</v>
      </c>
      <c r="I35" s="133">
        <v>-336824</v>
      </c>
      <c r="J35" s="133">
        <v>363762</v>
      </c>
      <c r="K35" s="133">
        <v>852918</v>
      </c>
      <c r="L35" s="133">
        <v>675072</v>
      </c>
      <c r="M35" s="133">
        <v>1435046</v>
      </c>
      <c r="N35" s="133">
        <v>-2218714</v>
      </c>
      <c r="O35" s="133">
        <v>-914639</v>
      </c>
      <c r="P35" s="133">
        <v>86436</v>
      </c>
      <c r="Q35" s="133"/>
      <c r="R35" s="133"/>
      <c r="S35" s="133"/>
    </row>
    <row r="36" spans="1:19" hidden="1" outlineLevel="1">
      <c r="A36" s="71"/>
      <c r="D36" s="76"/>
      <c r="E36" s="131"/>
      <c r="G36" s="133">
        <f t="shared" si="7"/>
        <v>4129430</v>
      </c>
      <c r="H36" s="133">
        <v>414178</v>
      </c>
      <c r="I36" s="133">
        <v>204400</v>
      </c>
      <c r="J36" s="133">
        <v>49615</v>
      </c>
      <c r="K36" s="133">
        <v>233130</v>
      </c>
      <c r="L36" s="133">
        <v>0</v>
      </c>
      <c r="M36" s="133">
        <v>487824</v>
      </c>
      <c r="N36" s="133">
        <v>357663</v>
      </c>
      <c r="O36" s="133">
        <v>1564964</v>
      </c>
      <c r="P36" s="133">
        <v>817656</v>
      </c>
      <c r="Q36" s="133"/>
      <c r="R36" s="133"/>
      <c r="S36" s="133"/>
    </row>
    <row r="37" spans="1:19" hidden="1" outlineLevel="1">
      <c r="A37" s="71"/>
      <c r="D37" s="76"/>
      <c r="E37" s="131"/>
      <c r="G37" s="133">
        <f t="shared" si="7"/>
        <v>-4129430</v>
      </c>
      <c r="H37" s="133">
        <v>-414178</v>
      </c>
      <c r="I37" s="133">
        <v>-204400</v>
      </c>
      <c r="J37" s="133">
        <v>-49615</v>
      </c>
      <c r="K37" s="133">
        <v>-233130</v>
      </c>
      <c r="L37" s="133">
        <v>0</v>
      </c>
      <c r="M37" s="133">
        <v>-487824</v>
      </c>
      <c r="N37" s="133">
        <v>-357663</v>
      </c>
      <c r="O37" s="133">
        <v>-1564964</v>
      </c>
      <c r="P37" s="133">
        <v>-817656</v>
      </c>
      <c r="Q37" s="133"/>
      <c r="R37" s="133"/>
      <c r="S37" s="133"/>
    </row>
    <row r="38" spans="1:19" hidden="1" outlineLevel="1">
      <c r="A38" s="71"/>
      <c r="D38" s="76"/>
      <c r="E38" s="131"/>
      <c r="G38" s="133">
        <f t="shared" si="7"/>
        <v>30039096</v>
      </c>
      <c r="H38" s="133">
        <v>5812837</v>
      </c>
      <c r="I38" s="133">
        <v>2658645</v>
      </c>
      <c r="J38" s="133">
        <v>1842941</v>
      </c>
      <c r="K38" s="133">
        <v>2305884</v>
      </c>
      <c r="L38" s="133">
        <v>2957007</v>
      </c>
      <c r="M38" s="133">
        <v>2015344</v>
      </c>
      <c r="N38" s="133">
        <v>4667489</v>
      </c>
      <c r="O38" s="133">
        <v>5198705</v>
      </c>
      <c r="P38" s="133">
        <v>2580244</v>
      </c>
      <c r="Q38" s="133"/>
      <c r="R38" s="133"/>
      <c r="S38" s="133"/>
    </row>
    <row r="39" spans="1:19" collapsed="1">
      <c r="A39" s="71">
        <f>A33+1</f>
        <v>24</v>
      </c>
      <c r="B39" s="69" t="s">
        <v>108</v>
      </c>
      <c r="C39" s="69"/>
      <c r="D39" s="122">
        <f t="shared" ref="D39" si="8">ROUND(G39/1000,0)</f>
        <v>47651</v>
      </c>
      <c r="E39" s="131"/>
      <c r="G39" s="133">
        <f t="shared" si="7"/>
        <v>47650873</v>
      </c>
      <c r="H39" s="133">
        <v>2530332</v>
      </c>
      <c r="I39" s="133">
        <v>9060358</v>
      </c>
      <c r="J39" s="133">
        <v>4093972</v>
      </c>
      <c r="K39" s="133">
        <v>1889142</v>
      </c>
      <c r="L39" s="133">
        <v>4038080</v>
      </c>
      <c r="M39" s="133">
        <v>2558795</v>
      </c>
      <c r="N39" s="133">
        <v>3317580</v>
      </c>
      <c r="O39" s="133">
        <v>4369104</v>
      </c>
      <c r="P39" s="133">
        <v>3370414</v>
      </c>
      <c r="Q39" s="133">
        <v>3003479</v>
      </c>
      <c r="R39" s="133">
        <v>5588103</v>
      </c>
      <c r="S39" s="133">
        <v>3831514</v>
      </c>
    </row>
    <row r="40" spans="1:19">
      <c r="A40" s="71">
        <f>A39+1</f>
        <v>25</v>
      </c>
      <c r="B40" s="67" t="s">
        <v>107</v>
      </c>
      <c r="D40" s="78">
        <f>SUM(D30:D39)</f>
        <v>49676</v>
      </c>
      <c r="E40" s="129">
        <v>49822</v>
      </c>
      <c r="F40" s="130">
        <f>E40-D40</f>
        <v>146</v>
      </c>
      <c r="G40" s="174">
        <f>SUM(G30:G33,G39)</f>
        <v>49675877</v>
      </c>
      <c r="H40" s="174">
        <f t="shared" ref="H40:S40" si="9">SUM(H30:H33,H39)</f>
        <v>2571660</v>
      </c>
      <c r="I40" s="174">
        <f t="shared" si="9"/>
        <v>9098410</v>
      </c>
      <c r="J40" s="174">
        <f t="shared" si="9"/>
        <v>5637812</v>
      </c>
      <c r="K40" s="174">
        <f t="shared" si="9"/>
        <v>2011257</v>
      </c>
      <c r="L40" s="174">
        <f t="shared" si="9"/>
        <v>4072664</v>
      </c>
      <c r="M40" s="174">
        <f t="shared" si="9"/>
        <v>2603909</v>
      </c>
      <c r="N40" s="174">
        <f t="shared" si="9"/>
        <v>3370180</v>
      </c>
      <c r="O40" s="174">
        <f t="shared" si="9"/>
        <v>4384108</v>
      </c>
      <c r="P40" s="174">
        <f t="shared" si="9"/>
        <v>3411028</v>
      </c>
      <c r="Q40" s="174">
        <f t="shared" si="9"/>
        <v>3028898</v>
      </c>
      <c r="R40" s="174">
        <f t="shared" si="9"/>
        <v>5617372</v>
      </c>
      <c r="S40" s="174">
        <f t="shared" si="9"/>
        <v>3868579</v>
      </c>
    </row>
    <row r="41" spans="1:19">
      <c r="A41" s="71"/>
      <c r="D41" s="72"/>
      <c r="E41" s="129">
        <v>3601</v>
      </c>
      <c r="F41" s="131" t="s">
        <v>142</v>
      </c>
      <c r="G41" s="175" t="s">
        <v>208</v>
      </c>
    </row>
    <row r="42" spans="1:19">
      <c r="A42" s="71"/>
      <c r="B42" s="79" t="s">
        <v>106</v>
      </c>
      <c r="D42" s="72"/>
      <c r="E42" s="129">
        <f>-8186+461</f>
        <v>-7725</v>
      </c>
      <c r="F42" s="131" t="s">
        <v>143</v>
      </c>
    </row>
    <row r="43" spans="1:19">
      <c r="A43" s="71">
        <f>A40+1</f>
        <v>26</v>
      </c>
      <c r="B43" s="67" t="s">
        <v>105</v>
      </c>
      <c r="C43" s="85"/>
      <c r="D43" s="122">
        <f t="shared" ref="D43:D46" si="10">ROUND(G43/1000,0)</f>
        <v>6214</v>
      </c>
      <c r="E43" s="129">
        <f>4732-461</f>
        <v>4271</v>
      </c>
      <c r="F43" s="131" t="s">
        <v>144</v>
      </c>
      <c r="G43" s="133">
        <f t="shared" ref="G43:G46" si="11">SUM(H43:S43)</f>
        <v>6213997</v>
      </c>
      <c r="H43" s="133">
        <v>776613</v>
      </c>
      <c r="I43" s="133">
        <v>610601</v>
      </c>
      <c r="J43" s="133">
        <v>632850</v>
      </c>
      <c r="K43" s="133">
        <v>-22216</v>
      </c>
      <c r="L43" s="133">
        <v>0</v>
      </c>
      <c r="M43" s="133">
        <v>272220</v>
      </c>
      <c r="N43" s="133">
        <v>656265</v>
      </c>
      <c r="O43" s="133">
        <v>640827</v>
      </c>
      <c r="P43" s="133">
        <v>645386</v>
      </c>
      <c r="Q43" s="133">
        <v>608280</v>
      </c>
      <c r="R43" s="133">
        <v>620300</v>
      </c>
      <c r="S43" s="133">
        <v>772871</v>
      </c>
    </row>
    <row r="44" spans="1:19">
      <c r="A44" s="71">
        <f>A43+1</f>
        <v>27</v>
      </c>
      <c r="B44" s="67" t="s">
        <v>104</v>
      </c>
      <c r="C44" s="85"/>
      <c r="D44" s="122">
        <f t="shared" si="10"/>
        <v>18</v>
      </c>
      <c r="E44" s="132">
        <f>SUM(E41:E43)</f>
        <v>147</v>
      </c>
      <c r="F44" s="131"/>
      <c r="G44" s="133">
        <f t="shared" si="11"/>
        <v>18435</v>
      </c>
      <c r="H44" s="133">
        <v>788</v>
      </c>
      <c r="I44" s="133">
        <v>5300</v>
      </c>
      <c r="J44" s="133">
        <v>-3247</v>
      </c>
      <c r="K44" s="133">
        <v>20</v>
      </c>
      <c r="L44" s="133">
        <v>-5519</v>
      </c>
      <c r="M44" s="133">
        <v>6030</v>
      </c>
      <c r="N44" s="133">
        <v>162</v>
      </c>
      <c r="O44" s="133">
        <v>-8</v>
      </c>
      <c r="P44" s="133">
        <v>-4</v>
      </c>
      <c r="Q44" s="133">
        <v>10408</v>
      </c>
      <c r="R44" s="133">
        <v>3259</v>
      </c>
      <c r="S44" s="133">
        <v>1246</v>
      </c>
    </row>
    <row r="45" spans="1:19">
      <c r="A45" s="71">
        <f>A44+1</f>
        <v>28</v>
      </c>
      <c r="B45" s="81" t="s">
        <v>103</v>
      </c>
      <c r="C45" s="83"/>
      <c r="D45" s="122">
        <f t="shared" si="10"/>
        <v>22448</v>
      </c>
      <c r="G45" s="133">
        <f t="shared" si="11"/>
        <v>22448146</v>
      </c>
      <c r="H45" s="133">
        <v>2068317</v>
      </c>
      <c r="I45" s="133">
        <v>857176</v>
      </c>
      <c r="J45" s="133">
        <v>2215754</v>
      </c>
      <c r="K45" s="133">
        <v>2009290</v>
      </c>
      <c r="L45" s="133">
        <v>1172871</v>
      </c>
      <c r="M45" s="133">
        <v>1573569</v>
      </c>
      <c r="N45" s="133">
        <v>1691988</v>
      </c>
      <c r="O45" s="133">
        <v>3868707</v>
      </c>
      <c r="P45" s="133">
        <v>1944992</v>
      </c>
      <c r="Q45" s="133">
        <v>1664444</v>
      </c>
      <c r="R45" s="133">
        <v>1822521</v>
      </c>
      <c r="S45" s="133">
        <v>1558517</v>
      </c>
    </row>
    <row r="46" spans="1:19">
      <c r="A46" s="71">
        <f>A45+1</f>
        <v>29</v>
      </c>
      <c r="B46" s="69" t="s">
        <v>102</v>
      </c>
      <c r="C46" s="84"/>
      <c r="D46" s="122">
        <f t="shared" si="10"/>
        <v>200</v>
      </c>
      <c r="G46" s="133">
        <f t="shared" si="11"/>
        <v>200053</v>
      </c>
      <c r="H46" s="133">
        <v>20662</v>
      </c>
      <c r="I46" s="133">
        <v>16718</v>
      </c>
      <c r="J46" s="133">
        <v>22282</v>
      </c>
      <c r="K46" s="133">
        <v>6678</v>
      </c>
      <c r="L46" s="133">
        <v>4134</v>
      </c>
      <c r="M46" s="133">
        <v>41037</v>
      </c>
      <c r="N46" s="133">
        <v>17069</v>
      </c>
      <c r="O46" s="133">
        <v>23871</v>
      </c>
      <c r="P46" s="133">
        <v>0</v>
      </c>
      <c r="Q46" s="133">
        <v>1329</v>
      </c>
      <c r="R46" s="133">
        <v>45847</v>
      </c>
      <c r="S46" s="133">
        <v>426</v>
      </c>
    </row>
    <row r="47" spans="1:19">
      <c r="A47" s="83">
        <f>A46+1</f>
        <v>30</v>
      </c>
      <c r="B47" s="67" t="s">
        <v>101</v>
      </c>
      <c r="D47" s="78">
        <f>SUM(D43:D46)</f>
        <v>28880</v>
      </c>
      <c r="E47" s="102">
        <v>30850</v>
      </c>
      <c r="G47" s="174">
        <f>SUM(G43:G46)</f>
        <v>28880631</v>
      </c>
      <c r="H47" s="174">
        <f t="shared" ref="H47:S47" si="12">SUM(H43:H46)</f>
        <v>2866380</v>
      </c>
      <c r="I47" s="174">
        <f t="shared" si="12"/>
        <v>1489795</v>
      </c>
      <c r="J47" s="174">
        <f t="shared" si="12"/>
        <v>2867639</v>
      </c>
      <c r="K47" s="174">
        <f t="shared" si="12"/>
        <v>1993772</v>
      </c>
      <c r="L47" s="174">
        <f t="shared" si="12"/>
        <v>1171486</v>
      </c>
      <c r="M47" s="174">
        <f t="shared" si="12"/>
        <v>1892856</v>
      </c>
      <c r="N47" s="174">
        <f t="shared" si="12"/>
        <v>2365484</v>
      </c>
      <c r="O47" s="174">
        <f t="shared" si="12"/>
        <v>4533397</v>
      </c>
      <c r="P47" s="174">
        <f t="shared" si="12"/>
        <v>2590374</v>
      </c>
      <c r="Q47" s="174">
        <f t="shared" si="12"/>
        <v>2284461</v>
      </c>
      <c r="R47" s="174">
        <f t="shared" si="12"/>
        <v>2491927</v>
      </c>
      <c r="S47" s="174">
        <f t="shared" si="12"/>
        <v>2333060</v>
      </c>
    </row>
    <row r="48" spans="1:19">
      <c r="A48" s="71"/>
      <c r="D48" s="72"/>
      <c r="E48" s="103">
        <f>E47-D47</f>
        <v>1970</v>
      </c>
      <c r="F48" s="249" t="s">
        <v>141</v>
      </c>
      <c r="G48" s="175" t="s">
        <v>208</v>
      </c>
    </row>
    <row r="49" spans="1:19">
      <c r="A49" s="71"/>
      <c r="B49" s="79" t="s">
        <v>100</v>
      </c>
      <c r="D49" s="72"/>
      <c r="F49" s="249"/>
    </row>
    <row r="50" spans="1:19">
      <c r="A50" s="71">
        <f>A47+1</f>
        <v>31</v>
      </c>
      <c r="B50" s="80" t="s">
        <v>99</v>
      </c>
      <c r="D50" s="122">
        <f t="shared" ref="D50:D60" si="13">ROUND(G50/1000,0)</f>
        <v>32968</v>
      </c>
      <c r="G50" s="133">
        <f t="shared" ref="G50:G53" si="14">SUM(H50:S50)</f>
        <v>32967511</v>
      </c>
      <c r="H50" s="133">
        <v>2612337</v>
      </c>
      <c r="I50" s="133">
        <v>5587117</v>
      </c>
      <c r="J50" s="133">
        <v>3604314</v>
      </c>
      <c r="K50" s="133">
        <v>1817341</v>
      </c>
      <c r="L50" s="133">
        <v>653380</v>
      </c>
      <c r="M50" s="133">
        <v>760751</v>
      </c>
      <c r="N50" s="133">
        <v>2648262</v>
      </c>
      <c r="O50" s="133">
        <v>2763838</v>
      </c>
      <c r="P50" s="133">
        <v>2811486</v>
      </c>
      <c r="Q50" s="133">
        <v>3068999</v>
      </c>
      <c r="R50" s="133">
        <v>3562018</v>
      </c>
      <c r="S50" s="133">
        <v>3077668</v>
      </c>
    </row>
    <row r="51" spans="1:19">
      <c r="A51" s="71">
        <f t="shared" ref="A51:A61" si="15">A50+1</f>
        <v>32</v>
      </c>
      <c r="B51" s="80" t="s">
        <v>98</v>
      </c>
      <c r="D51" s="122">
        <f t="shared" si="13"/>
        <v>0</v>
      </c>
      <c r="G51" s="133">
        <f t="shared" si="14"/>
        <v>0</v>
      </c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</row>
    <row r="52" spans="1:19">
      <c r="A52" s="71">
        <f t="shared" si="15"/>
        <v>33</v>
      </c>
      <c r="B52" s="80" t="s">
        <v>97</v>
      </c>
      <c r="D52" s="122">
        <f t="shared" si="13"/>
        <v>32086</v>
      </c>
      <c r="G52" s="133">
        <f t="shared" si="14"/>
        <v>32086242</v>
      </c>
      <c r="H52" s="133">
        <v>2820838</v>
      </c>
      <c r="I52" s="133">
        <v>5983438</v>
      </c>
      <c r="J52" s="133">
        <v>3298237</v>
      </c>
      <c r="K52" s="133">
        <v>1471291</v>
      </c>
      <c r="L52" s="133">
        <v>1149758</v>
      </c>
      <c r="M52" s="133">
        <v>831582</v>
      </c>
      <c r="N52" s="133">
        <v>2346743</v>
      </c>
      <c r="O52" s="133">
        <v>2456056</v>
      </c>
      <c r="P52" s="133">
        <v>2572484</v>
      </c>
      <c r="Q52" s="133">
        <v>3040955</v>
      </c>
      <c r="R52" s="133">
        <v>3319423</v>
      </c>
      <c r="S52" s="133">
        <v>2795437</v>
      </c>
    </row>
    <row r="53" spans="1:19">
      <c r="A53" s="71">
        <f t="shared" si="15"/>
        <v>34</v>
      </c>
      <c r="B53" s="80" t="s">
        <v>96</v>
      </c>
      <c r="D53" s="122">
        <f t="shared" si="13"/>
        <v>0</v>
      </c>
      <c r="G53" s="133">
        <f t="shared" si="14"/>
        <v>0</v>
      </c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</row>
    <row r="54" spans="1:19">
      <c r="A54" s="71">
        <f t="shared" si="15"/>
        <v>35</v>
      </c>
      <c r="B54" s="67" t="s">
        <v>95</v>
      </c>
      <c r="D54" s="122">
        <f t="shared" si="13"/>
        <v>0</v>
      </c>
      <c r="G54" s="133">
        <f t="shared" ref="G54:G60" si="16">SUM(H54:S54)</f>
        <v>0</v>
      </c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</row>
    <row r="55" spans="1:19">
      <c r="A55" s="71">
        <f t="shared" si="15"/>
        <v>36</v>
      </c>
      <c r="B55" s="67" t="s">
        <v>190</v>
      </c>
      <c r="D55" s="122">
        <f t="shared" si="13"/>
        <v>0</v>
      </c>
      <c r="G55" s="133">
        <f t="shared" si="16"/>
        <v>0</v>
      </c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</row>
    <row r="56" spans="1:19">
      <c r="A56" s="71">
        <f t="shared" si="15"/>
        <v>37</v>
      </c>
      <c r="B56" s="67" t="s">
        <v>94</v>
      </c>
      <c r="D56" s="122">
        <f t="shared" si="13"/>
        <v>0</v>
      </c>
      <c r="G56" s="133">
        <f t="shared" si="16"/>
        <v>0</v>
      </c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</row>
    <row r="57" spans="1:19">
      <c r="A57" s="71">
        <f t="shared" si="15"/>
        <v>38</v>
      </c>
      <c r="B57" s="81" t="s">
        <v>93</v>
      </c>
      <c r="C57" s="81"/>
      <c r="D57" s="122">
        <f t="shared" si="13"/>
        <v>4410</v>
      </c>
      <c r="G57" s="133">
        <f t="shared" si="16"/>
        <v>4409646</v>
      </c>
      <c r="H57" s="133">
        <v>50766</v>
      </c>
      <c r="I57" s="133">
        <v>534706</v>
      </c>
      <c r="J57" s="133">
        <v>570531</v>
      </c>
      <c r="K57" s="133">
        <v>45297</v>
      </c>
      <c r="L57" s="133">
        <v>42573</v>
      </c>
      <c r="M57" s="133">
        <v>152865</v>
      </c>
      <c r="N57" s="133">
        <v>348664</v>
      </c>
      <c r="O57" s="133">
        <v>876795</v>
      </c>
      <c r="P57" s="133">
        <v>548612</v>
      </c>
      <c r="Q57" s="133">
        <v>350514</v>
      </c>
      <c r="R57" s="133">
        <v>573698</v>
      </c>
      <c r="S57" s="133">
        <v>314625</v>
      </c>
    </row>
    <row r="58" spans="1:19">
      <c r="A58" s="71">
        <f t="shared" si="15"/>
        <v>39</v>
      </c>
      <c r="B58" s="67" t="s">
        <v>92</v>
      </c>
      <c r="D58" s="122">
        <f t="shared" si="13"/>
        <v>71</v>
      </c>
      <c r="G58" s="133">
        <f t="shared" si="16"/>
        <v>70677</v>
      </c>
      <c r="H58" s="133">
        <v>-152</v>
      </c>
      <c r="I58" s="133">
        <v>2307</v>
      </c>
      <c r="J58" s="133">
        <v>10489</v>
      </c>
      <c r="K58" s="133">
        <v>23648</v>
      </c>
      <c r="L58" s="133">
        <v>-2426</v>
      </c>
      <c r="M58" s="133">
        <v>13904</v>
      </c>
      <c r="N58" s="133">
        <v>-1050</v>
      </c>
      <c r="O58" s="133">
        <v>683</v>
      </c>
      <c r="P58" s="133">
        <v>422</v>
      </c>
      <c r="Q58" s="133">
        <v>680</v>
      </c>
      <c r="R58" s="133">
        <v>-169</v>
      </c>
      <c r="S58" s="133">
        <v>22341</v>
      </c>
    </row>
    <row r="59" spans="1:19">
      <c r="A59" s="71">
        <f t="shared" si="15"/>
        <v>40</v>
      </c>
      <c r="B59" s="67" t="s">
        <v>91</v>
      </c>
      <c r="D59" s="122">
        <f t="shared" si="13"/>
        <v>1472</v>
      </c>
      <c r="G59" s="133">
        <f t="shared" si="16"/>
        <v>1472414</v>
      </c>
      <c r="H59" s="133">
        <v>30234</v>
      </c>
      <c r="I59" s="133">
        <v>205334</v>
      </c>
      <c r="J59" s="133">
        <v>152890</v>
      </c>
      <c r="K59" s="133">
        <v>10113</v>
      </c>
      <c r="L59" s="133">
        <v>14935</v>
      </c>
      <c r="M59" s="133">
        <v>54616</v>
      </c>
      <c r="N59" s="133">
        <v>100795</v>
      </c>
      <c r="O59" s="133">
        <v>207925</v>
      </c>
      <c r="P59" s="133">
        <v>114001</v>
      </c>
      <c r="Q59" s="133">
        <v>238051</v>
      </c>
      <c r="R59" s="133">
        <v>179389</v>
      </c>
      <c r="S59" s="133">
        <v>164131</v>
      </c>
    </row>
    <row r="60" spans="1:19">
      <c r="A60" s="71">
        <f t="shared" si="15"/>
        <v>41</v>
      </c>
      <c r="B60" s="82" t="s">
        <v>90</v>
      </c>
      <c r="C60" s="69"/>
      <c r="D60" s="122">
        <f t="shared" si="13"/>
        <v>494</v>
      </c>
      <c r="G60" s="133">
        <f t="shared" si="16"/>
        <v>494464</v>
      </c>
      <c r="H60" s="133">
        <v>6111</v>
      </c>
      <c r="I60" s="133">
        <v>72905</v>
      </c>
      <c r="J60" s="133">
        <v>35599</v>
      </c>
      <c r="K60" s="133">
        <v>-47</v>
      </c>
      <c r="L60" s="133">
        <v>4027</v>
      </c>
      <c r="M60" s="133">
        <v>8818</v>
      </c>
      <c r="N60" s="133">
        <v>27249</v>
      </c>
      <c r="O60" s="133">
        <v>48356</v>
      </c>
      <c r="P60" s="133">
        <v>74541</v>
      </c>
      <c r="Q60" s="133">
        <v>79841</v>
      </c>
      <c r="R60" s="133">
        <v>103215</v>
      </c>
      <c r="S60" s="133">
        <v>33849</v>
      </c>
    </row>
    <row r="61" spans="1:19">
      <c r="A61" s="71">
        <f t="shared" si="15"/>
        <v>42</v>
      </c>
      <c r="B61" s="67" t="s">
        <v>89</v>
      </c>
      <c r="D61" s="78">
        <f>SUM(D50:D60)</f>
        <v>71501</v>
      </c>
      <c r="E61" s="72">
        <v>71501</v>
      </c>
      <c r="G61" s="174">
        <f>SUM(G50:G60)</f>
        <v>71500954</v>
      </c>
      <c r="H61" s="174">
        <f t="shared" ref="H61:S61" si="17">SUM(H50:H60)</f>
        <v>5520134</v>
      </c>
      <c r="I61" s="174">
        <f t="shared" si="17"/>
        <v>12385807</v>
      </c>
      <c r="J61" s="174">
        <f t="shared" si="17"/>
        <v>7672060</v>
      </c>
      <c r="K61" s="174">
        <f t="shared" si="17"/>
        <v>3367643</v>
      </c>
      <c r="L61" s="174">
        <f t="shared" si="17"/>
        <v>1862247</v>
      </c>
      <c r="M61" s="174">
        <f t="shared" si="17"/>
        <v>1822536</v>
      </c>
      <c r="N61" s="174">
        <f t="shared" si="17"/>
        <v>5470663</v>
      </c>
      <c r="O61" s="174">
        <f t="shared" si="17"/>
        <v>6353653</v>
      </c>
      <c r="P61" s="174">
        <f t="shared" si="17"/>
        <v>6121546</v>
      </c>
      <c r="Q61" s="174">
        <f t="shared" si="17"/>
        <v>6779040</v>
      </c>
      <c r="R61" s="174">
        <f t="shared" si="17"/>
        <v>7737574</v>
      </c>
      <c r="S61" s="174">
        <f t="shared" si="17"/>
        <v>6408051</v>
      </c>
    </row>
    <row r="62" spans="1:19">
      <c r="A62" s="71"/>
      <c r="G62" s="175" t="s">
        <v>208</v>
      </c>
    </row>
    <row r="63" spans="1:19">
      <c r="A63" s="71"/>
      <c r="D63" s="72"/>
    </row>
    <row r="64" spans="1:19">
      <c r="A64" s="71"/>
      <c r="D64" s="72"/>
    </row>
    <row r="65" spans="1:19">
      <c r="A65" s="71"/>
      <c r="D65" s="72"/>
    </row>
    <row r="66" spans="1:19">
      <c r="A66" s="71"/>
      <c r="B66" s="79" t="s">
        <v>88</v>
      </c>
      <c r="D66" s="72"/>
    </row>
    <row r="67" spans="1:19">
      <c r="A67" s="71"/>
      <c r="B67" s="67" t="s">
        <v>134</v>
      </c>
      <c r="C67" s="81"/>
      <c r="D67" s="122">
        <f t="shared" ref="D67:D76" si="18">ROUND(G67/1000,0)</f>
        <v>17253</v>
      </c>
      <c r="G67" s="133">
        <f t="shared" ref="G67:G74" si="19">SUM(H67:S67)</f>
        <v>17252818</v>
      </c>
      <c r="H67" s="133">
        <v>1471955</v>
      </c>
      <c r="I67" s="133">
        <v>1538740</v>
      </c>
      <c r="J67" s="133">
        <v>1681541</v>
      </c>
      <c r="K67" s="133">
        <v>1453127</v>
      </c>
      <c r="L67" s="133">
        <v>1443878</v>
      </c>
      <c r="M67" s="133">
        <v>1405484</v>
      </c>
      <c r="N67" s="133">
        <v>1336049</v>
      </c>
      <c r="O67" s="133">
        <v>1351057</v>
      </c>
      <c r="P67" s="133">
        <v>1368573</v>
      </c>
      <c r="Q67" s="133">
        <v>1378329</v>
      </c>
      <c r="R67" s="133">
        <v>1412329</v>
      </c>
      <c r="S67" s="133">
        <v>1411756</v>
      </c>
    </row>
    <row r="68" spans="1:19">
      <c r="A68" s="71">
        <f>A61+1</f>
        <v>43</v>
      </c>
      <c r="B68" s="67" t="s">
        <v>87</v>
      </c>
      <c r="C68" s="81"/>
      <c r="D68" s="122">
        <f t="shared" si="18"/>
        <v>0</v>
      </c>
      <c r="G68" s="133">
        <f t="shared" si="19"/>
        <v>0</v>
      </c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</row>
    <row r="69" spans="1:19">
      <c r="A69" s="71">
        <f>A68+1</f>
        <v>44</v>
      </c>
      <c r="B69" s="67" t="s">
        <v>86</v>
      </c>
      <c r="D69" s="122">
        <f t="shared" si="18"/>
        <v>0</v>
      </c>
      <c r="G69" s="133">
        <f t="shared" si="19"/>
        <v>0</v>
      </c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</row>
    <row r="70" spans="1:19">
      <c r="A70" s="71">
        <f t="shared" ref="A70:A77" si="20">A69+1</f>
        <v>45</v>
      </c>
      <c r="B70" s="67" t="s">
        <v>85</v>
      </c>
      <c r="D70" s="122">
        <f t="shared" si="18"/>
        <v>0</v>
      </c>
      <c r="G70" s="133">
        <f t="shared" si="19"/>
        <v>0</v>
      </c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</row>
    <row r="71" spans="1:19">
      <c r="A71" s="71">
        <f t="shared" si="20"/>
        <v>46</v>
      </c>
      <c r="B71" s="67" t="s">
        <v>84</v>
      </c>
      <c r="D71" s="122">
        <f t="shared" si="18"/>
        <v>0</v>
      </c>
      <c r="G71" s="133">
        <f t="shared" si="19"/>
        <v>0</v>
      </c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</row>
    <row r="72" spans="1:19">
      <c r="A72" s="71">
        <f t="shared" si="20"/>
        <v>47</v>
      </c>
      <c r="B72" s="67" t="s">
        <v>83</v>
      </c>
      <c r="D72" s="122">
        <f t="shared" si="18"/>
        <v>0</v>
      </c>
      <c r="G72" s="133">
        <f t="shared" si="19"/>
        <v>0</v>
      </c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</row>
    <row r="73" spans="1:19">
      <c r="A73" s="71">
        <f t="shared" si="20"/>
        <v>48</v>
      </c>
      <c r="B73" s="67" t="s">
        <v>82</v>
      </c>
      <c r="D73" s="122">
        <f t="shared" si="18"/>
        <v>0</v>
      </c>
      <c r="G73" s="133">
        <f t="shared" si="19"/>
        <v>0</v>
      </c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</row>
    <row r="74" spans="1:19">
      <c r="A74" s="71">
        <f t="shared" si="20"/>
        <v>49</v>
      </c>
      <c r="B74" s="67" t="s">
        <v>81</v>
      </c>
      <c r="D74" s="122">
        <f t="shared" si="18"/>
        <v>0</v>
      </c>
      <c r="G74" s="133">
        <f t="shared" si="19"/>
        <v>0</v>
      </c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</row>
    <row r="75" spans="1:19">
      <c r="A75" s="71">
        <f t="shared" si="20"/>
        <v>50</v>
      </c>
      <c r="B75" s="67" t="s">
        <v>80</v>
      </c>
      <c r="C75" s="81"/>
      <c r="D75" s="122">
        <f t="shared" si="18"/>
        <v>0</v>
      </c>
      <c r="G75" s="133">
        <f t="shared" ref="G75:G76" si="21">SUM(H75:S75)</f>
        <v>0</v>
      </c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</row>
    <row r="76" spans="1:19">
      <c r="A76" s="71">
        <f t="shared" si="20"/>
        <v>51</v>
      </c>
      <c r="B76" s="69" t="s">
        <v>79</v>
      </c>
      <c r="C76" s="69"/>
      <c r="D76" s="122">
        <f t="shared" si="18"/>
        <v>0</v>
      </c>
      <c r="G76" s="133">
        <f t="shared" si="21"/>
        <v>0</v>
      </c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</row>
    <row r="77" spans="1:19">
      <c r="A77" s="71">
        <f t="shared" si="20"/>
        <v>52</v>
      </c>
      <c r="B77" s="67" t="s">
        <v>78</v>
      </c>
      <c r="D77" s="78">
        <f>SUM(D67:D76)</f>
        <v>17253</v>
      </c>
      <c r="E77" s="72">
        <v>17253</v>
      </c>
      <c r="G77" s="174">
        <f>SUM(G67:G76)</f>
        <v>17252818</v>
      </c>
      <c r="H77" s="174">
        <f t="shared" ref="H77:S77" si="22">SUM(H67:H76)</f>
        <v>1471955</v>
      </c>
      <c r="I77" s="174">
        <f t="shared" si="22"/>
        <v>1538740</v>
      </c>
      <c r="J77" s="174">
        <f t="shared" si="22"/>
        <v>1681541</v>
      </c>
      <c r="K77" s="174">
        <f t="shared" si="22"/>
        <v>1453127</v>
      </c>
      <c r="L77" s="174">
        <f t="shared" si="22"/>
        <v>1443878</v>
      </c>
      <c r="M77" s="174">
        <f t="shared" si="22"/>
        <v>1405484</v>
      </c>
      <c r="N77" s="174">
        <f t="shared" si="22"/>
        <v>1336049</v>
      </c>
      <c r="O77" s="174">
        <f t="shared" si="22"/>
        <v>1351057</v>
      </c>
      <c r="P77" s="174">
        <f t="shared" si="22"/>
        <v>1368573</v>
      </c>
      <c r="Q77" s="174">
        <f t="shared" si="22"/>
        <v>1378329</v>
      </c>
      <c r="R77" s="174">
        <f t="shared" si="22"/>
        <v>1412329</v>
      </c>
      <c r="S77" s="174">
        <f t="shared" si="22"/>
        <v>1411756</v>
      </c>
    </row>
    <row r="78" spans="1:19" ht="12.95" customHeight="1">
      <c r="A78" s="71"/>
      <c r="G78" s="175" t="s">
        <v>208</v>
      </c>
    </row>
    <row r="79" spans="1:19" ht="12" customHeight="1">
      <c r="A79" s="71"/>
      <c r="B79" s="79" t="s">
        <v>77</v>
      </c>
      <c r="D79" s="72"/>
    </row>
    <row r="80" spans="1:19" ht="12" customHeight="1">
      <c r="A80" s="71">
        <f>A77+1</f>
        <v>53</v>
      </c>
      <c r="B80" s="67" t="s">
        <v>76</v>
      </c>
      <c r="D80" s="76"/>
      <c r="G80" s="133">
        <f t="shared" ref="G80" si="23">SUM(H80:S80)</f>
        <v>0</v>
      </c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</row>
    <row r="81" spans="1:19" ht="12" customHeight="1">
      <c r="A81" s="71"/>
      <c r="D81" s="72"/>
    </row>
    <row r="82" spans="1:19" ht="12" customHeight="1">
      <c r="A82" s="71">
        <f>A80+1</f>
        <v>54</v>
      </c>
      <c r="B82" s="140" t="s">
        <v>75</v>
      </c>
      <c r="C82" s="141"/>
      <c r="D82" s="231">
        <f>D27+D40+D47+D61+D77+D80</f>
        <v>301254</v>
      </c>
      <c r="E82" s="230" t="s">
        <v>242</v>
      </c>
    </row>
    <row r="83" spans="1:19" ht="12" customHeight="1">
      <c r="A83" s="71"/>
      <c r="B83" s="70"/>
      <c r="D83" s="72"/>
    </row>
    <row r="84" spans="1:19" ht="12" customHeight="1">
      <c r="A84" s="71"/>
      <c r="B84" s="79" t="s">
        <v>74</v>
      </c>
      <c r="D84" s="72"/>
    </row>
    <row r="85" spans="1:19" ht="12.95" customHeight="1">
      <c r="A85" s="71">
        <f>A82+1</f>
        <v>55</v>
      </c>
      <c r="B85" s="67" t="s">
        <v>73</v>
      </c>
      <c r="D85" s="122">
        <f>-ROUND(G85/1000,0)</f>
        <v>62644</v>
      </c>
      <c r="G85" s="133">
        <f t="shared" ref="G85:G94" si="24">SUM(H85:S85)</f>
        <v>-62643957</v>
      </c>
      <c r="H85" s="133">
        <v>-5667231</v>
      </c>
      <c r="I85" s="133">
        <v>-1839796</v>
      </c>
      <c r="J85" s="133">
        <v>-6130300</v>
      </c>
      <c r="K85" s="133">
        <v>-9008080</v>
      </c>
      <c r="L85" s="133">
        <v>-7461700</v>
      </c>
      <c r="M85" s="133">
        <v>-5925220</v>
      </c>
      <c r="N85" s="133">
        <v>-5181353</v>
      </c>
      <c r="O85" s="133">
        <v>-4169722</v>
      </c>
      <c r="P85" s="133">
        <v>-5591067</v>
      </c>
      <c r="Q85" s="133">
        <v>-3365547</v>
      </c>
      <c r="R85" s="133">
        <v>-3627169</v>
      </c>
      <c r="S85" s="133">
        <v>-4676772</v>
      </c>
    </row>
    <row r="86" spans="1:19" ht="12.95" customHeight="1">
      <c r="A86" s="71">
        <f t="shared" ref="A86:A95" si="25">A85+1</f>
        <v>56</v>
      </c>
      <c r="B86" s="67" t="s">
        <v>72</v>
      </c>
      <c r="D86" s="122">
        <f t="shared" ref="D86:D94" si="26">-ROUND(G86/1000,0)</f>
        <v>0</v>
      </c>
      <c r="G86" s="133">
        <f t="shared" si="24"/>
        <v>0</v>
      </c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</row>
    <row r="87" spans="1:19" ht="12.95" customHeight="1">
      <c r="A87" s="71">
        <f t="shared" si="25"/>
        <v>57</v>
      </c>
      <c r="B87" s="67" t="s">
        <v>71</v>
      </c>
      <c r="D87" s="122">
        <f t="shared" si="26"/>
        <v>0</v>
      </c>
      <c r="G87" s="133">
        <f t="shared" si="24"/>
        <v>0</v>
      </c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</row>
    <row r="88" spans="1:19">
      <c r="A88" s="71">
        <f t="shared" si="25"/>
        <v>58</v>
      </c>
      <c r="B88" s="80" t="s">
        <v>70</v>
      </c>
      <c r="D88" s="122">
        <f t="shared" si="26"/>
        <v>0</v>
      </c>
      <c r="G88" s="133">
        <f t="shared" si="24"/>
        <v>0</v>
      </c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</row>
    <row r="89" spans="1:19">
      <c r="A89" s="71">
        <f t="shared" si="25"/>
        <v>59</v>
      </c>
      <c r="B89" s="67" t="s">
        <v>69</v>
      </c>
      <c r="D89" s="122">
        <f t="shared" si="26"/>
        <v>1724</v>
      </c>
      <c r="G89" s="133">
        <f t="shared" si="24"/>
        <v>-1724003</v>
      </c>
      <c r="H89" s="133">
        <v>-120724</v>
      </c>
      <c r="I89" s="133">
        <v>-304137</v>
      </c>
      <c r="J89" s="133">
        <v>-375125</v>
      </c>
      <c r="K89" s="133">
        <v>-60162</v>
      </c>
      <c r="L89" s="133">
        <v>-45193</v>
      </c>
      <c r="M89" s="133">
        <v>-61644</v>
      </c>
      <c r="N89" s="133">
        <v>-104422</v>
      </c>
      <c r="O89" s="133">
        <v>-139139</v>
      </c>
      <c r="P89" s="133">
        <v>-135088</v>
      </c>
      <c r="Q89" s="133">
        <v>-124139</v>
      </c>
      <c r="R89" s="133">
        <v>-123122</v>
      </c>
      <c r="S89" s="133">
        <v>-131108</v>
      </c>
    </row>
    <row r="90" spans="1:19">
      <c r="A90" s="71">
        <f t="shared" si="25"/>
        <v>60</v>
      </c>
      <c r="B90" s="67" t="s">
        <v>68</v>
      </c>
      <c r="D90" s="122">
        <f t="shared" si="26"/>
        <v>149</v>
      </c>
      <c r="G90" s="133">
        <f t="shared" si="24"/>
        <v>-149070</v>
      </c>
      <c r="H90" s="133">
        <v>-12804</v>
      </c>
      <c r="I90" s="133">
        <v>-11620</v>
      </c>
      <c r="J90" s="133">
        <v>-12663</v>
      </c>
      <c r="K90" s="133">
        <v>-12424</v>
      </c>
      <c r="L90" s="133">
        <v>-12082</v>
      </c>
      <c r="M90" s="133">
        <v>-12073</v>
      </c>
      <c r="N90" s="133">
        <v>-12467</v>
      </c>
      <c r="O90" s="133">
        <v>-12668</v>
      </c>
      <c r="P90" s="133">
        <v>-12296</v>
      </c>
      <c r="Q90" s="133">
        <v>-12663</v>
      </c>
      <c r="R90" s="133">
        <v>-12588</v>
      </c>
      <c r="S90" s="133">
        <v>-12722</v>
      </c>
    </row>
    <row r="91" spans="1:19">
      <c r="A91" s="71">
        <f t="shared" si="25"/>
        <v>61</v>
      </c>
      <c r="B91" s="67" t="s">
        <v>67</v>
      </c>
      <c r="D91" s="122">
        <f t="shared" si="26"/>
        <v>665</v>
      </c>
      <c r="G91" s="133">
        <f t="shared" si="24"/>
        <v>-665451</v>
      </c>
      <c r="H91" s="133">
        <v>-63475</v>
      </c>
      <c r="I91" s="133">
        <v>-58476</v>
      </c>
      <c r="J91" s="133">
        <v>-58414</v>
      </c>
      <c r="K91" s="133">
        <v>-50505</v>
      </c>
      <c r="L91" s="133">
        <v>-54144</v>
      </c>
      <c r="M91" s="133">
        <v>-54456</v>
      </c>
      <c r="N91" s="133">
        <v>-52981</v>
      </c>
      <c r="O91" s="133">
        <v>-49092</v>
      </c>
      <c r="P91" s="133">
        <v>-50837</v>
      </c>
      <c r="Q91" s="133">
        <v>-60377</v>
      </c>
      <c r="R91" s="133">
        <v>-54865</v>
      </c>
      <c r="S91" s="133">
        <v>-57829</v>
      </c>
    </row>
    <row r="92" spans="1:19">
      <c r="A92" s="71">
        <f t="shared" si="25"/>
        <v>62</v>
      </c>
      <c r="B92" s="67" t="s">
        <v>66</v>
      </c>
      <c r="D92" s="122">
        <f t="shared" si="26"/>
        <v>0</v>
      </c>
      <c r="G92" s="133">
        <f t="shared" si="24"/>
        <v>0</v>
      </c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</row>
    <row r="93" spans="1:19">
      <c r="A93" s="71">
        <f t="shared" si="25"/>
        <v>63</v>
      </c>
      <c r="B93" s="67" t="s">
        <v>65</v>
      </c>
      <c r="D93" s="122">
        <f t="shared" si="26"/>
        <v>0</v>
      </c>
      <c r="G93" s="133">
        <f t="shared" si="24"/>
        <v>0</v>
      </c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</row>
    <row r="94" spans="1:19" ht="13.15">
      <c r="A94" s="71">
        <f t="shared" si="25"/>
        <v>64</v>
      </c>
      <c r="B94" s="69" t="s">
        <v>64</v>
      </c>
      <c r="C94" s="69"/>
      <c r="D94" s="122">
        <f t="shared" si="26"/>
        <v>15040</v>
      </c>
      <c r="E94" s="230" t="s">
        <v>242</v>
      </c>
      <c r="G94" s="133">
        <f t="shared" si="24"/>
        <v>-15040488</v>
      </c>
      <c r="H94" s="133">
        <v>-1090562</v>
      </c>
      <c r="I94" s="133">
        <v>-1486418</v>
      </c>
      <c r="J94" s="133">
        <v>-1399685</v>
      </c>
      <c r="K94" s="133">
        <v>-1642181</v>
      </c>
      <c r="L94" s="133">
        <v>-1644969</v>
      </c>
      <c r="M94" s="133">
        <v>-1587682</v>
      </c>
      <c r="N94" s="133">
        <v>-1264148</v>
      </c>
      <c r="O94" s="133">
        <v>-1014122</v>
      </c>
      <c r="P94" s="133">
        <v>-1119797</v>
      </c>
      <c r="Q94" s="133">
        <v>-921083</v>
      </c>
      <c r="R94" s="133">
        <v>-899978</v>
      </c>
      <c r="S94" s="133">
        <v>-969863</v>
      </c>
    </row>
    <row r="95" spans="1:19" ht="13.15">
      <c r="A95" s="71">
        <f t="shared" si="25"/>
        <v>65</v>
      </c>
      <c r="B95" s="67" t="s">
        <v>63</v>
      </c>
      <c r="D95" s="232">
        <f>SUM(D85:D94)</f>
        <v>80222</v>
      </c>
      <c r="E95" s="72">
        <v>81398</v>
      </c>
      <c r="G95" s="174">
        <f>SUM(G85:G94)</f>
        <v>-80222969</v>
      </c>
      <c r="H95" s="174">
        <f t="shared" ref="H95:S95" si="27">SUM(H85:H94)</f>
        <v>-6954796</v>
      </c>
      <c r="I95" s="174">
        <f t="shared" si="27"/>
        <v>-3700447</v>
      </c>
      <c r="J95" s="174">
        <f t="shared" si="27"/>
        <v>-7976187</v>
      </c>
      <c r="K95" s="174">
        <f t="shared" si="27"/>
        <v>-10773352</v>
      </c>
      <c r="L95" s="174">
        <f t="shared" si="27"/>
        <v>-9218088</v>
      </c>
      <c r="M95" s="174">
        <f t="shared" si="27"/>
        <v>-7641075</v>
      </c>
      <c r="N95" s="174">
        <f t="shared" si="27"/>
        <v>-6615371</v>
      </c>
      <c r="O95" s="174">
        <f t="shared" si="27"/>
        <v>-5384743</v>
      </c>
      <c r="P95" s="174">
        <f t="shared" si="27"/>
        <v>-6909085</v>
      </c>
      <c r="Q95" s="174">
        <f t="shared" si="27"/>
        <v>-4483809</v>
      </c>
      <c r="R95" s="174">
        <f t="shared" si="27"/>
        <v>-4717722</v>
      </c>
      <c r="S95" s="174">
        <f t="shared" si="27"/>
        <v>-5848294</v>
      </c>
    </row>
    <row r="96" spans="1:19">
      <c r="A96" s="71"/>
      <c r="E96" s="128">
        <f>E95-D95</f>
        <v>1176</v>
      </c>
      <c r="F96" s="67" t="s">
        <v>195</v>
      </c>
      <c r="G96" s="175" t="s">
        <v>208</v>
      </c>
    </row>
    <row r="97" spans="1:19">
      <c r="A97" s="71"/>
      <c r="B97" s="79" t="s">
        <v>62</v>
      </c>
      <c r="D97" s="72"/>
    </row>
    <row r="98" spans="1:19">
      <c r="A98" s="71">
        <f>A95+1</f>
        <v>66</v>
      </c>
      <c r="B98" s="142" t="s">
        <v>218</v>
      </c>
      <c r="D98" s="170">
        <f>-G98/1000</f>
        <v>1749.328</v>
      </c>
      <c r="G98" s="133">
        <f t="shared" ref="G98" si="28">SUM(H98:S98)</f>
        <v>-1749328</v>
      </c>
      <c r="H98" s="133">
        <v>-144120</v>
      </c>
      <c r="I98" s="133">
        <v>-107154</v>
      </c>
      <c r="J98" s="133">
        <v>-116699</v>
      </c>
      <c r="K98" s="133">
        <v>-214328</v>
      </c>
      <c r="L98" s="133">
        <v>-171596</v>
      </c>
      <c r="M98" s="133">
        <v>-166715</v>
      </c>
      <c r="N98" s="133">
        <v>-275203</v>
      </c>
      <c r="O98" s="133">
        <v>-141598</v>
      </c>
      <c r="P98" s="133">
        <v>26430</v>
      </c>
      <c r="Q98" s="133">
        <v>-125821</v>
      </c>
      <c r="R98" s="133">
        <v>-116402</v>
      </c>
      <c r="S98" s="133">
        <v>-196122</v>
      </c>
    </row>
    <row r="99" spans="1:19">
      <c r="A99" s="71">
        <f>A98+1</f>
        <v>67</v>
      </c>
      <c r="B99" s="67" t="s">
        <v>241</v>
      </c>
      <c r="C99" s="131"/>
      <c r="D99" s="76">
        <f>-G99/1000</f>
        <v>-47.556510000000003</v>
      </c>
      <c r="G99" s="133">
        <f>SUM(H99:S99)</f>
        <v>47556.51</v>
      </c>
      <c r="H99" s="133">
        <v>1675.51</v>
      </c>
      <c r="I99" s="133">
        <v>4290.3500000000004</v>
      </c>
      <c r="J99" s="133">
        <v>1435.4599999999998</v>
      </c>
      <c r="K99" s="133">
        <v>4930.13</v>
      </c>
      <c r="L99" s="133">
        <v>3219.46</v>
      </c>
      <c r="M99" s="133">
        <v>3476.03</v>
      </c>
      <c r="N99" s="133">
        <v>3400.35</v>
      </c>
      <c r="O99" s="133">
        <v>6636.29</v>
      </c>
      <c r="P99" s="133">
        <v>6703.5300000000007</v>
      </c>
      <c r="Q99" s="133">
        <v>4578.6000000000004</v>
      </c>
      <c r="R99" s="133">
        <v>4377.05</v>
      </c>
      <c r="S99" s="133">
        <v>2833.75</v>
      </c>
    </row>
    <row r="100" spans="1:19" hidden="1" outlineLevel="1">
      <c r="A100" s="71"/>
      <c r="D100" s="123"/>
      <c r="G100" s="133">
        <f t="shared" ref="G100:G104" si="29">SUM(H100:S100)</f>
        <v>-5327943</v>
      </c>
      <c r="H100" s="133">
        <v>-168836</v>
      </c>
      <c r="I100" s="133">
        <v>-1280368</v>
      </c>
      <c r="J100" s="133">
        <v>-712744</v>
      </c>
      <c r="K100" s="133">
        <v>-1424435</v>
      </c>
      <c r="L100" s="133">
        <v>-1952688</v>
      </c>
      <c r="M100" s="133">
        <v>-1566138</v>
      </c>
      <c r="N100" s="133">
        <v>-1059625</v>
      </c>
      <c r="O100" s="133">
        <v>-315640</v>
      </c>
      <c r="P100" s="133">
        <v>-834788</v>
      </c>
      <c r="Q100" s="133">
        <v>-1154925</v>
      </c>
      <c r="R100" s="133">
        <v>973890</v>
      </c>
      <c r="S100" s="133">
        <v>4168354</v>
      </c>
    </row>
    <row r="101" spans="1:19" hidden="1" outlineLevel="1">
      <c r="A101" s="71"/>
      <c r="D101" s="123"/>
      <c r="G101" s="133">
        <f t="shared" si="29"/>
        <v>-33445351</v>
      </c>
      <c r="H101" s="133">
        <v>-364889</v>
      </c>
      <c r="I101" s="133">
        <v>-2477540</v>
      </c>
      <c r="J101" s="133">
        <v>-2469784</v>
      </c>
      <c r="K101" s="133">
        <v>-3601157</v>
      </c>
      <c r="L101" s="133">
        <v>-5475344</v>
      </c>
      <c r="M101" s="133">
        <v>-5390232</v>
      </c>
      <c r="N101" s="133">
        <v>-1141788</v>
      </c>
      <c r="O101" s="133">
        <v>-1251787</v>
      </c>
      <c r="P101" s="133">
        <v>-1233448</v>
      </c>
      <c r="Q101" s="133">
        <v>-6461511</v>
      </c>
      <c r="R101" s="133">
        <v>-979330</v>
      </c>
      <c r="S101" s="133">
        <v>-2598541</v>
      </c>
    </row>
    <row r="102" spans="1:19" hidden="1" outlineLevel="1">
      <c r="A102" s="71"/>
      <c r="D102" s="123"/>
      <c r="G102" s="133">
        <f t="shared" si="29"/>
        <v>-755453</v>
      </c>
      <c r="H102" s="133">
        <v>0</v>
      </c>
      <c r="I102" s="133">
        <v>0</v>
      </c>
      <c r="J102" s="133">
        <v>-182104</v>
      </c>
      <c r="K102" s="133">
        <v>-49440</v>
      </c>
      <c r="L102" s="133">
        <v>-58523</v>
      </c>
      <c r="M102" s="133">
        <v>-68065</v>
      </c>
      <c r="N102" s="133">
        <v>-67171</v>
      </c>
      <c r="O102" s="133">
        <v>-62167</v>
      </c>
      <c r="P102" s="133">
        <v>-78295</v>
      </c>
      <c r="Q102" s="133">
        <v>-74042</v>
      </c>
      <c r="R102" s="133">
        <v>-71613</v>
      </c>
      <c r="S102" s="133">
        <v>-44033</v>
      </c>
    </row>
    <row r="103" spans="1:19" hidden="1" outlineLevel="1">
      <c r="A103" s="71"/>
      <c r="D103" s="123"/>
      <c r="G103" s="133">
        <f t="shared" si="29"/>
        <v>-30550888</v>
      </c>
      <c r="H103" s="133">
        <v>-4514484</v>
      </c>
      <c r="I103" s="133">
        <v>-1324718</v>
      </c>
      <c r="J103" s="133">
        <v>-1017222</v>
      </c>
      <c r="K103" s="133">
        <v>-816042</v>
      </c>
      <c r="L103" s="133">
        <v>-523918</v>
      </c>
      <c r="M103" s="133">
        <v>-664057</v>
      </c>
      <c r="N103" s="133">
        <v>-3408554</v>
      </c>
      <c r="O103" s="133">
        <v>-4540587</v>
      </c>
      <c r="P103" s="133">
        <v>-3692298</v>
      </c>
      <c r="Q103" s="133">
        <v>-1562158</v>
      </c>
      <c r="R103" s="133">
        <v>-2959363</v>
      </c>
      <c r="S103" s="133">
        <v>-5527487</v>
      </c>
    </row>
    <row r="104" spans="1:19" hidden="1" outlineLevel="1">
      <c r="A104" s="71"/>
      <c r="D104" s="123"/>
      <c r="G104" s="133">
        <f t="shared" si="29"/>
        <v>5765182</v>
      </c>
      <c r="H104" s="133">
        <v>187589</v>
      </c>
      <c r="I104" s="133">
        <v>238295</v>
      </c>
      <c r="J104" s="133">
        <v>27125</v>
      </c>
      <c r="K104" s="133">
        <v>371923</v>
      </c>
      <c r="L104" s="133">
        <v>107454</v>
      </c>
      <c r="M104" s="133">
        <v>225014</v>
      </c>
      <c r="N104" s="133">
        <v>356500</v>
      </c>
      <c r="O104" s="133">
        <v>1156300</v>
      </c>
      <c r="P104" s="133">
        <v>709500</v>
      </c>
      <c r="Q104" s="133">
        <v>1432550</v>
      </c>
      <c r="R104" s="133">
        <v>16750</v>
      </c>
      <c r="S104" s="133">
        <v>936182</v>
      </c>
    </row>
    <row r="105" spans="1:19" hidden="1" outlineLevel="1">
      <c r="A105" s="71"/>
      <c r="D105" s="123"/>
      <c r="G105" s="133">
        <f t="shared" ref="G105" si="30">SUM(H105:S105)</f>
        <v>-5765182</v>
      </c>
      <c r="H105" s="133">
        <v>-187589</v>
      </c>
      <c r="I105" s="133">
        <v>-238295</v>
      </c>
      <c r="J105" s="133">
        <v>-27125</v>
      </c>
      <c r="K105" s="133">
        <v>-371923</v>
      </c>
      <c r="L105" s="133">
        <v>-107454</v>
      </c>
      <c r="M105" s="133">
        <v>-225014</v>
      </c>
      <c r="N105" s="133">
        <v>-356500</v>
      </c>
      <c r="O105" s="133">
        <v>-1156300</v>
      </c>
      <c r="P105" s="133">
        <v>-709500</v>
      </c>
      <c r="Q105" s="133">
        <v>-1432550</v>
      </c>
      <c r="R105" s="133">
        <v>-16750</v>
      </c>
      <c r="S105" s="133">
        <v>-936182</v>
      </c>
    </row>
    <row r="106" spans="1:19" collapsed="1">
      <c r="A106" s="71">
        <f>A99+1</f>
        <v>68</v>
      </c>
      <c r="B106" s="69" t="s">
        <v>61</v>
      </c>
      <c r="C106" s="69"/>
      <c r="D106" s="122">
        <f>-ROUND(G106/1000,0)</f>
        <v>53713</v>
      </c>
      <c r="G106" s="133">
        <f>SUM(H106:S106)</f>
        <v>-53713300</v>
      </c>
      <c r="H106" s="133">
        <v>-1791972</v>
      </c>
      <c r="I106" s="133">
        <v>-11545416</v>
      </c>
      <c r="J106" s="133">
        <v>-2926458</v>
      </c>
      <c r="K106" s="133">
        <v>-2328212</v>
      </c>
      <c r="L106" s="133">
        <v>-5138988</v>
      </c>
      <c r="M106" s="133">
        <v>-3733771</v>
      </c>
      <c r="N106" s="133">
        <v>-3898232</v>
      </c>
      <c r="O106" s="133">
        <v>-4328551</v>
      </c>
      <c r="P106" s="133">
        <v>-3965160</v>
      </c>
      <c r="Q106" s="133">
        <v>-3375425</v>
      </c>
      <c r="R106" s="133">
        <v>-6403167</v>
      </c>
      <c r="S106" s="133">
        <v>-4277948</v>
      </c>
    </row>
    <row r="107" spans="1:19" ht="13.15">
      <c r="A107" s="71">
        <f>A106+1</f>
        <v>69</v>
      </c>
      <c r="B107" s="67" t="s">
        <v>60</v>
      </c>
      <c r="D107" s="234">
        <f>SUM(D98:D106)</f>
        <v>55414.771489999999</v>
      </c>
      <c r="E107" s="129">
        <v>85521</v>
      </c>
      <c r="F107" s="103">
        <f>E107-D107</f>
        <v>30106.228510000001</v>
      </c>
      <c r="G107" s="174">
        <f t="shared" ref="G107:S107" si="31">SUM(G98:G99,G106)</f>
        <v>-55415071.490000002</v>
      </c>
      <c r="H107" s="174">
        <f t="shared" si="31"/>
        <v>-1934416.49</v>
      </c>
      <c r="I107" s="174">
        <f t="shared" si="31"/>
        <v>-11648279.65</v>
      </c>
      <c r="J107" s="174">
        <f t="shared" si="31"/>
        <v>-3041721.54</v>
      </c>
      <c r="K107" s="174">
        <f t="shared" si="31"/>
        <v>-2537609.87</v>
      </c>
      <c r="L107" s="174">
        <f t="shared" si="31"/>
        <v>-5307364.54</v>
      </c>
      <c r="M107" s="174">
        <f t="shared" si="31"/>
        <v>-3897009.97</v>
      </c>
      <c r="N107" s="174">
        <f t="shared" si="31"/>
        <v>-4170034.65</v>
      </c>
      <c r="O107" s="174">
        <f t="shared" si="31"/>
        <v>-4463512.71</v>
      </c>
      <c r="P107" s="174">
        <f t="shared" si="31"/>
        <v>-3932026.47</v>
      </c>
      <c r="Q107" s="174">
        <f t="shared" si="31"/>
        <v>-3496667.4</v>
      </c>
      <c r="R107" s="174">
        <f t="shared" si="31"/>
        <v>-6515191.9500000002</v>
      </c>
      <c r="S107" s="174">
        <f t="shared" si="31"/>
        <v>-4471236.25</v>
      </c>
    </row>
    <row r="108" spans="1:19" s="131" customFormat="1" ht="13.15" customHeight="1">
      <c r="A108" s="135" t="s">
        <v>59</v>
      </c>
      <c r="D108" s="76"/>
      <c r="E108" s="233">
        <f>19308005/1000</f>
        <v>19308.005000000001</v>
      </c>
      <c r="F108" s="131" t="s">
        <v>147</v>
      </c>
      <c r="G108" s="133">
        <f t="shared" ref="G108:G110" si="32">SUM(H108:S108)</f>
        <v>-19360034</v>
      </c>
      <c r="H108" s="133">
        <v>-1387701</v>
      </c>
      <c r="I108" s="133">
        <v>-1693902</v>
      </c>
      <c r="J108" s="133">
        <v>-2209602</v>
      </c>
      <c r="K108" s="133">
        <v>-1531403</v>
      </c>
      <c r="L108" s="133">
        <v>-1383252</v>
      </c>
      <c r="M108" s="133">
        <v>-1745648</v>
      </c>
      <c r="N108" s="133">
        <v>-1528953</v>
      </c>
      <c r="O108" s="133">
        <v>-1486892</v>
      </c>
      <c r="P108" s="133">
        <v>-1347981</v>
      </c>
      <c r="Q108" s="176">
        <v>-1430613</v>
      </c>
      <c r="R108" s="176">
        <v>-1678250</v>
      </c>
      <c r="S108" s="176">
        <v>-1935837</v>
      </c>
    </row>
    <row r="109" spans="1:19">
      <c r="A109" s="71"/>
      <c r="B109" s="77" t="s">
        <v>58</v>
      </c>
      <c r="D109" s="72"/>
      <c r="E109" s="129">
        <f>8699268.31/1000</f>
        <v>8699.2683100000013</v>
      </c>
      <c r="F109" s="67" t="s">
        <v>146</v>
      </c>
      <c r="G109" s="175" t="s">
        <v>208</v>
      </c>
    </row>
    <row r="110" spans="1:19">
      <c r="A110" s="71">
        <f>A107+1</f>
        <v>70</v>
      </c>
      <c r="B110" s="67" t="s">
        <v>57</v>
      </c>
      <c r="D110" s="76">
        <v>0</v>
      </c>
      <c r="E110" s="129">
        <f>2051478.41/1000-D99</f>
        <v>2099.0349199999996</v>
      </c>
      <c r="F110" s="67" t="s">
        <v>145</v>
      </c>
      <c r="G110" s="133">
        <f t="shared" si="32"/>
        <v>0</v>
      </c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</row>
    <row r="111" spans="1:19" ht="12.6" customHeight="1">
      <c r="A111" s="71"/>
      <c r="D111" s="76"/>
      <c r="E111" s="104">
        <f>SUM(E108:E110)</f>
        <v>30106.308230000002</v>
      </c>
    </row>
    <row r="112" spans="1:19" ht="6" customHeight="1">
      <c r="A112" s="71"/>
      <c r="D112" s="72"/>
    </row>
    <row r="113" spans="1:5" ht="13.15">
      <c r="A113" s="71">
        <f>A110+1</f>
        <v>71</v>
      </c>
      <c r="B113" s="75" t="s">
        <v>56</v>
      </c>
      <c r="C113" s="74"/>
      <c r="D113" s="73">
        <f>D95+D107+D110</f>
        <v>135636.77149000001</v>
      </c>
      <c r="E113" s="230" t="s">
        <v>242</v>
      </c>
    </row>
    <row r="114" spans="1:5" ht="7.5" customHeight="1">
      <c r="A114" s="71"/>
      <c r="D114" s="72"/>
    </row>
    <row r="115" spans="1:5" ht="13.15">
      <c r="A115" s="71">
        <f>A113+1</f>
        <v>72</v>
      </c>
      <c r="B115" s="75" t="s">
        <v>55</v>
      </c>
      <c r="C115" s="74"/>
      <c r="D115" s="73">
        <f>D82-D113</f>
        <v>165617.22850999999</v>
      </c>
    </row>
    <row r="116" spans="1:5" ht="6" customHeight="1">
      <c r="A116" s="71"/>
      <c r="D116" s="72"/>
    </row>
    <row r="117" spans="1:5" ht="12.75" customHeight="1">
      <c r="A117" s="71"/>
      <c r="B117" s="70"/>
      <c r="D117" s="72"/>
      <c r="E117" s="232">
        <f>E108+D107+D95-D82</f>
        <v>-146309.22350999998</v>
      </c>
    </row>
    <row r="118" spans="1:5" ht="13.15">
      <c r="A118" s="248"/>
      <c r="B118" s="248"/>
      <c r="C118" s="248"/>
      <c r="D118" s="248"/>
      <c r="E118" s="232"/>
    </row>
    <row r="119" spans="1:5">
      <c r="B119" s="134"/>
      <c r="C119" s="134"/>
      <c r="D119" s="134"/>
    </row>
    <row r="120" spans="1:5">
      <c r="B120" s="134"/>
      <c r="C120" s="134"/>
      <c r="D120" s="134"/>
    </row>
    <row r="121" spans="1:5">
      <c r="B121" s="134"/>
      <c r="C121" s="134"/>
      <c r="D121" s="134"/>
    </row>
    <row r="122" spans="1:5">
      <c r="B122" s="134"/>
      <c r="C122" s="134"/>
      <c r="D122" s="160"/>
    </row>
    <row r="123" spans="1:5">
      <c r="B123" s="134"/>
      <c r="C123" s="134"/>
      <c r="D123" s="161"/>
    </row>
    <row r="125" spans="1:5">
      <c r="D125" s="157"/>
    </row>
    <row r="126" spans="1:5">
      <c r="D126" s="157"/>
    </row>
    <row r="127" spans="1:5">
      <c r="D127" s="157"/>
    </row>
  </sheetData>
  <mergeCells count="2">
    <mergeCell ref="A118:D118"/>
    <mergeCell ref="F48:F49"/>
  </mergeCells>
  <pageMargins left="0.75" right="0.75" top="1" bottom="1" header="0.5" footer="0.5"/>
  <pageSetup scale="80" orientation="portrait" r:id="rId1"/>
  <headerFooter scaleWithDoc="0">
    <oddFooter>&amp;C&amp;F / &amp;A&amp;RPage &amp;P</oddFooter>
  </headerFooter>
  <rowBreaks count="1" manualBreakCount="1">
    <brk id="64" max="5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7"/>
  <sheetViews>
    <sheetView view="pageBreakPreview" zoomScale="85" zoomScaleNormal="100" zoomScaleSheetLayoutView="85" workbookViewId="0">
      <selection activeCell="D16" sqref="D16"/>
    </sheetView>
  </sheetViews>
  <sheetFormatPr defaultRowHeight="14.25"/>
  <cols>
    <col min="1" max="1" width="34.73046875" customWidth="1"/>
    <col min="2" max="2" width="9.1328125" hidden="1" customWidth="1"/>
    <col min="3" max="3" width="9.59765625" customWidth="1"/>
    <col min="4" max="4" width="10.3984375" customWidth="1"/>
    <col min="5" max="5" width="2" customWidth="1"/>
    <col min="6" max="6" width="10.86328125" bestFit="1" customWidth="1"/>
    <col min="7" max="7" width="3.73046875" customWidth="1"/>
    <col min="8" max="8" width="3.59765625" customWidth="1"/>
    <col min="9" max="9" width="1.265625" customWidth="1"/>
    <col min="10" max="10" width="22.1328125" hidden="1" customWidth="1"/>
    <col min="11" max="11" width="11.3984375" customWidth="1"/>
    <col min="12" max="12" width="7.265625" customWidth="1"/>
    <col min="13" max="13" width="11.59765625" customWidth="1"/>
    <col min="14" max="14" width="2.3984375" customWidth="1"/>
    <col min="15" max="15" width="12.1328125" customWidth="1"/>
    <col min="16" max="16" width="1.265625" customWidth="1"/>
    <col min="17" max="17" width="11.3984375" customWidth="1"/>
    <col min="18" max="18" width="1.86328125" customWidth="1"/>
    <col min="19" max="19" width="12.265625" customWidth="1"/>
    <col min="20" max="20" width="1.59765625" customWidth="1"/>
    <col min="21" max="21" width="30" customWidth="1"/>
    <col min="22" max="22" width="2.1328125" customWidth="1"/>
    <col min="23" max="23" width="4.86328125" customWidth="1"/>
    <col min="24" max="24" width="11.265625" customWidth="1"/>
    <col min="25" max="25" width="3.86328125" customWidth="1"/>
    <col min="26" max="26" width="13.73046875" customWidth="1"/>
    <col min="27" max="27" width="1.73046875" customWidth="1"/>
    <col min="28" max="28" width="19.3984375" customWidth="1"/>
    <col min="29" max="29" width="1.86328125" customWidth="1"/>
    <col min="30" max="30" width="20.73046875" customWidth="1"/>
    <col min="31" max="31" width="0.265625" customWidth="1"/>
    <col min="32" max="32" width="8.86328125" hidden="1" customWidth="1"/>
    <col min="33" max="33" width="1.3984375" hidden="1" customWidth="1"/>
    <col min="34" max="34" width="5.73046875" hidden="1" customWidth="1"/>
    <col min="35" max="35" width="14.265625" hidden="1" customWidth="1"/>
    <col min="36" max="36" width="4.73046875" hidden="1" customWidth="1"/>
    <col min="37" max="37" width="10.86328125" hidden="1" customWidth="1"/>
    <col min="38" max="38" width="1.73046875" hidden="1" customWidth="1"/>
    <col min="39" max="39" width="13.59765625" hidden="1" customWidth="1"/>
    <col min="40" max="40" width="1" hidden="1" customWidth="1"/>
    <col min="41" max="41" width="0.1328125" hidden="1" customWidth="1"/>
    <col min="42" max="42" width="1.265625" customWidth="1"/>
    <col min="43" max="43" width="12.265625" customWidth="1"/>
  </cols>
  <sheetData>
    <row r="1" spans="1:44" ht="16.899999999999999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49"/>
      <c r="K1" s="246" t="s">
        <v>0</v>
      </c>
      <c r="L1" s="246"/>
      <c r="M1" s="246"/>
      <c r="N1" s="246"/>
      <c r="O1" s="246"/>
      <c r="P1" s="2"/>
      <c r="Q1" s="1"/>
      <c r="R1" s="3"/>
      <c r="S1" s="1"/>
      <c r="T1" s="2"/>
      <c r="U1" s="239" t="s">
        <v>0</v>
      </c>
      <c r="V1" s="239"/>
      <c r="W1" s="239"/>
      <c r="X1" s="239"/>
      <c r="Y1" s="239"/>
      <c r="Z1" s="239"/>
      <c r="AA1" s="2"/>
      <c r="AB1" s="1"/>
      <c r="AC1" s="3"/>
      <c r="AD1" s="1"/>
      <c r="AE1" s="2"/>
      <c r="AF1" s="1"/>
      <c r="AG1" s="239" t="s">
        <v>0</v>
      </c>
      <c r="AH1" s="239"/>
      <c r="AI1" s="239"/>
      <c r="AJ1" s="239"/>
      <c r="AK1" s="239"/>
      <c r="AL1" s="2"/>
      <c r="AM1" s="1"/>
      <c r="AN1" s="3"/>
      <c r="AO1" s="1"/>
      <c r="AP1" s="2"/>
    </row>
    <row r="2" spans="1:44" ht="14.45" customHeight="1">
      <c r="A2" s="1" t="s">
        <v>46</v>
      </c>
      <c r="B2" s="1"/>
      <c r="C2" s="1"/>
      <c r="D2" s="1"/>
      <c r="E2" s="1"/>
      <c r="F2" s="1"/>
      <c r="G2" s="1"/>
      <c r="H2" s="1"/>
      <c r="I2" s="2"/>
      <c r="J2" s="8"/>
      <c r="K2" s="239" t="s">
        <v>135</v>
      </c>
      <c r="L2" s="239"/>
      <c r="M2" s="239"/>
      <c r="N2" s="239"/>
      <c r="O2" s="239"/>
      <c r="P2" s="2"/>
      <c r="Q2" s="4"/>
      <c r="R2" s="3"/>
      <c r="S2" s="94"/>
      <c r="T2" s="2"/>
      <c r="U2" s="239" t="s">
        <v>194</v>
      </c>
      <c r="V2" s="239"/>
      <c r="W2" s="239"/>
      <c r="X2" s="239"/>
      <c r="Y2" s="239"/>
      <c r="Z2" s="239"/>
      <c r="AA2" s="2"/>
      <c r="AB2" s="4"/>
      <c r="AC2" s="3"/>
      <c r="AD2" s="93"/>
      <c r="AE2" s="2"/>
      <c r="AF2" s="8"/>
      <c r="AG2" s="246" t="s">
        <v>52</v>
      </c>
      <c r="AH2" s="246"/>
      <c r="AI2" s="246"/>
      <c r="AJ2" s="246"/>
      <c r="AK2" s="246"/>
      <c r="AL2" s="2"/>
      <c r="AM2" s="4"/>
      <c r="AN2" s="3"/>
      <c r="AO2" s="93"/>
      <c r="AP2" s="2"/>
    </row>
    <row r="3" spans="1:44" ht="29.45" customHeight="1">
      <c r="A3" s="1"/>
      <c r="B3" s="1"/>
      <c r="C3" s="1"/>
      <c r="D3" s="1"/>
      <c r="E3" s="1"/>
      <c r="F3" s="1"/>
      <c r="G3" s="1"/>
      <c r="H3" s="1"/>
      <c r="I3" s="2"/>
      <c r="J3" s="54"/>
      <c r="K3" s="240" t="s">
        <v>228</v>
      </c>
      <c r="L3" s="240"/>
      <c r="M3" s="240"/>
      <c r="N3" s="240"/>
      <c r="O3" s="240"/>
      <c r="P3" s="2"/>
      <c r="Q3" s="4"/>
      <c r="R3" s="3"/>
      <c r="S3" s="94" t="s">
        <v>54</v>
      </c>
      <c r="T3" s="2"/>
      <c r="U3" s="240" t="s">
        <v>229</v>
      </c>
      <c r="V3" s="240"/>
      <c r="W3" s="240"/>
      <c r="X3" s="240"/>
      <c r="Y3" s="240"/>
      <c r="Z3" s="240"/>
      <c r="AA3" s="2"/>
      <c r="AB3" s="4"/>
      <c r="AC3" s="3"/>
      <c r="AD3" s="151" t="s">
        <v>203</v>
      </c>
      <c r="AE3" s="2"/>
      <c r="AF3" s="54"/>
      <c r="AG3" s="246"/>
      <c r="AH3" s="246"/>
      <c r="AI3" s="246"/>
      <c r="AJ3" s="246"/>
      <c r="AK3" s="246"/>
      <c r="AL3" s="2"/>
      <c r="AM3" s="4"/>
      <c r="AN3" s="3"/>
      <c r="AO3" s="94" t="s">
        <v>54</v>
      </c>
      <c r="AP3" s="2"/>
    </row>
    <row r="4" spans="1:44" ht="14.45" customHeight="1">
      <c r="A4" s="1"/>
      <c r="B4" s="1"/>
      <c r="C4" s="1"/>
      <c r="D4" s="1"/>
      <c r="E4" s="1"/>
      <c r="F4" s="1"/>
      <c r="G4" s="1"/>
      <c r="H4" s="1"/>
      <c r="I4" s="2"/>
      <c r="J4" s="54"/>
      <c r="K4" s="240"/>
      <c r="L4" s="240"/>
      <c r="M4" s="240"/>
      <c r="N4" s="240"/>
      <c r="O4" s="240"/>
      <c r="P4" s="2"/>
      <c r="Q4" s="4"/>
      <c r="R4" s="3"/>
      <c r="S4" s="127">
        <v>2.1800000000000002</v>
      </c>
      <c r="T4" s="2"/>
      <c r="U4" s="240"/>
      <c r="V4" s="240"/>
      <c r="W4" s="240"/>
      <c r="X4" s="240"/>
      <c r="Y4" s="240"/>
      <c r="Z4" s="240"/>
      <c r="AA4" s="2"/>
      <c r="AB4" s="4"/>
      <c r="AC4" s="3"/>
      <c r="AD4" s="127">
        <v>3.02</v>
      </c>
      <c r="AE4" s="2"/>
      <c r="AF4" s="54"/>
      <c r="AG4" s="54"/>
      <c r="AH4" s="54"/>
      <c r="AI4" s="54"/>
      <c r="AJ4" s="54"/>
      <c r="AK4" s="54"/>
      <c r="AL4" s="2"/>
      <c r="AM4" s="4"/>
      <c r="AN4" s="3"/>
      <c r="AO4" s="95">
        <v>3.01</v>
      </c>
      <c r="AP4" s="2"/>
    </row>
    <row r="5" spans="1:44" ht="16.149999999999999" customHeight="1">
      <c r="A5" s="5" t="s">
        <v>215</v>
      </c>
      <c r="B5" s="1"/>
      <c r="C5" s="1"/>
      <c r="D5" s="1"/>
      <c r="E5" s="1"/>
      <c r="F5" s="1"/>
      <c r="G5" s="1"/>
      <c r="H5" s="1"/>
      <c r="I5" s="2"/>
      <c r="J5" s="50"/>
      <c r="K5" s="240"/>
      <c r="L5" s="240"/>
      <c r="M5" s="240"/>
      <c r="N5" s="240"/>
      <c r="O5" s="240"/>
      <c r="P5" s="2"/>
      <c r="Q5" s="4" t="s">
        <v>1</v>
      </c>
      <c r="R5" s="3"/>
      <c r="S5" s="94" t="s">
        <v>2</v>
      </c>
      <c r="T5" s="2"/>
      <c r="U5" s="240"/>
      <c r="V5" s="240"/>
      <c r="W5" s="240"/>
      <c r="X5" s="240"/>
      <c r="Y5" s="240"/>
      <c r="Z5" s="240"/>
      <c r="AA5" s="2"/>
      <c r="AB5" s="4" t="s">
        <v>1</v>
      </c>
      <c r="AC5" s="3"/>
      <c r="AD5" s="93" t="s">
        <v>2</v>
      </c>
      <c r="AE5" s="2"/>
      <c r="AF5" s="50"/>
      <c r="AG5" s="250" t="s">
        <v>137</v>
      </c>
      <c r="AH5" s="250"/>
      <c r="AI5" s="250"/>
      <c r="AJ5" s="250"/>
      <c r="AK5" s="250"/>
      <c r="AL5" s="2"/>
      <c r="AM5" s="4" t="s">
        <v>1</v>
      </c>
      <c r="AN5" s="3"/>
      <c r="AO5" s="93" t="s">
        <v>2</v>
      </c>
      <c r="AP5" s="2"/>
    </row>
    <row r="6" spans="1:44">
      <c r="A6" s="245" t="s">
        <v>216</v>
      </c>
      <c r="B6" s="245"/>
      <c r="C6" s="245"/>
      <c r="D6" s="245"/>
      <c r="E6" s="245"/>
      <c r="F6" s="245"/>
      <c r="G6" s="245"/>
      <c r="H6" s="245"/>
      <c r="I6" s="2"/>
      <c r="J6" s="245" t="s">
        <v>226</v>
      </c>
      <c r="K6" s="245"/>
      <c r="L6" s="245"/>
      <c r="M6" s="245"/>
      <c r="N6" s="245"/>
      <c r="O6" s="245"/>
      <c r="P6" s="2"/>
      <c r="Q6" s="51" t="s">
        <v>3</v>
      </c>
      <c r="R6" s="3"/>
      <c r="S6" s="93" t="s">
        <v>4</v>
      </c>
      <c r="T6" s="2"/>
      <c r="U6" s="245" t="s">
        <v>226</v>
      </c>
      <c r="V6" s="245"/>
      <c r="W6" s="245"/>
      <c r="X6" s="245"/>
      <c r="Y6" s="245"/>
      <c r="Z6" s="245"/>
      <c r="AA6" s="2"/>
      <c r="AB6" s="51" t="s">
        <v>3</v>
      </c>
      <c r="AC6" s="3"/>
      <c r="AD6" s="93" t="s">
        <v>4</v>
      </c>
      <c r="AE6" s="2"/>
      <c r="AF6" s="245" t="s">
        <v>48</v>
      </c>
      <c r="AG6" s="245"/>
      <c r="AH6" s="245"/>
      <c r="AI6" s="245"/>
      <c r="AJ6" s="245"/>
      <c r="AK6" s="245"/>
      <c r="AL6" s="2"/>
      <c r="AM6" s="51" t="s">
        <v>3</v>
      </c>
      <c r="AN6" s="3"/>
      <c r="AO6" s="93" t="s">
        <v>4</v>
      </c>
      <c r="AP6" s="2"/>
      <c r="AQ6" s="64" t="s">
        <v>51</v>
      </c>
    </row>
    <row r="7" spans="1:44" ht="30.6" customHeight="1">
      <c r="A7" s="2"/>
      <c r="B7" s="2"/>
      <c r="C7" s="177"/>
      <c r="D7" s="171" t="s">
        <v>217</v>
      </c>
      <c r="E7" s="177"/>
      <c r="F7" s="178"/>
      <c r="G7" s="6"/>
      <c r="H7" s="7"/>
      <c r="I7" s="2"/>
      <c r="J7" s="2"/>
      <c r="K7" s="241" t="s">
        <v>219</v>
      </c>
      <c r="L7" s="241"/>
      <c r="M7" s="241"/>
      <c r="N7" s="241"/>
      <c r="O7" s="241"/>
      <c r="P7" s="2"/>
      <c r="Q7" s="63" t="s">
        <v>220</v>
      </c>
      <c r="R7" s="3"/>
      <c r="S7" s="96" t="s">
        <v>220</v>
      </c>
      <c r="T7" s="2"/>
      <c r="U7" s="241" t="s">
        <v>227</v>
      </c>
      <c r="V7" s="241"/>
      <c r="W7" s="241"/>
      <c r="X7" s="241"/>
      <c r="Y7" s="241"/>
      <c r="Z7" s="241"/>
      <c r="AA7" s="2"/>
      <c r="AB7" s="63" t="s">
        <v>202</v>
      </c>
      <c r="AC7" s="3"/>
      <c r="AD7" s="63" t="s">
        <v>202</v>
      </c>
      <c r="AE7" s="2"/>
      <c r="AF7" s="2"/>
      <c r="AG7" s="241" t="s">
        <v>42</v>
      </c>
      <c r="AH7" s="241"/>
      <c r="AI7" s="241"/>
      <c r="AJ7" s="241"/>
      <c r="AK7" s="241"/>
      <c r="AL7" s="2"/>
      <c r="AM7" s="63" t="s">
        <v>53</v>
      </c>
      <c r="AN7" s="3"/>
      <c r="AO7" s="96" t="s">
        <v>53</v>
      </c>
      <c r="AP7" s="2"/>
      <c r="AQ7" s="65" t="s">
        <v>50</v>
      </c>
    </row>
    <row r="8" spans="1:44">
      <c r="A8" s="3"/>
      <c r="B8" s="3"/>
      <c r="C8" s="3"/>
      <c r="D8" s="8" t="s">
        <v>5</v>
      </c>
      <c r="E8" s="8"/>
      <c r="F8" s="8" t="s">
        <v>6</v>
      </c>
      <c r="G8" s="9"/>
      <c r="H8" s="3"/>
      <c r="I8" s="2"/>
      <c r="J8" s="3"/>
      <c r="K8" s="3"/>
      <c r="L8" s="3"/>
      <c r="M8" s="8" t="s">
        <v>5</v>
      </c>
      <c r="N8" s="8"/>
      <c r="O8" s="8" t="s">
        <v>6</v>
      </c>
      <c r="P8" s="2"/>
      <c r="Q8" s="8" t="s">
        <v>5</v>
      </c>
      <c r="R8" s="3"/>
      <c r="S8" s="8" t="s">
        <v>6</v>
      </c>
      <c r="T8" s="2"/>
      <c r="U8" s="3"/>
      <c r="V8" s="3"/>
      <c r="W8" s="3"/>
      <c r="X8" s="8" t="s">
        <v>5</v>
      </c>
      <c r="Y8" s="8"/>
      <c r="Z8" s="8" t="s">
        <v>6</v>
      </c>
      <c r="AA8" s="2"/>
      <c r="AB8" s="8" t="s">
        <v>5</v>
      </c>
      <c r="AC8" s="3"/>
      <c r="AD8" s="8" t="s">
        <v>6</v>
      </c>
      <c r="AE8" s="2"/>
      <c r="AF8" s="3"/>
      <c r="AG8" s="3"/>
      <c r="AH8" s="3"/>
      <c r="AI8" s="8" t="s">
        <v>5</v>
      </c>
      <c r="AJ8" s="8"/>
      <c r="AK8" s="8" t="s">
        <v>6</v>
      </c>
      <c r="AL8" s="2"/>
      <c r="AM8" s="8" t="s">
        <v>5</v>
      </c>
      <c r="AN8" s="3"/>
      <c r="AO8" s="8" t="s">
        <v>6</v>
      </c>
      <c r="AP8" s="2"/>
    </row>
    <row r="9" spans="1:44">
      <c r="A9" s="3"/>
      <c r="B9" s="3"/>
      <c r="C9" s="3"/>
      <c r="D9" s="8" t="s">
        <v>7</v>
      </c>
      <c r="E9" s="8"/>
      <c r="F9" s="8" t="s">
        <v>8</v>
      </c>
      <c r="G9" s="9"/>
      <c r="H9" s="3"/>
      <c r="I9" s="2"/>
      <c r="J9" s="3"/>
      <c r="K9" s="3"/>
      <c r="L9" s="3"/>
      <c r="M9" s="8" t="s">
        <v>7</v>
      </c>
      <c r="N9" s="8"/>
      <c r="O9" s="8" t="s">
        <v>8</v>
      </c>
      <c r="P9" s="2"/>
      <c r="Q9" s="8" t="s">
        <v>7</v>
      </c>
      <c r="R9" s="3"/>
      <c r="S9" s="8" t="s">
        <v>8</v>
      </c>
      <c r="T9" s="2"/>
      <c r="U9" s="3"/>
      <c r="V9" s="3"/>
      <c r="W9" s="3"/>
      <c r="X9" s="8" t="s">
        <v>7</v>
      </c>
      <c r="Y9" s="8"/>
      <c r="Z9" s="8" t="s">
        <v>8</v>
      </c>
      <c r="AA9" s="2"/>
      <c r="AB9" s="8" t="s">
        <v>7</v>
      </c>
      <c r="AC9" s="3"/>
      <c r="AD9" s="8" t="s">
        <v>8</v>
      </c>
      <c r="AE9" s="2"/>
      <c r="AF9" s="3"/>
      <c r="AG9" s="3"/>
      <c r="AH9" s="3"/>
      <c r="AI9" s="8" t="s">
        <v>7</v>
      </c>
      <c r="AJ9" s="8"/>
      <c r="AK9" s="8" t="s">
        <v>8</v>
      </c>
      <c r="AL9" s="2"/>
      <c r="AM9" s="8" t="s">
        <v>7</v>
      </c>
      <c r="AN9" s="3"/>
      <c r="AO9" s="8" t="s">
        <v>8</v>
      </c>
      <c r="AP9" s="2"/>
    </row>
    <row r="10" spans="1:44">
      <c r="A10" s="3"/>
      <c r="B10" s="3"/>
      <c r="C10" s="3"/>
      <c r="D10" s="10" t="s">
        <v>9</v>
      </c>
      <c r="E10" s="10"/>
      <c r="F10" s="10" t="s">
        <v>10</v>
      </c>
      <c r="G10" s="11"/>
      <c r="H10" s="3"/>
      <c r="I10" s="2"/>
      <c r="J10" s="3"/>
      <c r="K10" s="3"/>
      <c r="L10" s="3"/>
      <c r="M10" s="10" t="s">
        <v>9</v>
      </c>
      <c r="N10" s="10"/>
      <c r="O10" s="10" t="s">
        <v>10</v>
      </c>
      <c r="P10" s="2"/>
      <c r="Q10" s="10" t="s">
        <v>9</v>
      </c>
      <c r="R10" s="3"/>
      <c r="S10" s="10" t="s">
        <v>10</v>
      </c>
      <c r="T10" s="2"/>
      <c r="U10" s="3"/>
      <c r="V10" s="3"/>
      <c r="W10" s="3"/>
      <c r="X10" s="10" t="s">
        <v>9</v>
      </c>
      <c r="Y10" s="10"/>
      <c r="Z10" s="10" t="s">
        <v>10</v>
      </c>
      <c r="AA10" s="2"/>
      <c r="AB10" s="10" t="s">
        <v>9</v>
      </c>
      <c r="AC10" s="3"/>
      <c r="AD10" s="10" t="s">
        <v>10</v>
      </c>
      <c r="AE10" s="2"/>
      <c r="AF10" s="3"/>
      <c r="AG10" s="3"/>
      <c r="AH10" s="3"/>
      <c r="AI10" s="10" t="s">
        <v>9</v>
      </c>
      <c r="AJ10" s="10"/>
      <c r="AK10" s="10" t="s">
        <v>10</v>
      </c>
      <c r="AL10" s="2"/>
      <c r="AM10" s="10" t="s">
        <v>9</v>
      </c>
      <c r="AN10" s="3"/>
      <c r="AO10" s="10" t="s">
        <v>10</v>
      </c>
      <c r="AP10" s="2"/>
    </row>
    <row r="11" spans="1:44">
      <c r="A11" s="3" t="s">
        <v>11</v>
      </c>
      <c r="B11" s="3"/>
      <c r="C11" s="19"/>
      <c r="D11" s="19" t="s">
        <v>196</v>
      </c>
      <c r="E11" s="12"/>
      <c r="F11" s="15">
        <v>0.65639999999999998</v>
      </c>
      <c r="G11" s="14"/>
      <c r="H11" s="15"/>
      <c r="I11" s="2"/>
      <c r="J11" s="3" t="s">
        <v>11</v>
      </c>
      <c r="K11" s="44"/>
      <c r="L11" s="19"/>
      <c r="M11" s="3"/>
      <c r="N11" s="16" t="s">
        <v>12</v>
      </c>
      <c r="O11" s="144">
        <f>F11</f>
        <v>0.65639999999999998</v>
      </c>
      <c r="P11" s="2"/>
      <c r="Q11" s="3"/>
      <c r="R11" s="3"/>
      <c r="S11" s="15"/>
      <c r="T11" s="2"/>
      <c r="U11" s="3" t="s">
        <v>201</v>
      </c>
      <c r="V11" s="3"/>
      <c r="W11" s="3"/>
      <c r="X11" s="3"/>
      <c r="Y11" s="16" t="s">
        <v>12</v>
      </c>
      <c r="Z11" s="144">
        <v>0.6573</v>
      </c>
      <c r="AA11" s="2"/>
      <c r="AB11" s="3"/>
      <c r="AC11" s="3"/>
      <c r="AD11" s="15"/>
      <c r="AE11" s="2"/>
      <c r="AF11" s="3" t="s">
        <v>11</v>
      </c>
      <c r="AG11" s="3"/>
      <c r="AH11" s="3"/>
      <c r="AI11" s="3"/>
      <c r="AK11" s="13">
        <f>Z11</f>
        <v>0.6573</v>
      </c>
      <c r="AL11" s="2"/>
      <c r="AM11" s="3"/>
      <c r="AN11" s="3"/>
      <c r="AO11" s="15"/>
      <c r="AP11" s="2"/>
    </row>
    <row r="12" spans="1:44">
      <c r="A12" s="3"/>
      <c r="B12" s="3"/>
      <c r="C12" s="3"/>
      <c r="D12" s="19"/>
      <c r="E12" s="19"/>
      <c r="F12" s="19"/>
      <c r="G12" s="9"/>
      <c r="H12" s="3"/>
      <c r="I12" s="2"/>
      <c r="J12" s="3"/>
      <c r="K12" s="3"/>
      <c r="L12" s="3"/>
      <c r="M12" s="3"/>
      <c r="N12" s="3"/>
      <c r="O12" s="3"/>
      <c r="P12" s="2"/>
      <c r="Q12" s="3"/>
      <c r="R12" s="3"/>
      <c r="S12" s="3"/>
      <c r="T12" s="2"/>
      <c r="U12" s="3"/>
      <c r="V12" s="3"/>
      <c r="W12" s="3"/>
      <c r="X12" s="3"/>
      <c r="Y12" s="3"/>
      <c r="Z12" s="3"/>
      <c r="AA12" s="2"/>
      <c r="AB12" s="3"/>
      <c r="AC12" s="3"/>
      <c r="AD12" s="3"/>
      <c r="AE12" s="2"/>
      <c r="AF12" s="3"/>
      <c r="AG12" s="3"/>
      <c r="AH12" s="3"/>
      <c r="AI12" s="3"/>
      <c r="AJ12" s="3"/>
      <c r="AK12" s="3"/>
      <c r="AL12" s="2"/>
      <c r="AM12" s="3"/>
      <c r="AN12" s="3"/>
      <c r="AO12" s="3"/>
      <c r="AP12" s="2"/>
    </row>
    <row r="13" spans="1:44">
      <c r="A13" s="3" t="s">
        <v>13</v>
      </c>
      <c r="B13" s="3"/>
      <c r="C13" s="3"/>
      <c r="D13" s="20">
        <f>'12.2019 Actual'!D95</f>
        <v>80222</v>
      </c>
      <c r="E13" s="20"/>
      <c r="F13" s="20">
        <f>F$11*D13</f>
        <v>52657.720799999996</v>
      </c>
      <c r="G13" s="18"/>
      <c r="H13" s="17"/>
      <c r="I13" s="2"/>
      <c r="J13" s="19" t="s">
        <v>13</v>
      </c>
      <c r="K13" s="19"/>
      <c r="L13" s="19"/>
      <c r="M13" s="20">
        <f>'Monthly Authorized'!B24/1000</f>
        <v>54103.856</v>
      </c>
      <c r="N13" s="20"/>
      <c r="O13" s="20">
        <f>O$11*M13</f>
        <v>35513.771078400001</v>
      </c>
      <c r="P13" s="2"/>
      <c r="Q13" s="17">
        <f>M13-D13</f>
        <v>-26118.144</v>
      </c>
      <c r="R13" s="3"/>
      <c r="S13" s="17">
        <f>O13-F13</f>
        <v>-17143.949721599995</v>
      </c>
      <c r="T13" s="2"/>
      <c r="U13" s="19" t="s">
        <v>13</v>
      </c>
      <c r="V13" s="19"/>
      <c r="W13" s="19"/>
      <c r="X13" s="20">
        <f>M13</f>
        <v>54103.856</v>
      </c>
      <c r="Y13" s="20"/>
      <c r="Z13" s="20">
        <f>Z$11*X13</f>
        <v>35562.464548800002</v>
      </c>
      <c r="AA13" s="2"/>
      <c r="AB13" s="17">
        <f>X13-M13</f>
        <v>0</v>
      </c>
      <c r="AC13" s="3"/>
      <c r="AD13" s="17">
        <f>Z13-O13</f>
        <v>48.693470400001388</v>
      </c>
      <c r="AE13" s="2"/>
      <c r="AF13" s="19" t="s">
        <v>13</v>
      </c>
      <c r="AG13" s="19"/>
      <c r="AH13" s="19"/>
      <c r="AI13" s="20"/>
      <c r="AJ13" s="20"/>
      <c r="AK13" s="20">
        <f>AK$11*AI13</f>
        <v>0</v>
      </c>
      <c r="AL13" s="2"/>
      <c r="AM13" s="17"/>
      <c r="AN13" s="3"/>
      <c r="AO13" s="17"/>
      <c r="AP13" s="2"/>
      <c r="AQ13" s="66">
        <f>S13+AD13+AO13</f>
        <v>-17095.256251199993</v>
      </c>
      <c r="AR13" s="66">
        <f>Z13+AK13-F13</f>
        <v>-17095.256251199993</v>
      </c>
    </row>
    <row r="14" spans="1:44" ht="19.899999999999999" hidden="1" customHeight="1">
      <c r="A14" s="3" t="s">
        <v>14</v>
      </c>
      <c r="B14" s="3"/>
      <c r="C14" s="59" t="s">
        <v>47</v>
      </c>
      <c r="D14" s="23"/>
      <c r="E14" s="23"/>
      <c r="F14" s="23">
        <f>F$11*D14</f>
        <v>0</v>
      </c>
      <c r="G14" s="57"/>
      <c r="H14" s="58"/>
      <c r="I14" s="59"/>
      <c r="J14" s="59" t="s">
        <v>14</v>
      </c>
      <c r="K14" s="59"/>
      <c r="L14" s="19"/>
      <c r="M14" s="20">
        <v>0</v>
      </c>
      <c r="N14" s="56"/>
      <c r="O14" s="56">
        <f>O$11*M14</f>
        <v>0</v>
      </c>
      <c r="P14" s="59"/>
      <c r="Q14" s="60"/>
      <c r="R14" s="59"/>
      <c r="S14" s="60"/>
      <c r="T14" s="59"/>
      <c r="U14" s="59" t="s">
        <v>14</v>
      </c>
      <c r="V14" s="59"/>
      <c r="W14" s="59"/>
      <c r="X14" s="20">
        <f t="shared" ref="X14:X19" si="0">M14</f>
        <v>0</v>
      </c>
      <c r="Y14" s="56"/>
      <c r="Z14" s="56">
        <f>Z$11*X14</f>
        <v>0</v>
      </c>
      <c r="AA14" s="59"/>
      <c r="AB14" s="56">
        <f t="shared" ref="AB14:AB20" si="1">X14-M14</f>
        <v>0</v>
      </c>
      <c r="AC14" s="56"/>
      <c r="AD14" s="56">
        <f t="shared" ref="AD14:AD20" si="2">Z14-O14</f>
        <v>0</v>
      </c>
      <c r="AE14" s="59"/>
      <c r="AF14" s="59" t="s">
        <v>14</v>
      </c>
      <c r="AG14" s="59"/>
      <c r="AH14" s="59"/>
      <c r="AI14" s="56">
        <v>0</v>
      </c>
      <c r="AJ14" s="56"/>
      <c r="AK14" s="56">
        <f>AK$11*AI14</f>
        <v>0</v>
      </c>
      <c r="AL14" s="59"/>
      <c r="AM14" s="60">
        <f>AI14-D14</f>
        <v>0</v>
      </c>
      <c r="AN14" s="59"/>
      <c r="AO14" s="60">
        <f>AK14-F14</f>
        <v>0</v>
      </c>
      <c r="AP14" s="2"/>
      <c r="AQ14" s="66">
        <f>S14+AD14+AO14</f>
        <v>0</v>
      </c>
      <c r="AR14" s="66">
        <f t="shared" ref="AR14:AR21" si="3">Z14+AK14-F14</f>
        <v>0</v>
      </c>
    </row>
    <row r="15" spans="1:44" ht="20.65" hidden="1" customHeight="1">
      <c r="A15" s="3" t="s">
        <v>15</v>
      </c>
      <c r="B15" s="3"/>
      <c r="C15" s="3"/>
      <c r="D15" s="23">
        <v>0</v>
      </c>
      <c r="E15" s="23"/>
      <c r="F15" s="23">
        <f>F$11*D15</f>
        <v>0</v>
      </c>
      <c r="G15" s="22"/>
      <c r="H15" s="17"/>
      <c r="I15" s="2"/>
      <c r="J15" s="19" t="s">
        <v>15</v>
      </c>
      <c r="K15" s="19"/>
      <c r="L15" s="19"/>
      <c r="M15" s="20"/>
      <c r="N15" s="23"/>
      <c r="O15" s="23">
        <f>O$11*M15</f>
        <v>0</v>
      </c>
      <c r="P15" s="2"/>
      <c r="Q15" s="24">
        <f t="shared" ref="Q15:Q19" si="4">M15-D15</f>
        <v>0</v>
      </c>
      <c r="R15" s="3"/>
      <c r="S15" s="24">
        <f t="shared" ref="S15:S20" si="5">O15-F15</f>
        <v>0</v>
      </c>
      <c r="T15" s="2"/>
      <c r="U15" s="19" t="s">
        <v>15</v>
      </c>
      <c r="V15" s="19"/>
      <c r="W15" s="19"/>
      <c r="X15" s="20">
        <f t="shared" si="0"/>
        <v>0</v>
      </c>
      <c r="Y15" s="23"/>
      <c r="Z15" s="23">
        <f>Z$11*X15</f>
        <v>0</v>
      </c>
      <c r="AA15" s="2"/>
      <c r="AB15" s="23">
        <f t="shared" si="1"/>
        <v>0</v>
      </c>
      <c r="AC15" s="23"/>
      <c r="AD15" s="23">
        <f t="shared" si="2"/>
        <v>0</v>
      </c>
      <c r="AE15" s="2"/>
      <c r="AF15" s="19" t="s">
        <v>15</v>
      </c>
      <c r="AG15" s="19"/>
      <c r="AH15" s="19"/>
      <c r="AI15" s="23"/>
      <c r="AJ15" s="23"/>
      <c r="AK15" s="23">
        <f>AK$11*AI15</f>
        <v>0</v>
      </c>
      <c r="AL15" s="2"/>
      <c r="AM15" s="24"/>
      <c r="AN15" s="3"/>
      <c r="AO15" s="24"/>
      <c r="AP15" s="2"/>
      <c r="AR15" s="66">
        <f t="shared" si="3"/>
        <v>0</v>
      </c>
    </row>
    <row r="16" spans="1:44">
      <c r="A16" s="3" t="s">
        <v>16</v>
      </c>
      <c r="B16" s="3"/>
      <c r="C16" s="3" t="s">
        <v>9</v>
      </c>
      <c r="D16" s="23">
        <f>'12.2019 Actual'!E108-D17-D18</f>
        <v>19255.005000000001</v>
      </c>
      <c r="E16" s="23"/>
      <c r="F16" s="23">
        <f>F$11*D16</f>
        <v>12638.985282</v>
      </c>
      <c r="G16" s="22"/>
      <c r="H16" s="25"/>
      <c r="I16" s="2"/>
      <c r="J16" s="19" t="s">
        <v>16</v>
      </c>
      <c r="K16" s="19"/>
      <c r="L16" s="19"/>
      <c r="M16" s="20">
        <f>'Monthly Authorized'!B30/1000</f>
        <v>15149.484</v>
      </c>
      <c r="N16" s="23"/>
      <c r="O16" s="23">
        <f>O$11*M16</f>
        <v>9944.1212976000006</v>
      </c>
      <c r="P16" s="2"/>
      <c r="Q16" s="24">
        <f t="shared" si="4"/>
        <v>-4105.5210000000006</v>
      </c>
      <c r="R16" s="3"/>
      <c r="S16" s="24">
        <f t="shared" si="5"/>
        <v>-2694.863984399999</v>
      </c>
      <c r="T16" s="2"/>
      <c r="U16" s="19" t="s">
        <v>16</v>
      </c>
      <c r="V16" s="19"/>
      <c r="W16" s="19"/>
      <c r="X16" s="20">
        <f t="shared" si="0"/>
        <v>15149.484</v>
      </c>
      <c r="Y16" s="23"/>
      <c r="Z16" s="23">
        <f>Z$11*X16</f>
        <v>9957.7558332000008</v>
      </c>
      <c r="AA16" s="2"/>
      <c r="AB16" s="23">
        <f t="shared" si="1"/>
        <v>0</v>
      </c>
      <c r="AC16" s="23"/>
      <c r="AD16" s="23">
        <f t="shared" si="2"/>
        <v>13.634535600000163</v>
      </c>
      <c r="AE16" s="2"/>
      <c r="AF16" s="19" t="s">
        <v>16</v>
      </c>
      <c r="AG16" s="19"/>
      <c r="AH16" s="19"/>
      <c r="AI16" s="23"/>
      <c r="AJ16" s="23"/>
      <c r="AK16" s="23">
        <f>AK$11*AI16</f>
        <v>0</v>
      </c>
      <c r="AL16" s="2"/>
      <c r="AM16" s="24"/>
      <c r="AN16" s="3"/>
      <c r="AO16" s="24"/>
      <c r="AP16" s="2"/>
      <c r="AQ16" s="66">
        <f t="shared" ref="AQ16:AQ21" si="6">S16+AD16+AO16</f>
        <v>-2681.2294487999989</v>
      </c>
      <c r="AR16" s="66">
        <f t="shared" si="3"/>
        <v>-2681.2294487999989</v>
      </c>
    </row>
    <row r="17" spans="1:44">
      <c r="A17" s="3" t="s">
        <v>16</v>
      </c>
      <c r="B17" s="3"/>
      <c r="C17" s="3" t="s">
        <v>17</v>
      </c>
      <c r="D17" s="126">
        <v>105</v>
      </c>
      <c r="E17" s="23"/>
      <c r="F17" s="27">
        <f>D17</f>
        <v>105</v>
      </c>
      <c r="G17" s="22"/>
      <c r="H17" s="26"/>
      <c r="I17" s="2"/>
      <c r="J17" s="19" t="s">
        <v>16</v>
      </c>
      <c r="K17" s="19"/>
      <c r="L17" s="19"/>
      <c r="M17" s="23">
        <v>0</v>
      </c>
      <c r="N17" s="23"/>
      <c r="O17" s="27">
        <f>M17</f>
        <v>0</v>
      </c>
      <c r="P17" s="2"/>
      <c r="Q17" s="24">
        <f t="shared" si="4"/>
        <v>-105</v>
      </c>
      <c r="R17" s="3"/>
      <c r="S17" s="24">
        <f t="shared" si="5"/>
        <v>-105</v>
      </c>
      <c r="T17" s="2"/>
      <c r="U17" s="19" t="s">
        <v>16</v>
      </c>
      <c r="V17" s="19"/>
      <c r="W17" s="19"/>
      <c r="X17" s="20">
        <f t="shared" si="0"/>
        <v>0</v>
      </c>
      <c r="Y17" s="23"/>
      <c r="Z17" s="27">
        <f>X17</f>
        <v>0</v>
      </c>
      <c r="AA17" s="2"/>
      <c r="AB17" s="23">
        <f t="shared" si="1"/>
        <v>0</v>
      </c>
      <c r="AC17" s="23"/>
      <c r="AD17" s="23">
        <f t="shared" si="2"/>
        <v>0</v>
      </c>
      <c r="AE17" s="2"/>
      <c r="AF17" s="19" t="s">
        <v>16</v>
      </c>
      <c r="AG17" s="19"/>
      <c r="AH17" s="19"/>
      <c r="AI17" s="23"/>
      <c r="AJ17" s="23"/>
      <c r="AK17" s="27">
        <f>AI17</f>
        <v>0</v>
      </c>
      <c r="AL17" s="2"/>
      <c r="AM17" s="24"/>
      <c r="AN17" s="3"/>
      <c r="AO17" s="24"/>
      <c r="AP17" s="2"/>
      <c r="AQ17" s="66">
        <f t="shared" si="6"/>
        <v>-105</v>
      </c>
      <c r="AR17" s="66">
        <f t="shared" si="3"/>
        <v>-105</v>
      </c>
    </row>
    <row r="18" spans="1:44">
      <c r="A18" s="3" t="s">
        <v>16</v>
      </c>
      <c r="B18" s="3"/>
      <c r="C18" s="3" t="s">
        <v>18</v>
      </c>
      <c r="D18" s="126">
        <f>51-103</f>
        <v>-52</v>
      </c>
      <c r="E18" s="23"/>
      <c r="F18" s="27">
        <v>0</v>
      </c>
      <c r="G18" s="22"/>
      <c r="H18" s="26"/>
      <c r="I18" s="2"/>
      <c r="J18" s="19" t="s">
        <v>16</v>
      </c>
      <c r="K18" s="19"/>
      <c r="L18" s="19"/>
      <c r="M18" s="23">
        <v>0</v>
      </c>
      <c r="N18" s="23"/>
      <c r="O18" s="27">
        <v>0</v>
      </c>
      <c r="P18" s="2"/>
      <c r="Q18" s="24">
        <f t="shared" si="4"/>
        <v>52</v>
      </c>
      <c r="R18" s="3"/>
      <c r="S18" s="24">
        <f t="shared" si="5"/>
        <v>0</v>
      </c>
      <c r="T18" s="2"/>
      <c r="U18" s="19" t="s">
        <v>16</v>
      </c>
      <c r="V18" s="19"/>
      <c r="W18" s="19"/>
      <c r="X18" s="20">
        <f t="shared" si="0"/>
        <v>0</v>
      </c>
      <c r="Y18" s="23"/>
      <c r="Z18" s="27">
        <v>0</v>
      </c>
      <c r="AA18" s="2"/>
      <c r="AB18" s="23">
        <f t="shared" si="1"/>
        <v>0</v>
      </c>
      <c r="AC18" s="23"/>
      <c r="AD18" s="23">
        <f t="shared" si="2"/>
        <v>0</v>
      </c>
      <c r="AE18" s="2"/>
      <c r="AF18" s="19" t="s">
        <v>16</v>
      </c>
      <c r="AG18" s="19"/>
      <c r="AH18" s="19"/>
      <c r="AI18" s="23"/>
      <c r="AJ18" s="23"/>
      <c r="AK18" s="27">
        <v>0</v>
      </c>
      <c r="AL18" s="2"/>
      <c r="AM18" s="24"/>
      <c r="AN18" s="3"/>
      <c r="AO18" s="24"/>
      <c r="AP18" s="2"/>
      <c r="AQ18" s="66">
        <f t="shared" si="6"/>
        <v>0</v>
      </c>
      <c r="AR18" s="66">
        <f t="shared" si="3"/>
        <v>0</v>
      </c>
    </row>
    <row r="19" spans="1:44" ht="13.9" customHeight="1">
      <c r="A19" s="3" t="s">
        <v>19</v>
      </c>
      <c r="B19" s="3"/>
      <c r="C19" s="3"/>
      <c r="D19" s="23">
        <f>'12.2019 Actual'!D107</f>
        <v>55414.771489999999</v>
      </c>
      <c r="E19" s="23"/>
      <c r="F19" s="23">
        <f>F$11*D19</f>
        <v>36374.256006035997</v>
      </c>
      <c r="G19" s="22"/>
      <c r="H19" s="17"/>
      <c r="I19" s="2"/>
      <c r="J19" s="19" t="s">
        <v>19</v>
      </c>
      <c r="K19" s="19"/>
      <c r="L19" s="19"/>
      <c r="M19" s="28">
        <f>0-M20</f>
        <v>0</v>
      </c>
      <c r="N19" s="23"/>
      <c r="O19" s="23">
        <f>O$11*M19</f>
        <v>0</v>
      </c>
      <c r="P19" s="2"/>
      <c r="Q19" s="24">
        <f t="shared" si="4"/>
        <v>-55414.771489999999</v>
      </c>
      <c r="R19" s="3"/>
      <c r="S19" s="24">
        <f t="shared" si="5"/>
        <v>-36374.256006035997</v>
      </c>
      <c r="T19" s="2"/>
      <c r="U19" s="19" t="s">
        <v>19</v>
      </c>
      <c r="V19" s="19"/>
      <c r="W19" s="19"/>
      <c r="X19" s="138">
        <f t="shared" si="0"/>
        <v>0</v>
      </c>
      <c r="Y19" s="23"/>
      <c r="Z19" s="23">
        <f>Z$11*X19</f>
        <v>0</v>
      </c>
      <c r="AA19" s="2"/>
      <c r="AB19" s="23">
        <f t="shared" si="1"/>
        <v>0</v>
      </c>
      <c r="AC19" s="23"/>
      <c r="AD19" s="23">
        <f t="shared" si="2"/>
        <v>0</v>
      </c>
      <c r="AE19" s="2"/>
      <c r="AF19" s="19" t="s">
        <v>19</v>
      </c>
      <c r="AG19" s="19"/>
      <c r="AH19" s="19"/>
      <c r="AI19" s="28"/>
      <c r="AJ19" s="23"/>
      <c r="AK19" s="23">
        <f>AK$11*AI19</f>
        <v>0</v>
      </c>
      <c r="AL19" s="2"/>
      <c r="AM19" s="24"/>
      <c r="AN19" s="3"/>
      <c r="AO19" s="24"/>
      <c r="AP19" s="2"/>
      <c r="AQ19" s="66">
        <f t="shared" si="6"/>
        <v>-36374.256006035997</v>
      </c>
      <c r="AR19" s="66">
        <f t="shared" si="3"/>
        <v>-36374.256006035997</v>
      </c>
    </row>
    <row r="20" spans="1:44" ht="0.6" customHeight="1">
      <c r="A20" s="3" t="s">
        <v>20</v>
      </c>
      <c r="B20" s="3"/>
      <c r="C20" s="3"/>
      <c r="D20" s="30">
        <v>0</v>
      </c>
      <c r="E20" s="27"/>
      <c r="F20" s="30">
        <f>D20</f>
        <v>0</v>
      </c>
      <c r="G20" s="22"/>
      <c r="H20" s="17"/>
      <c r="I20" s="2"/>
      <c r="J20" s="19" t="s">
        <v>20</v>
      </c>
      <c r="K20" s="19"/>
      <c r="L20" s="19"/>
      <c r="M20" s="30">
        <v>0</v>
      </c>
      <c r="N20" s="27"/>
      <c r="O20" s="30">
        <f>M20</f>
        <v>0</v>
      </c>
      <c r="P20" s="2"/>
      <c r="Q20" s="29"/>
      <c r="R20" s="3"/>
      <c r="S20" s="31">
        <f t="shared" si="5"/>
        <v>0</v>
      </c>
      <c r="T20" s="2"/>
      <c r="U20" s="19" t="s">
        <v>20</v>
      </c>
      <c r="V20" s="19"/>
      <c r="W20" s="19"/>
      <c r="X20" s="30">
        <v>0</v>
      </c>
      <c r="Y20" s="27"/>
      <c r="Z20" s="30">
        <f>X20</f>
        <v>0</v>
      </c>
      <c r="AA20" s="2"/>
      <c r="AB20" s="23">
        <f t="shared" si="1"/>
        <v>0</v>
      </c>
      <c r="AC20" s="23"/>
      <c r="AD20" s="23">
        <f t="shared" si="2"/>
        <v>0</v>
      </c>
      <c r="AE20" s="2"/>
      <c r="AF20" s="19" t="s">
        <v>20</v>
      </c>
      <c r="AG20" s="19"/>
      <c r="AH20" s="19"/>
      <c r="AI20" s="30"/>
      <c r="AJ20" s="27"/>
      <c r="AK20" s="30">
        <f>AI20</f>
        <v>0</v>
      </c>
      <c r="AL20" s="2"/>
      <c r="AM20" s="29"/>
      <c r="AN20" s="3"/>
      <c r="AO20" s="31"/>
      <c r="AP20" s="2"/>
      <c r="AR20" s="66">
        <f t="shared" si="3"/>
        <v>0</v>
      </c>
    </row>
    <row r="21" spans="1:44">
      <c r="A21" s="3" t="s">
        <v>21</v>
      </c>
      <c r="B21" s="3"/>
      <c r="C21" s="3"/>
      <c r="D21" s="61">
        <f>SUM(D13:D20)</f>
        <v>154944.77649000002</v>
      </c>
      <c r="E21" s="27"/>
      <c r="F21" s="61">
        <f>SUM(F13:F20)</f>
        <v>101775.962088036</v>
      </c>
      <c r="G21" s="22"/>
      <c r="H21" s="17"/>
      <c r="I21" s="2"/>
      <c r="J21" s="19" t="s">
        <v>21</v>
      </c>
      <c r="K21" s="19"/>
      <c r="L21" s="19"/>
      <c r="M21" s="61">
        <f>SUM(M13:M19)</f>
        <v>69253.34</v>
      </c>
      <c r="N21" s="27"/>
      <c r="O21" s="61">
        <f>SUM(O13:O20)</f>
        <v>45457.892376000003</v>
      </c>
      <c r="P21" s="2"/>
      <c r="Q21" s="52">
        <f>SUM(Q13:Q20)</f>
        <v>-85691.436489999993</v>
      </c>
      <c r="R21" s="3"/>
      <c r="S21" s="52">
        <f>SUM(S13:S20)</f>
        <v>-56318.069712035991</v>
      </c>
      <c r="T21" s="2"/>
      <c r="U21" s="19" t="s">
        <v>21</v>
      </c>
      <c r="V21" s="19"/>
      <c r="W21" s="19"/>
      <c r="X21" s="61">
        <f>SUM(X13:X20)</f>
        <v>69253.34</v>
      </c>
      <c r="Y21" s="27"/>
      <c r="Z21" s="61">
        <f>SUM(Z13:Z20)</f>
        <v>45520.220382</v>
      </c>
      <c r="AA21" s="2"/>
      <c r="AB21" s="52">
        <f>SUM(AB13:AB20)</f>
        <v>0</v>
      </c>
      <c r="AC21" s="3"/>
      <c r="AD21" s="52">
        <f>SUM(AD13:AD20)</f>
        <v>62.328006000001551</v>
      </c>
      <c r="AE21" s="2"/>
      <c r="AF21" s="19" t="s">
        <v>21</v>
      </c>
      <c r="AG21" s="19"/>
      <c r="AH21" s="19"/>
      <c r="AI21" s="61">
        <f>SUM(AI13:AI20)</f>
        <v>0</v>
      </c>
      <c r="AJ21" s="27"/>
      <c r="AK21" s="61">
        <f>SUM(AK13:AK20)</f>
        <v>0</v>
      </c>
      <c r="AL21" s="2"/>
      <c r="AM21" s="52">
        <f>SUM(AM13:AM20)</f>
        <v>0</v>
      </c>
      <c r="AN21" s="3"/>
      <c r="AO21" s="52">
        <f>SUM(AO13:AO20)</f>
        <v>0</v>
      </c>
      <c r="AP21" s="2"/>
      <c r="AQ21" s="66">
        <f t="shared" si="6"/>
        <v>-56255.741706035988</v>
      </c>
      <c r="AR21" s="66">
        <f t="shared" si="3"/>
        <v>-56255.741706036002</v>
      </c>
    </row>
    <row r="22" spans="1:44" ht="12" customHeight="1">
      <c r="A22" s="3"/>
      <c r="B22" s="3"/>
      <c r="C22" s="3"/>
      <c r="D22" s="23"/>
      <c r="E22" s="27"/>
      <c r="F22" s="23"/>
      <c r="G22" s="22"/>
      <c r="H22" s="17"/>
      <c r="I22" s="2"/>
      <c r="J22" s="19"/>
      <c r="K22" s="19"/>
      <c r="L22" s="19"/>
      <c r="M22" s="23"/>
      <c r="N22" s="27"/>
      <c r="O22" s="23"/>
      <c r="P22" s="2"/>
      <c r="Q22" s="21"/>
      <c r="R22" s="3"/>
      <c r="S22" s="21"/>
      <c r="T22" s="2"/>
      <c r="U22" s="19"/>
      <c r="V22" s="19"/>
      <c r="W22" s="19"/>
      <c r="X22" s="23"/>
      <c r="Y22" s="27"/>
      <c r="Z22" s="23"/>
      <c r="AA22" s="2"/>
      <c r="AB22" s="21"/>
      <c r="AC22" s="3"/>
      <c r="AD22" s="21"/>
      <c r="AE22" s="2"/>
      <c r="AF22" s="19"/>
      <c r="AG22" s="19"/>
      <c r="AH22" s="19"/>
      <c r="AI22" s="23"/>
      <c r="AJ22" s="27"/>
      <c r="AK22" s="23"/>
      <c r="AL22" s="2"/>
      <c r="AM22" s="21"/>
      <c r="AN22" s="3"/>
      <c r="AO22" s="21"/>
      <c r="AP22" s="2"/>
    </row>
    <row r="23" spans="1:44" ht="14.45" customHeight="1">
      <c r="A23" s="3"/>
      <c r="B23" s="3"/>
      <c r="C23" s="3"/>
      <c r="D23" s="21"/>
      <c r="E23" s="22"/>
      <c r="F23" s="21"/>
      <c r="G23" s="22"/>
      <c r="H23" s="17"/>
      <c r="I23" s="2"/>
      <c r="J23" s="19"/>
      <c r="K23" s="19"/>
      <c r="L23" s="19"/>
      <c r="M23" s="23"/>
      <c r="N23" s="27"/>
      <c r="O23" s="23"/>
      <c r="P23" s="2"/>
      <c r="Q23" s="21"/>
      <c r="R23" s="3"/>
      <c r="S23" s="21"/>
      <c r="T23" s="2"/>
      <c r="U23" s="19"/>
      <c r="V23" s="19"/>
      <c r="W23" s="19"/>
      <c r="X23" s="23"/>
      <c r="Y23" s="27"/>
      <c r="Z23" s="23"/>
      <c r="AA23" s="2"/>
      <c r="AB23" s="21"/>
      <c r="AC23" s="3"/>
      <c r="AD23" s="21"/>
      <c r="AE23" s="2"/>
      <c r="AF23" s="19"/>
      <c r="AG23" s="19"/>
      <c r="AH23" s="19"/>
      <c r="AI23" s="23"/>
      <c r="AJ23" s="27"/>
      <c r="AK23" s="23"/>
      <c r="AL23" s="2"/>
      <c r="AM23" s="21"/>
      <c r="AN23" s="3"/>
      <c r="AO23" s="21"/>
      <c r="AP23" s="2"/>
    </row>
    <row r="24" spans="1:44">
      <c r="A24" s="3" t="s">
        <v>22</v>
      </c>
      <c r="B24" s="3"/>
      <c r="C24" s="3"/>
      <c r="D24" s="23">
        <f>'12.2019 Actual'!D47</f>
        <v>28880</v>
      </c>
      <c r="E24" s="22"/>
      <c r="F24" s="21">
        <f t="shared" ref="F24:F32" si="7">F$11*D24</f>
        <v>18956.831999999999</v>
      </c>
      <c r="G24" s="22"/>
      <c r="H24" s="17"/>
      <c r="I24" s="2"/>
      <c r="J24" s="19" t="s">
        <v>22</v>
      </c>
      <c r="K24" s="19"/>
      <c r="L24" s="19"/>
      <c r="M24" s="124">
        <f>'Monthly Authorized'!B20/1000</f>
        <v>28873.933000000001</v>
      </c>
      <c r="N24" s="27"/>
      <c r="O24" s="23">
        <f t="shared" ref="O24:O28" si="8">O$11*M24</f>
        <v>18952.849621199999</v>
      </c>
      <c r="P24" s="2"/>
      <c r="Q24" s="17">
        <f>M24-D24</f>
        <v>-6.0669999999990978</v>
      </c>
      <c r="R24" s="3"/>
      <c r="S24" s="17">
        <f>O24-F24</f>
        <v>-3.9823787999994238</v>
      </c>
      <c r="T24" s="2"/>
      <c r="U24" s="19" t="s">
        <v>22</v>
      </c>
      <c r="V24" s="19"/>
      <c r="W24" s="19"/>
      <c r="X24" s="124">
        <f>M24</f>
        <v>28873.933000000001</v>
      </c>
      <c r="Y24" s="27"/>
      <c r="Z24" s="23">
        <f t="shared" ref="Z24:Z28" si="9">Z$11*X24</f>
        <v>18978.836160900002</v>
      </c>
      <c r="AA24" s="2"/>
      <c r="AB24" s="17">
        <f>X24-M24</f>
        <v>0</v>
      </c>
      <c r="AC24" s="3"/>
      <c r="AD24" s="17">
        <f>Z24-O24</f>
        <v>25.98653970000305</v>
      </c>
      <c r="AE24" s="2"/>
      <c r="AF24" s="19" t="s">
        <v>22</v>
      </c>
      <c r="AG24" s="19"/>
      <c r="AH24" s="19"/>
      <c r="AI24" s="23"/>
      <c r="AJ24" s="27"/>
      <c r="AK24" s="23">
        <f t="shared" ref="AK24:AK28" si="10">AK$11*AI24</f>
        <v>0</v>
      </c>
      <c r="AL24" s="2"/>
      <c r="AM24" s="17"/>
      <c r="AN24" s="3"/>
      <c r="AO24" s="17"/>
      <c r="AP24" s="2"/>
      <c r="AQ24" s="66">
        <f>S24+AD24+AO24</f>
        <v>22.004160900003626</v>
      </c>
      <c r="AR24" s="66">
        <f t="shared" ref="AR24:AR40" si="11">Z24+AK24-F24</f>
        <v>22.004160900003626</v>
      </c>
    </row>
    <row r="25" spans="1:44" ht="18" hidden="1" customHeight="1">
      <c r="A25" s="3" t="s">
        <v>23</v>
      </c>
      <c r="B25" s="3"/>
      <c r="C25" s="3"/>
      <c r="D25" s="23">
        <v>0</v>
      </c>
      <c r="E25" s="22"/>
      <c r="F25" s="21">
        <f t="shared" si="7"/>
        <v>0</v>
      </c>
      <c r="G25" s="22"/>
      <c r="H25" s="17"/>
      <c r="I25" s="2"/>
      <c r="J25" s="19" t="s">
        <v>23</v>
      </c>
      <c r="K25" s="19"/>
      <c r="L25" s="19"/>
      <c r="M25" s="124"/>
      <c r="N25" s="27"/>
      <c r="O25" s="23">
        <f t="shared" si="8"/>
        <v>0</v>
      </c>
      <c r="P25" s="2"/>
      <c r="Q25" s="21"/>
      <c r="R25" s="3"/>
      <c r="S25" s="24">
        <f t="shared" ref="S25:S34" si="12">O25-F25</f>
        <v>0</v>
      </c>
      <c r="T25" s="2"/>
      <c r="U25" s="19" t="s">
        <v>23</v>
      </c>
      <c r="V25" s="19"/>
      <c r="W25" s="19"/>
      <c r="X25" s="124">
        <f t="shared" ref="X25:X32" si="13">M25</f>
        <v>0</v>
      </c>
      <c r="Y25" s="27"/>
      <c r="Z25" s="23">
        <f t="shared" si="9"/>
        <v>0</v>
      </c>
      <c r="AA25" s="2"/>
      <c r="AB25" s="23">
        <f t="shared" ref="AB25" si="14">X25-M25</f>
        <v>0</v>
      </c>
      <c r="AC25" s="23"/>
      <c r="AD25" s="23">
        <f t="shared" ref="AD25" si="15">Z25-O25</f>
        <v>0</v>
      </c>
      <c r="AE25" s="2"/>
      <c r="AF25" s="19" t="s">
        <v>23</v>
      </c>
      <c r="AG25" s="19"/>
      <c r="AH25" s="19"/>
      <c r="AI25" s="23"/>
      <c r="AJ25" s="27"/>
      <c r="AK25" s="23">
        <f t="shared" si="10"/>
        <v>0</v>
      </c>
      <c r="AL25" s="2"/>
      <c r="AM25" s="21"/>
      <c r="AN25" s="3"/>
      <c r="AO25" s="24"/>
      <c r="AP25" s="2"/>
      <c r="AR25" s="66">
        <f t="shared" si="11"/>
        <v>0</v>
      </c>
    </row>
    <row r="26" spans="1:44">
      <c r="A26" s="3" t="s">
        <v>24</v>
      </c>
      <c r="B26" s="3"/>
      <c r="C26" s="3"/>
      <c r="D26" s="23">
        <f>'12.2019 Actual'!D61</f>
        <v>71501</v>
      </c>
      <c r="E26" s="22"/>
      <c r="F26" s="21">
        <f t="shared" si="7"/>
        <v>46933.256399999998</v>
      </c>
      <c r="G26" s="22"/>
      <c r="H26" s="17"/>
      <c r="I26" s="2"/>
      <c r="J26" s="19" t="s">
        <v>24</v>
      </c>
      <c r="K26" s="19"/>
      <c r="L26" s="19"/>
      <c r="M26" s="124">
        <f>'Monthly Authorized'!B22/1000</f>
        <v>70067.290999999997</v>
      </c>
      <c r="N26" s="27"/>
      <c r="O26" s="23">
        <f t="shared" si="8"/>
        <v>45992.169812399996</v>
      </c>
      <c r="P26" s="2"/>
      <c r="Q26" s="24">
        <f t="shared" ref="Q26:Q28" si="16">M26-D26</f>
        <v>-1433.7090000000026</v>
      </c>
      <c r="R26" s="3"/>
      <c r="S26" s="24">
        <f t="shared" si="12"/>
        <v>-941.08658760000253</v>
      </c>
      <c r="T26" s="2"/>
      <c r="U26" s="19" t="s">
        <v>24</v>
      </c>
      <c r="V26" s="19"/>
      <c r="W26" s="19"/>
      <c r="X26" s="124">
        <f t="shared" si="13"/>
        <v>70067.290999999997</v>
      </c>
      <c r="Y26" s="27"/>
      <c r="Z26" s="23">
        <f t="shared" si="9"/>
        <v>46055.230374300001</v>
      </c>
      <c r="AA26" s="2"/>
      <c r="AB26" s="23">
        <f t="shared" ref="AB26:AB37" si="17">X26-M26</f>
        <v>0</v>
      </c>
      <c r="AC26" s="23"/>
      <c r="AD26" s="23">
        <f t="shared" ref="AD26:AD37" si="18">Z26-O26</f>
        <v>63.060561900005268</v>
      </c>
      <c r="AE26" s="2"/>
      <c r="AF26" s="19" t="s">
        <v>24</v>
      </c>
      <c r="AG26" s="19"/>
      <c r="AH26" s="19"/>
      <c r="AI26" s="23"/>
      <c r="AJ26" s="27"/>
      <c r="AK26" s="23">
        <f t="shared" si="10"/>
        <v>0</v>
      </c>
      <c r="AL26" s="2"/>
      <c r="AM26" s="24"/>
      <c r="AN26" s="3"/>
      <c r="AO26" s="24"/>
      <c r="AP26" s="2"/>
      <c r="AQ26" s="66">
        <f>S26+AD26+AO26</f>
        <v>-878.02602569999726</v>
      </c>
      <c r="AR26" s="66">
        <f t="shared" si="11"/>
        <v>-878.02602569999726</v>
      </c>
    </row>
    <row r="27" spans="1:44" ht="13.9" hidden="1" customHeight="1">
      <c r="A27" s="3" t="s">
        <v>25</v>
      </c>
      <c r="B27" s="3"/>
      <c r="C27" s="59" t="s">
        <v>47</v>
      </c>
      <c r="D27" s="56"/>
      <c r="E27" s="56"/>
      <c r="F27" s="56">
        <f t="shared" si="7"/>
        <v>0</v>
      </c>
      <c r="G27" s="57"/>
      <c r="H27" s="58"/>
      <c r="I27" s="59"/>
      <c r="J27" s="59" t="s">
        <v>25</v>
      </c>
      <c r="K27" s="59"/>
      <c r="L27" s="19"/>
      <c r="M27" s="124"/>
      <c r="N27" s="56"/>
      <c r="O27" s="56">
        <f t="shared" si="8"/>
        <v>0</v>
      </c>
      <c r="P27" s="59"/>
      <c r="Q27" s="60"/>
      <c r="R27" s="59"/>
      <c r="S27" s="60"/>
      <c r="T27" s="59"/>
      <c r="U27" s="59" t="s">
        <v>25</v>
      </c>
      <c r="V27" s="59"/>
      <c r="W27" s="59"/>
      <c r="X27" s="124">
        <f t="shared" si="13"/>
        <v>0</v>
      </c>
      <c r="Y27" s="56"/>
      <c r="Z27" s="56">
        <f t="shared" si="9"/>
        <v>0</v>
      </c>
      <c r="AA27" s="59"/>
      <c r="AB27" s="56">
        <f t="shared" si="17"/>
        <v>0</v>
      </c>
      <c r="AC27" s="56"/>
      <c r="AD27" s="56">
        <f t="shared" si="18"/>
        <v>0</v>
      </c>
      <c r="AE27" s="59"/>
      <c r="AF27" s="59" t="s">
        <v>25</v>
      </c>
      <c r="AG27" s="59"/>
      <c r="AH27" s="59"/>
      <c r="AI27" s="56">
        <v>0</v>
      </c>
      <c r="AJ27" s="56"/>
      <c r="AK27" s="56">
        <f t="shared" si="10"/>
        <v>0</v>
      </c>
      <c r="AL27" s="59"/>
      <c r="AM27" s="60">
        <f>AI27-D27</f>
        <v>0</v>
      </c>
      <c r="AN27" s="59"/>
      <c r="AO27" s="60">
        <f>AK27-F27</f>
        <v>0</v>
      </c>
      <c r="AP27" s="2"/>
      <c r="AQ27" s="66">
        <f>S27+AD27+AO27</f>
        <v>0</v>
      </c>
      <c r="AR27" s="66">
        <f t="shared" si="11"/>
        <v>0</v>
      </c>
    </row>
    <row r="28" spans="1:44">
      <c r="A28" s="3" t="s">
        <v>26</v>
      </c>
      <c r="B28" s="3"/>
      <c r="C28" s="3"/>
      <c r="D28" s="23">
        <f>'12.2019 Actual'!D27</f>
        <v>133944</v>
      </c>
      <c r="E28" s="22"/>
      <c r="F28" s="21">
        <f t="shared" si="7"/>
        <v>87920.8416</v>
      </c>
      <c r="G28" s="22"/>
      <c r="H28" s="17"/>
      <c r="I28" s="2"/>
      <c r="J28" s="19" t="s">
        <v>26</v>
      </c>
      <c r="K28" s="19"/>
      <c r="L28" s="19"/>
      <c r="M28" s="124">
        <f>'Monthly Authorized'!B18/1000</f>
        <v>111395.052</v>
      </c>
      <c r="N28" s="27"/>
      <c r="O28" s="23">
        <f t="shared" si="8"/>
        <v>73119.712132799992</v>
      </c>
      <c r="P28" s="2"/>
      <c r="Q28" s="24">
        <f t="shared" si="16"/>
        <v>-22548.948000000004</v>
      </c>
      <c r="R28" s="3"/>
      <c r="S28" s="24">
        <f t="shared" si="12"/>
        <v>-14801.129467200008</v>
      </c>
      <c r="T28" s="2"/>
      <c r="U28" s="19" t="s">
        <v>26</v>
      </c>
      <c r="V28" s="19"/>
      <c r="W28" s="19"/>
      <c r="X28" s="124">
        <f t="shared" si="13"/>
        <v>111395.052</v>
      </c>
      <c r="Y28" s="27"/>
      <c r="Z28" s="23">
        <f t="shared" si="9"/>
        <v>73219.967679599999</v>
      </c>
      <c r="AA28" s="2"/>
      <c r="AB28" s="23">
        <f t="shared" si="17"/>
        <v>0</v>
      </c>
      <c r="AC28" s="23"/>
      <c r="AD28" s="23">
        <f t="shared" si="18"/>
        <v>100.25554680000641</v>
      </c>
      <c r="AE28" s="2"/>
      <c r="AF28" s="19" t="s">
        <v>26</v>
      </c>
      <c r="AG28" s="19"/>
      <c r="AH28" s="19"/>
      <c r="AI28" s="23"/>
      <c r="AJ28" s="27"/>
      <c r="AK28" s="23">
        <f t="shared" si="10"/>
        <v>0</v>
      </c>
      <c r="AL28" s="2"/>
      <c r="AM28" s="24"/>
      <c r="AN28" s="3"/>
      <c r="AO28" s="24"/>
      <c r="AP28" s="2"/>
      <c r="AQ28" s="66">
        <f>S28+AD28+AO28</f>
        <v>-14700.873920400001</v>
      </c>
      <c r="AR28" s="66">
        <f t="shared" si="11"/>
        <v>-14700.873920400001</v>
      </c>
    </row>
    <row r="29" spans="1:44" hidden="1">
      <c r="A29" s="3" t="s">
        <v>27</v>
      </c>
      <c r="B29" s="3"/>
      <c r="C29" s="3"/>
      <c r="D29" s="21">
        <v>0</v>
      </c>
      <c r="E29" s="22"/>
      <c r="F29" s="23">
        <v>0</v>
      </c>
      <c r="G29" s="22"/>
      <c r="H29" s="3"/>
      <c r="I29" s="2"/>
      <c r="J29" s="19" t="s">
        <v>27</v>
      </c>
      <c r="K29" s="19"/>
      <c r="L29" s="19"/>
      <c r="M29" s="124">
        <v>0</v>
      </c>
      <c r="N29" s="27"/>
      <c r="O29" s="23">
        <v>0</v>
      </c>
      <c r="P29" s="2"/>
      <c r="Q29" s="21"/>
      <c r="R29" s="3"/>
      <c r="S29" s="24">
        <f t="shared" si="12"/>
        <v>0</v>
      </c>
      <c r="T29" s="2"/>
      <c r="U29" s="19" t="s">
        <v>27</v>
      </c>
      <c r="V29" s="19"/>
      <c r="W29" s="19"/>
      <c r="X29" s="124">
        <f t="shared" si="13"/>
        <v>0</v>
      </c>
      <c r="Y29" s="27"/>
      <c r="Z29" s="23">
        <v>0</v>
      </c>
      <c r="AA29" s="2"/>
      <c r="AB29" s="23">
        <f t="shared" si="17"/>
        <v>0</v>
      </c>
      <c r="AC29" s="23"/>
      <c r="AD29" s="23">
        <f t="shared" si="18"/>
        <v>0</v>
      </c>
      <c r="AE29" s="2"/>
      <c r="AF29" s="19" t="s">
        <v>27</v>
      </c>
      <c r="AG29" s="19"/>
      <c r="AH29" s="19"/>
      <c r="AI29" s="23"/>
      <c r="AJ29" s="27"/>
      <c r="AK29" s="23">
        <v>0</v>
      </c>
      <c r="AL29" s="2"/>
      <c r="AM29" s="21"/>
      <c r="AN29" s="3"/>
      <c r="AO29" s="24"/>
      <c r="AP29" s="2"/>
      <c r="AR29" s="66">
        <f t="shared" si="11"/>
        <v>0</v>
      </c>
    </row>
    <row r="30" spans="1:44" ht="13.15" hidden="1" customHeight="1">
      <c r="A30" s="3" t="s">
        <v>28</v>
      </c>
      <c r="B30" s="3"/>
      <c r="C30" s="3"/>
      <c r="D30" s="21">
        <v>0</v>
      </c>
      <c r="E30" s="22"/>
      <c r="F30" s="21">
        <f t="shared" si="7"/>
        <v>0</v>
      </c>
      <c r="G30" s="22"/>
      <c r="H30" s="17"/>
      <c r="I30" s="2"/>
      <c r="J30" s="19" t="s">
        <v>28</v>
      </c>
      <c r="K30" s="19"/>
      <c r="L30" s="19"/>
      <c r="M30" s="124"/>
      <c r="N30" s="27"/>
      <c r="O30" s="23">
        <f t="shared" ref="O30:O32" si="19">O$11*M30</f>
        <v>0</v>
      </c>
      <c r="P30" s="2"/>
      <c r="Q30" s="21"/>
      <c r="R30" s="3"/>
      <c r="S30" s="24">
        <f t="shared" si="12"/>
        <v>0</v>
      </c>
      <c r="T30" s="2"/>
      <c r="U30" s="19" t="s">
        <v>28</v>
      </c>
      <c r="V30" s="19"/>
      <c r="W30" s="19"/>
      <c r="X30" s="124">
        <f t="shared" si="13"/>
        <v>0</v>
      </c>
      <c r="Y30" s="27"/>
      <c r="Z30" s="23">
        <f t="shared" ref="Z30:Z32" si="20">Z$11*X30</f>
        <v>0</v>
      </c>
      <c r="AA30" s="2"/>
      <c r="AB30" s="23">
        <f t="shared" si="17"/>
        <v>0</v>
      </c>
      <c r="AC30" s="23"/>
      <c r="AD30" s="23">
        <f t="shared" si="18"/>
        <v>0</v>
      </c>
      <c r="AE30" s="2"/>
      <c r="AF30" s="19" t="s">
        <v>28</v>
      </c>
      <c r="AG30" s="19"/>
      <c r="AH30" s="19"/>
      <c r="AI30" s="23"/>
      <c r="AJ30" s="27"/>
      <c r="AK30" s="23">
        <f t="shared" ref="AK30:AK32" si="21">AK$11*AI30</f>
        <v>0</v>
      </c>
      <c r="AL30" s="2"/>
      <c r="AM30" s="21"/>
      <c r="AN30" s="3"/>
      <c r="AO30" s="24"/>
      <c r="AP30" s="2"/>
      <c r="AR30" s="66">
        <f t="shared" si="11"/>
        <v>0</v>
      </c>
    </row>
    <row r="31" spans="1:44" ht="14.45" hidden="1" customHeight="1">
      <c r="A31" s="3" t="s">
        <v>29</v>
      </c>
      <c r="B31" s="3"/>
      <c r="C31" s="59" t="s">
        <v>47</v>
      </c>
      <c r="D31" s="56"/>
      <c r="E31" s="56"/>
      <c r="F31" s="56">
        <f t="shared" si="7"/>
        <v>0</v>
      </c>
      <c r="G31" s="57"/>
      <c r="H31" s="58"/>
      <c r="I31" s="59"/>
      <c r="J31" s="59" t="s">
        <v>29</v>
      </c>
      <c r="K31" s="59"/>
      <c r="L31" s="19"/>
      <c r="M31" s="124"/>
      <c r="N31" s="56"/>
      <c r="O31" s="56">
        <f t="shared" si="19"/>
        <v>0</v>
      </c>
      <c r="P31" s="59"/>
      <c r="Q31" s="60"/>
      <c r="R31" s="59"/>
      <c r="S31" s="60"/>
      <c r="T31" s="59"/>
      <c r="U31" s="59" t="s">
        <v>29</v>
      </c>
      <c r="V31" s="59"/>
      <c r="W31" s="59"/>
      <c r="X31" s="124">
        <f t="shared" si="13"/>
        <v>0</v>
      </c>
      <c r="Y31" s="56"/>
      <c r="Z31" s="56">
        <f t="shared" si="20"/>
        <v>0</v>
      </c>
      <c r="AA31" s="59"/>
      <c r="AB31" s="56">
        <f t="shared" si="17"/>
        <v>0</v>
      </c>
      <c r="AC31" s="56"/>
      <c r="AD31" s="56">
        <f t="shared" si="18"/>
        <v>0</v>
      </c>
      <c r="AE31" s="59"/>
      <c r="AF31" s="59" t="s">
        <v>29</v>
      </c>
      <c r="AG31" s="59"/>
      <c r="AH31" s="59"/>
      <c r="AI31" s="56">
        <v>0</v>
      </c>
      <c r="AJ31" s="56"/>
      <c r="AK31" s="56">
        <f t="shared" si="21"/>
        <v>0</v>
      </c>
      <c r="AL31" s="59"/>
      <c r="AM31" s="60">
        <f>AI31-D31</f>
        <v>0</v>
      </c>
      <c r="AN31" s="59"/>
      <c r="AO31" s="60">
        <f>AK31-F31</f>
        <v>0</v>
      </c>
      <c r="AP31" s="2"/>
      <c r="AQ31" s="66">
        <f t="shared" ref="AQ31:AQ38" si="22">S31+AD31+AO31</f>
        <v>0</v>
      </c>
      <c r="AR31" s="66">
        <f t="shared" si="11"/>
        <v>0</v>
      </c>
    </row>
    <row r="32" spans="1:44">
      <c r="A32" s="3" t="s">
        <v>30</v>
      </c>
      <c r="B32" s="3"/>
      <c r="C32" s="3"/>
      <c r="D32" s="21">
        <f>'12.2019 Actual'!D40-D33</f>
        <v>49676</v>
      </c>
      <c r="E32" s="22"/>
      <c r="F32" s="21">
        <f t="shared" si="7"/>
        <v>32607.326399999998</v>
      </c>
      <c r="G32" s="22"/>
      <c r="H32" s="17"/>
      <c r="I32" s="2"/>
      <c r="J32" s="19" t="s">
        <v>30</v>
      </c>
      <c r="K32" s="19"/>
      <c r="L32" s="19"/>
      <c r="M32" s="124">
        <f>'Monthly Authorized'!B32/1000</f>
        <v>411</v>
      </c>
      <c r="N32" s="27"/>
      <c r="O32" s="23">
        <f t="shared" si="19"/>
        <v>269.78039999999999</v>
      </c>
      <c r="P32" s="2"/>
      <c r="Q32" s="24">
        <f t="shared" ref="Q32:Q34" si="23">M32-D32</f>
        <v>-49265</v>
      </c>
      <c r="R32" s="3"/>
      <c r="S32" s="24">
        <f t="shared" si="12"/>
        <v>-32337.545999999998</v>
      </c>
      <c r="T32" s="2"/>
      <c r="U32" s="19" t="s">
        <v>30</v>
      </c>
      <c r="V32" s="19"/>
      <c r="W32" s="19"/>
      <c r="X32" s="124">
        <f t="shared" si="13"/>
        <v>411</v>
      </c>
      <c r="Y32" s="27"/>
      <c r="Z32" s="23">
        <f t="shared" si="20"/>
        <v>270.15030000000002</v>
      </c>
      <c r="AA32" s="2"/>
      <c r="AB32" s="23">
        <f t="shared" si="17"/>
        <v>0</v>
      </c>
      <c r="AC32" s="23"/>
      <c r="AD32" s="23">
        <f t="shared" si="18"/>
        <v>0.36990000000002965</v>
      </c>
      <c r="AE32" s="2"/>
      <c r="AF32" s="19" t="s">
        <v>30</v>
      </c>
      <c r="AG32" s="19"/>
      <c r="AH32" s="19"/>
      <c r="AI32" s="23"/>
      <c r="AJ32" s="27"/>
      <c r="AK32" s="23">
        <f t="shared" si="21"/>
        <v>0</v>
      </c>
      <c r="AL32" s="2"/>
      <c r="AM32" s="24"/>
      <c r="AN32" s="3"/>
      <c r="AO32" s="24"/>
      <c r="AP32" s="2"/>
      <c r="AQ32" s="66">
        <f t="shared" si="22"/>
        <v>-32337.176099999997</v>
      </c>
      <c r="AR32" s="66">
        <f t="shared" si="11"/>
        <v>-32337.176099999997</v>
      </c>
    </row>
    <row r="33" spans="1:44">
      <c r="A33" s="3" t="s">
        <v>31</v>
      </c>
      <c r="B33" s="3"/>
      <c r="C33" s="3"/>
      <c r="D33" s="162">
        <v>0</v>
      </c>
      <c r="E33" s="22"/>
      <c r="F33" s="23">
        <f>D33</f>
        <v>0</v>
      </c>
      <c r="G33" s="22"/>
      <c r="H33" s="33"/>
      <c r="I33" s="2"/>
      <c r="J33" s="19" t="s">
        <v>31</v>
      </c>
      <c r="K33" s="19"/>
      <c r="L33" s="34" t="s">
        <v>32</v>
      </c>
      <c r="M33" s="23">
        <f>ROUND('Monthly Authorized'!B38/1000,0)+ROUND((M55+K55)/1000,0)</f>
        <v>-2503</v>
      </c>
      <c r="N33" s="27"/>
      <c r="O33" s="23">
        <f>M33</f>
        <v>-2503</v>
      </c>
      <c r="P33" s="2"/>
      <c r="Q33" s="24">
        <f t="shared" si="23"/>
        <v>-2503</v>
      </c>
      <c r="R33" s="3"/>
      <c r="S33" s="24">
        <f t="shared" si="12"/>
        <v>-2503</v>
      </c>
      <c r="T33" s="2"/>
      <c r="U33" s="19" t="s">
        <v>31</v>
      </c>
      <c r="V33" s="19"/>
      <c r="W33" s="34" t="s">
        <v>193</v>
      </c>
      <c r="X33" s="150">
        <f>ROUND('Monthly Authorized'!B38/1000,0)+ROUND((M55)/1000,0)</f>
        <v>-1729</v>
      </c>
      <c r="Y33" s="27"/>
      <c r="Z33" s="23">
        <f>X33</f>
        <v>-1729</v>
      </c>
      <c r="AA33" s="2"/>
      <c r="AB33" s="23">
        <f t="shared" si="17"/>
        <v>774</v>
      </c>
      <c r="AC33" s="23"/>
      <c r="AD33" s="23">
        <f t="shared" si="18"/>
        <v>774</v>
      </c>
      <c r="AE33" s="2"/>
      <c r="AF33" s="19" t="s">
        <v>31</v>
      </c>
      <c r="AG33" s="19"/>
      <c r="AH33" s="34"/>
      <c r="AI33" s="23"/>
      <c r="AJ33" s="27"/>
      <c r="AK33" s="23">
        <f>AI33</f>
        <v>0</v>
      </c>
      <c r="AL33" s="2"/>
      <c r="AM33" s="24"/>
      <c r="AN33" s="3"/>
      <c r="AO33" s="24"/>
      <c r="AP33" s="2"/>
      <c r="AQ33" s="111">
        <f t="shared" si="22"/>
        <v>-1729</v>
      </c>
      <c r="AR33" s="66">
        <f>Z33+AK33-F33</f>
        <v>-1729</v>
      </c>
    </row>
    <row r="34" spans="1:44">
      <c r="A34" s="3" t="s">
        <v>33</v>
      </c>
      <c r="B34" s="3"/>
      <c r="C34" s="3"/>
      <c r="D34" s="23">
        <f>'12.2019 Actual'!D77</f>
        <v>17253</v>
      </c>
      <c r="E34" s="22"/>
      <c r="F34" s="21">
        <f>F$11*D34</f>
        <v>11324.869199999999</v>
      </c>
      <c r="G34" s="22"/>
      <c r="H34" s="17"/>
      <c r="I34" s="2"/>
      <c r="J34" s="19" t="s">
        <v>33</v>
      </c>
      <c r="K34" s="19"/>
      <c r="L34" s="19"/>
      <c r="M34" s="124">
        <f>'Monthly Authorized'!B28/1000</f>
        <v>17404.327000000001</v>
      </c>
      <c r="N34" s="27"/>
      <c r="O34" s="23">
        <f>O$11*M34</f>
        <v>11424.2002428</v>
      </c>
      <c r="P34" s="2"/>
      <c r="Q34" s="55">
        <f t="shared" si="23"/>
        <v>151.32700000000114</v>
      </c>
      <c r="R34" s="3"/>
      <c r="S34" s="24">
        <f t="shared" si="12"/>
        <v>99.331042800000432</v>
      </c>
      <c r="T34" s="2"/>
      <c r="U34" s="19" t="s">
        <v>33</v>
      </c>
      <c r="V34" s="19"/>
      <c r="W34" s="19"/>
      <c r="X34" s="124">
        <f>M34</f>
        <v>17404.327000000001</v>
      </c>
      <c r="Y34" s="27"/>
      <c r="Z34" s="23">
        <f>Z$11*X34</f>
        <v>11439.864137100001</v>
      </c>
      <c r="AA34" s="2"/>
      <c r="AB34" s="23">
        <f t="shared" si="17"/>
        <v>0</v>
      </c>
      <c r="AC34" s="23"/>
      <c r="AD34" s="23">
        <f>Z34-O34</f>
        <v>15.66389430000163</v>
      </c>
      <c r="AE34" s="2"/>
      <c r="AF34" s="19" t="s">
        <v>33</v>
      </c>
      <c r="AG34" s="19"/>
      <c r="AH34" s="19"/>
      <c r="AI34" s="23"/>
      <c r="AJ34" s="27"/>
      <c r="AK34" s="23">
        <f>AK$11*AI34</f>
        <v>0</v>
      </c>
      <c r="AL34" s="2"/>
      <c r="AM34" s="55"/>
      <c r="AN34" s="3"/>
      <c r="AO34" s="24"/>
      <c r="AP34" s="2"/>
      <c r="AQ34" s="66">
        <f>S34+AD34+AO34</f>
        <v>114.99493710000206</v>
      </c>
      <c r="AR34" s="66">
        <f t="shared" si="11"/>
        <v>114.99493710000206</v>
      </c>
    </row>
    <row r="35" spans="1:44" ht="18.600000000000001" hidden="1" customHeight="1">
      <c r="A35" s="3" t="s">
        <v>43</v>
      </c>
      <c r="B35" s="3"/>
      <c r="C35" s="59" t="s">
        <v>47</v>
      </c>
      <c r="D35" s="56"/>
      <c r="E35" s="56"/>
      <c r="F35" s="56">
        <f>F$11*D35</f>
        <v>0</v>
      </c>
      <c r="G35" s="57"/>
      <c r="H35" s="58"/>
      <c r="I35" s="59"/>
      <c r="J35" s="59"/>
      <c r="K35" s="59"/>
      <c r="L35" s="19"/>
      <c r="M35" s="23"/>
      <c r="N35" s="56"/>
      <c r="O35" s="56">
        <f>O$11*M35</f>
        <v>0</v>
      </c>
      <c r="P35" s="59"/>
      <c r="Q35" s="60"/>
      <c r="R35" s="59"/>
      <c r="S35" s="60"/>
      <c r="T35" s="59"/>
      <c r="U35" s="59" t="s">
        <v>43</v>
      </c>
      <c r="V35" s="59"/>
      <c r="W35" s="59"/>
      <c r="X35" s="56">
        <v>0</v>
      </c>
      <c r="Y35" s="56"/>
      <c r="Z35" s="56">
        <f>Z$11*X35</f>
        <v>0</v>
      </c>
      <c r="AA35" s="59"/>
      <c r="AB35" s="56">
        <f t="shared" si="17"/>
        <v>0</v>
      </c>
      <c r="AC35" s="56"/>
      <c r="AD35" s="56">
        <f t="shared" si="18"/>
        <v>0</v>
      </c>
      <c r="AE35" s="59"/>
      <c r="AF35" s="59"/>
      <c r="AG35" s="59"/>
      <c r="AH35" s="59"/>
      <c r="AI35" s="56">
        <v>0</v>
      </c>
      <c r="AJ35" s="56"/>
      <c r="AK35" s="56">
        <f t="shared" ref="AK35:AK37" si="24">AK$11*AI35</f>
        <v>0</v>
      </c>
      <c r="AL35" s="59"/>
      <c r="AM35" s="60">
        <f t="shared" ref="AM35:AM37" si="25">AI35-D35</f>
        <v>0</v>
      </c>
      <c r="AN35" s="59"/>
      <c r="AO35" s="60">
        <f t="shared" ref="AO35:AO37" si="26">AK35-F35</f>
        <v>0</v>
      </c>
      <c r="AP35" s="2"/>
      <c r="AQ35" s="66">
        <f t="shared" si="22"/>
        <v>0</v>
      </c>
      <c r="AR35" s="66">
        <f t="shared" si="11"/>
        <v>0</v>
      </c>
    </row>
    <row r="36" spans="1:44" ht="18.600000000000001" hidden="1" customHeight="1">
      <c r="A36" s="3" t="s">
        <v>45</v>
      </c>
      <c r="B36" s="3"/>
      <c r="C36" s="59" t="s">
        <v>47</v>
      </c>
      <c r="D36" s="56"/>
      <c r="E36" s="56"/>
      <c r="F36" s="56">
        <f t="shared" ref="F36:F37" si="27">F$11*D36</f>
        <v>0</v>
      </c>
      <c r="G36" s="57"/>
      <c r="H36" s="58"/>
      <c r="I36" s="59"/>
      <c r="J36" s="59"/>
      <c r="K36" s="59"/>
      <c r="L36" s="19"/>
      <c r="M36" s="23"/>
      <c r="N36" s="56"/>
      <c r="O36" s="56">
        <f>O$11*M36</f>
        <v>0</v>
      </c>
      <c r="P36" s="59"/>
      <c r="Q36" s="60"/>
      <c r="R36" s="59"/>
      <c r="S36" s="60"/>
      <c r="T36" s="59"/>
      <c r="U36" s="59" t="s">
        <v>45</v>
      </c>
      <c r="V36" s="59"/>
      <c r="W36" s="59"/>
      <c r="X36" s="56">
        <v>0</v>
      </c>
      <c r="Y36" s="56"/>
      <c r="Z36" s="56">
        <f>Z$11*X36</f>
        <v>0</v>
      </c>
      <c r="AA36" s="59"/>
      <c r="AB36" s="56">
        <f t="shared" si="17"/>
        <v>0</v>
      </c>
      <c r="AC36" s="56"/>
      <c r="AD36" s="56">
        <f t="shared" si="18"/>
        <v>0</v>
      </c>
      <c r="AE36" s="59"/>
      <c r="AF36" s="59"/>
      <c r="AG36" s="59"/>
      <c r="AH36" s="59"/>
      <c r="AI36" s="56">
        <v>0</v>
      </c>
      <c r="AJ36" s="56"/>
      <c r="AK36" s="56">
        <f t="shared" si="24"/>
        <v>0</v>
      </c>
      <c r="AL36" s="59"/>
      <c r="AM36" s="60">
        <f t="shared" si="25"/>
        <v>0</v>
      </c>
      <c r="AN36" s="59"/>
      <c r="AO36" s="60">
        <f t="shared" si="26"/>
        <v>0</v>
      </c>
      <c r="AP36" s="2"/>
      <c r="AQ36" s="66">
        <f t="shared" si="22"/>
        <v>0</v>
      </c>
      <c r="AR36" s="66">
        <f t="shared" si="11"/>
        <v>0</v>
      </c>
    </row>
    <row r="37" spans="1:44" ht="14.45" hidden="1" customHeight="1">
      <c r="A37" s="3" t="s">
        <v>44</v>
      </c>
      <c r="B37" s="3"/>
      <c r="C37" s="59" t="s">
        <v>47</v>
      </c>
      <c r="D37" s="56"/>
      <c r="E37" s="56"/>
      <c r="F37" s="56">
        <f t="shared" si="27"/>
        <v>0</v>
      </c>
      <c r="G37" s="57"/>
      <c r="H37" s="58"/>
      <c r="I37" s="59"/>
      <c r="J37" s="59"/>
      <c r="K37" s="59"/>
      <c r="L37" s="19"/>
      <c r="M37" s="23"/>
      <c r="N37" s="56"/>
      <c r="O37" s="56">
        <f>O$11*M37</f>
        <v>0</v>
      </c>
      <c r="P37" s="59"/>
      <c r="Q37" s="60"/>
      <c r="R37" s="59"/>
      <c r="S37" s="60"/>
      <c r="T37" s="59"/>
      <c r="U37" s="59" t="s">
        <v>44</v>
      </c>
      <c r="V37" s="59"/>
      <c r="W37" s="59"/>
      <c r="X37" s="56">
        <v>0</v>
      </c>
      <c r="Y37" s="56"/>
      <c r="Z37" s="56">
        <f>Z$11*X37</f>
        <v>0</v>
      </c>
      <c r="AA37" s="59"/>
      <c r="AB37" s="56">
        <f t="shared" si="17"/>
        <v>0</v>
      </c>
      <c r="AC37" s="56"/>
      <c r="AD37" s="56">
        <f t="shared" si="18"/>
        <v>0</v>
      </c>
      <c r="AE37" s="59"/>
      <c r="AF37" s="59"/>
      <c r="AG37" s="59"/>
      <c r="AH37" s="59"/>
      <c r="AI37" s="56">
        <v>0</v>
      </c>
      <c r="AJ37" s="56"/>
      <c r="AK37" s="56">
        <f t="shared" si="24"/>
        <v>0</v>
      </c>
      <c r="AL37" s="59"/>
      <c r="AM37" s="60">
        <f t="shared" si="25"/>
        <v>0</v>
      </c>
      <c r="AN37" s="59"/>
      <c r="AO37" s="60">
        <f t="shared" si="26"/>
        <v>0</v>
      </c>
      <c r="AP37" s="2"/>
      <c r="AQ37" s="66">
        <f t="shared" si="22"/>
        <v>0</v>
      </c>
      <c r="AR37" s="66">
        <f t="shared" si="11"/>
        <v>0</v>
      </c>
    </row>
    <row r="38" spans="1:44">
      <c r="A38" s="3" t="s">
        <v>34</v>
      </c>
      <c r="B38" s="3"/>
      <c r="C38" s="3"/>
      <c r="D38" s="35">
        <f>SUM(D24:D37)</f>
        <v>301254</v>
      </c>
      <c r="E38" s="22"/>
      <c r="F38" s="35">
        <f>SUM(F24:F37)</f>
        <v>197743.12559999997</v>
      </c>
      <c r="G38" s="22"/>
      <c r="H38" s="17"/>
      <c r="I38" s="2"/>
      <c r="J38" s="19" t="s">
        <v>34</v>
      </c>
      <c r="K38" s="19"/>
      <c r="L38" s="19"/>
      <c r="M38" s="36">
        <f>SUM(M24:M34)</f>
        <v>225648.603</v>
      </c>
      <c r="N38" s="27"/>
      <c r="O38" s="36">
        <f>SUM(O24:O37)</f>
        <v>147255.71220919996</v>
      </c>
      <c r="P38" s="2"/>
      <c r="Q38" s="35">
        <f>SUM(Q24:Q37)</f>
        <v>-75605.396999999997</v>
      </c>
      <c r="R38" s="3"/>
      <c r="S38" s="35">
        <f>SUM(S24:S37)</f>
        <v>-50487.413390800008</v>
      </c>
      <c r="T38" s="2"/>
      <c r="U38" s="19" t="s">
        <v>34</v>
      </c>
      <c r="V38" s="19"/>
      <c r="W38" s="19"/>
      <c r="X38" s="36">
        <f>SUM(X24:X37)</f>
        <v>226422.603</v>
      </c>
      <c r="Y38" s="27"/>
      <c r="Z38" s="36">
        <f>SUM(Z24:Z37)</f>
        <v>148235.0486519</v>
      </c>
      <c r="AA38" s="2"/>
      <c r="AB38" s="35">
        <f>SUM(AB24:AB37)</f>
        <v>774</v>
      </c>
      <c r="AC38" s="3"/>
      <c r="AD38" s="35">
        <f>SUM(AD24:AD37)</f>
        <v>979.33644270001639</v>
      </c>
      <c r="AE38" s="2"/>
      <c r="AF38" s="19" t="s">
        <v>34</v>
      </c>
      <c r="AG38" s="19"/>
      <c r="AH38" s="19"/>
      <c r="AI38" s="36">
        <f>SUM(AI24:AI37)</f>
        <v>0</v>
      </c>
      <c r="AJ38" s="27"/>
      <c r="AK38" s="36">
        <f>SUM(AK24:AK37)</f>
        <v>0</v>
      </c>
      <c r="AL38" s="2"/>
      <c r="AM38" s="35">
        <f>SUM(AM24:AM37)</f>
        <v>0</v>
      </c>
      <c r="AN38" s="3"/>
      <c r="AO38" s="35">
        <f>SUM(AO24:AO37)</f>
        <v>0</v>
      </c>
      <c r="AP38" s="2"/>
      <c r="AQ38" s="66">
        <f t="shared" si="22"/>
        <v>-49508.076948099988</v>
      </c>
      <c r="AR38" s="66">
        <f t="shared" si="11"/>
        <v>-49508.076948099973</v>
      </c>
    </row>
    <row r="39" spans="1:44">
      <c r="A39" s="3"/>
      <c r="B39" s="3"/>
      <c r="C39" s="3"/>
      <c r="D39" s="3"/>
      <c r="E39" s="3"/>
      <c r="F39" s="3"/>
      <c r="G39" s="9"/>
      <c r="H39" s="17"/>
      <c r="I39" s="2"/>
      <c r="J39" s="19"/>
      <c r="K39" s="19"/>
      <c r="L39" s="19"/>
      <c r="M39" s="19"/>
      <c r="N39" s="19"/>
      <c r="O39" s="19"/>
      <c r="P39" s="2"/>
      <c r="Q39" s="3"/>
      <c r="R39" s="3"/>
      <c r="S39" s="3"/>
      <c r="T39" s="2"/>
      <c r="U39" s="19"/>
      <c r="V39" s="19"/>
      <c r="W39" s="19"/>
      <c r="X39" s="19"/>
      <c r="Y39" s="19"/>
      <c r="Z39" s="19"/>
      <c r="AA39" s="2"/>
      <c r="AB39" s="3"/>
      <c r="AC39" s="3"/>
      <c r="AD39" s="3"/>
      <c r="AE39" s="2"/>
      <c r="AF39" s="19"/>
      <c r="AG39" s="19"/>
      <c r="AH39" s="19"/>
      <c r="AI39" s="19"/>
      <c r="AJ39" s="19"/>
      <c r="AK39" s="19"/>
      <c r="AL39" s="2"/>
      <c r="AM39" s="3"/>
      <c r="AN39" s="3"/>
      <c r="AO39" s="3"/>
      <c r="AP39" s="2"/>
    </row>
    <row r="40" spans="1:44" ht="17.45" customHeight="1">
      <c r="A40" s="3" t="s">
        <v>35</v>
      </c>
      <c r="B40" s="3"/>
      <c r="C40" s="3"/>
      <c r="D40" s="21">
        <f>D21-D38</f>
        <v>-146309.22350999998</v>
      </c>
      <c r="E40" s="21"/>
      <c r="F40" s="21">
        <f>F21-F38</f>
        <v>-95967.163511963969</v>
      </c>
      <c r="G40" s="22"/>
      <c r="H40" s="17"/>
      <c r="I40" s="2"/>
      <c r="J40" s="19" t="s">
        <v>35</v>
      </c>
      <c r="K40" s="19"/>
      <c r="L40" s="19"/>
      <c r="M40" s="23">
        <f>M21-M38</f>
        <v>-156395.26300000001</v>
      </c>
      <c r="N40" s="23"/>
      <c r="O40" s="23">
        <f>O21-O38</f>
        <v>-101797.81983319996</v>
      </c>
      <c r="P40" s="2"/>
      <c r="Q40" s="21">
        <f>Q21-Q38</f>
        <v>-10086.039489999996</v>
      </c>
      <c r="R40" s="3"/>
      <c r="S40" s="17">
        <f>S21-S38</f>
        <v>-5830.6563212359833</v>
      </c>
      <c r="T40" s="2"/>
      <c r="U40" s="19" t="s">
        <v>35</v>
      </c>
      <c r="V40" s="19"/>
      <c r="W40" s="19"/>
      <c r="X40" s="23">
        <f>X21-X38</f>
        <v>-157169.26300000001</v>
      </c>
      <c r="Y40" s="23"/>
      <c r="Z40" s="23">
        <f>Z21-Z38</f>
        <v>-102714.8282699</v>
      </c>
      <c r="AA40" s="2"/>
      <c r="AB40" s="21">
        <f>AB21-AB38</f>
        <v>-774</v>
      </c>
      <c r="AC40" s="3"/>
      <c r="AD40" s="17">
        <f>AD21-AD38</f>
        <v>-917.00843670001484</v>
      </c>
      <c r="AE40" s="2"/>
      <c r="AF40" s="19" t="s">
        <v>35</v>
      </c>
      <c r="AG40" s="19"/>
      <c r="AH40" s="19"/>
      <c r="AI40" s="23">
        <f>AI21-AI38</f>
        <v>0</v>
      </c>
      <c r="AJ40" s="23"/>
      <c r="AK40" s="23">
        <f>AK21-AK38</f>
        <v>0</v>
      </c>
      <c r="AL40" s="2"/>
      <c r="AM40" s="21">
        <f>AM21-AM38</f>
        <v>0</v>
      </c>
      <c r="AN40" s="3"/>
      <c r="AO40" s="17">
        <f>AO21-AO38</f>
        <v>0</v>
      </c>
      <c r="AP40" s="2"/>
      <c r="AQ40" s="66">
        <f>S40+AD40+AO40</f>
        <v>-6747.6647579359978</v>
      </c>
      <c r="AR40" s="66">
        <f t="shared" si="11"/>
        <v>-6747.6647579360288</v>
      </c>
    </row>
    <row r="41" spans="1:44">
      <c r="A41" s="3"/>
      <c r="B41" s="3"/>
      <c r="C41" s="3"/>
      <c r="D41" s="3"/>
      <c r="E41" s="21"/>
      <c r="F41" s="21"/>
      <c r="G41" s="21"/>
      <c r="H41" s="3"/>
      <c r="I41" s="2"/>
      <c r="J41" s="3"/>
      <c r="K41" s="3"/>
      <c r="L41" s="19"/>
      <c r="M41" s="19"/>
      <c r="N41" s="21"/>
      <c r="O41" s="21"/>
      <c r="P41" s="2"/>
      <c r="Q41" s="3"/>
      <c r="R41" s="3"/>
      <c r="S41" s="17"/>
      <c r="T41" s="2"/>
      <c r="U41" s="3"/>
      <c r="V41" s="3"/>
      <c r="W41" s="3"/>
      <c r="X41" s="21"/>
      <c r="Y41" s="21"/>
      <c r="Z41" s="21"/>
      <c r="AA41" s="2"/>
      <c r="AB41" s="3"/>
      <c r="AC41" s="3"/>
      <c r="AD41" s="17"/>
      <c r="AE41" s="2"/>
      <c r="AF41" s="3"/>
      <c r="AG41" s="3"/>
      <c r="AH41" s="3"/>
      <c r="AI41" s="3"/>
      <c r="AJ41" s="21"/>
      <c r="AK41" s="21"/>
      <c r="AL41" s="2"/>
      <c r="AM41" s="3"/>
      <c r="AN41" s="3"/>
      <c r="AO41" s="17"/>
      <c r="AP41" s="2"/>
    </row>
    <row r="42" spans="1:44">
      <c r="A42" s="3" t="s">
        <v>191</v>
      </c>
      <c r="B42" s="3"/>
      <c r="C42" s="37">
        <v>0.21</v>
      </c>
      <c r="D42" s="3"/>
      <c r="E42" s="18"/>
      <c r="F42" s="29">
        <f>C42*F40</f>
        <v>-20153.104337512432</v>
      </c>
      <c r="G42" s="17"/>
      <c r="H42" s="3"/>
      <c r="I42" s="2"/>
      <c r="J42" s="3" t="s">
        <v>36</v>
      </c>
      <c r="K42" s="3"/>
      <c r="L42" s="166">
        <v>0.21</v>
      </c>
      <c r="M42" s="19"/>
      <c r="N42" s="18"/>
      <c r="O42" s="29">
        <f>L42*O40</f>
        <v>-21377.54216497199</v>
      </c>
      <c r="P42" s="2"/>
      <c r="Q42" s="3"/>
      <c r="R42" s="3"/>
      <c r="S42" s="38">
        <f>L42*S40</f>
        <v>-1224.4378274595565</v>
      </c>
      <c r="T42" s="2"/>
      <c r="U42" s="3" t="s">
        <v>36</v>
      </c>
      <c r="V42" s="3"/>
      <c r="W42" s="37">
        <v>0.21</v>
      </c>
      <c r="X42" s="3"/>
      <c r="Y42" s="18"/>
      <c r="Z42" s="29">
        <f>W42*Z40</f>
        <v>-21570.113936678998</v>
      </c>
      <c r="AA42" s="2"/>
      <c r="AB42" s="3"/>
      <c r="AC42" s="3"/>
      <c r="AD42" s="38">
        <f>W42*AD40</f>
        <v>-192.57177170700311</v>
      </c>
      <c r="AE42" s="2"/>
      <c r="AF42" s="3" t="s">
        <v>36</v>
      </c>
      <c r="AG42" s="3"/>
      <c r="AH42" s="37">
        <v>0.35</v>
      </c>
      <c r="AI42" s="3"/>
      <c r="AJ42" s="18"/>
      <c r="AK42" s="29">
        <f>AH42*AK40</f>
        <v>0</v>
      </c>
      <c r="AL42" s="2"/>
      <c r="AM42" s="3"/>
      <c r="AN42" s="3"/>
      <c r="AO42" s="38">
        <f>AH42*AO40</f>
        <v>0</v>
      </c>
      <c r="AP42" s="2"/>
    </row>
    <row r="43" spans="1:44">
      <c r="A43" s="3"/>
      <c r="B43" s="3"/>
      <c r="C43" s="3"/>
      <c r="D43" s="3"/>
      <c r="E43" s="18"/>
      <c r="F43" s="17"/>
      <c r="G43" s="17"/>
      <c r="H43" s="3"/>
      <c r="I43" s="2"/>
      <c r="J43" s="3"/>
      <c r="K43" s="3"/>
      <c r="L43" s="19"/>
      <c r="M43" s="19"/>
      <c r="N43" s="18"/>
      <c r="O43" s="17"/>
      <c r="P43" s="2"/>
      <c r="Q43" s="3"/>
      <c r="R43" s="3"/>
      <c r="S43" s="17"/>
      <c r="T43" s="2"/>
      <c r="U43" s="3"/>
      <c r="V43" s="3"/>
      <c r="W43" s="3"/>
      <c r="X43" s="139"/>
      <c r="Y43" s="18"/>
      <c r="Z43" s="17"/>
      <c r="AA43" s="2"/>
      <c r="AB43" s="3"/>
      <c r="AC43" s="3"/>
      <c r="AD43" s="17"/>
      <c r="AE43" s="2"/>
      <c r="AF43" s="3"/>
      <c r="AG43" s="3"/>
      <c r="AH43" s="3"/>
      <c r="AI43" s="3"/>
      <c r="AJ43" s="18"/>
      <c r="AK43" s="17"/>
      <c r="AL43" s="2"/>
      <c r="AM43" s="3"/>
      <c r="AN43" s="3"/>
      <c r="AO43" s="17"/>
      <c r="AP43" s="2"/>
    </row>
    <row r="44" spans="1:44">
      <c r="A44" s="39" t="s">
        <v>37</v>
      </c>
      <c r="B44" s="3"/>
      <c r="C44" s="3"/>
      <c r="D44" s="3"/>
      <c r="E44" s="21"/>
      <c r="F44" s="17">
        <f>F40-F42</f>
        <v>-75814.05917445154</v>
      </c>
      <c r="G44" s="21"/>
      <c r="H44" s="3"/>
      <c r="I44" s="2"/>
      <c r="J44" s="39" t="s">
        <v>37</v>
      </c>
      <c r="K44" s="3"/>
      <c r="L44" s="3"/>
      <c r="M44" s="3"/>
      <c r="N44" s="21"/>
      <c r="O44" s="17">
        <f>O40-O42</f>
        <v>-80420.277668227965</v>
      </c>
      <c r="P44" s="2"/>
      <c r="Q44" s="3"/>
      <c r="R44" s="3"/>
      <c r="S44" s="40">
        <f>S40-S42</f>
        <v>-4606.2184937764268</v>
      </c>
      <c r="T44" s="2"/>
      <c r="U44" s="39" t="s">
        <v>37</v>
      </c>
      <c r="V44" s="3"/>
      <c r="W44" s="3"/>
      <c r="X44" s="3"/>
      <c r="Y44" s="21"/>
      <c r="Z44" s="17">
        <f>Z40-Z42</f>
        <v>-81144.714333220996</v>
      </c>
      <c r="AA44" s="2"/>
      <c r="AB44" s="3"/>
      <c r="AC44" s="3"/>
      <c r="AD44" s="40">
        <f>AD40-AD42</f>
        <v>-724.43666499301173</v>
      </c>
      <c r="AE44" s="2"/>
      <c r="AF44" s="39" t="s">
        <v>37</v>
      </c>
      <c r="AG44" s="3"/>
      <c r="AH44" s="3"/>
      <c r="AI44" s="3"/>
      <c r="AJ44" s="21"/>
      <c r="AK44" s="17">
        <f>AK40-AK42</f>
        <v>0</v>
      </c>
      <c r="AL44" s="2"/>
      <c r="AM44" s="3"/>
      <c r="AN44" s="3"/>
      <c r="AO44" s="40">
        <f>AO40-AO42</f>
        <v>0</v>
      </c>
      <c r="AP44" s="2"/>
      <c r="AQ44" s="66">
        <f>S44+AD44+AO44</f>
        <v>-5330.6551587694385</v>
      </c>
      <c r="AR44" s="66">
        <f t="shared" ref="AR44" si="28">Z44+AK44-F44</f>
        <v>-5330.6551587694557</v>
      </c>
    </row>
    <row r="45" spans="1:44" ht="6.6" customHeight="1">
      <c r="A45" s="3"/>
      <c r="B45" s="3"/>
      <c r="C45" s="3"/>
      <c r="D45" s="3"/>
      <c r="E45" s="21"/>
      <c r="F45" s="21"/>
      <c r="G45" s="21"/>
      <c r="H45" s="3"/>
      <c r="I45" s="3"/>
      <c r="J45" s="3"/>
      <c r="K45" s="3"/>
      <c r="L45" s="3"/>
      <c r="M45" s="3"/>
      <c r="N45" s="21"/>
      <c r="O45" s="21"/>
      <c r="P45" s="3"/>
      <c r="Q45" s="3"/>
      <c r="R45" s="3"/>
      <c r="S45" s="21"/>
      <c r="U45" s="3"/>
      <c r="V45" s="3"/>
      <c r="W45" s="3"/>
      <c r="X45" s="3"/>
      <c r="Y45" s="21"/>
      <c r="Z45" s="21"/>
      <c r="AA45" s="3"/>
      <c r="AB45" s="3"/>
      <c r="AC45" s="3"/>
      <c r="AD45" s="21"/>
      <c r="AE45" s="21"/>
      <c r="AF45" s="3"/>
      <c r="AG45" s="3"/>
      <c r="AH45" s="3"/>
      <c r="AI45" s="3"/>
      <c r="AJ45" s="21"/>
      <c r="AK45" s="21"/>
      <c r="AL45" s="3"/>
      <c r="AM45" s="3"/>
      <c r="AN45" s="3"/>
      <c r="AO45" s="21"/>
    </row>
    <row r="46" spans="1:44" hidden="1">
      <c r="A46" s="39" t="s">
        <v>38</v>
      </c>
      <c r="B46" s="3"/>
      <c r="C46" s="3"/>
      <c r="D46" s="3"/>
      <c r="E46" s="3"/>
      <c r="F46" s="3"/>
      <c r="G46" s="3"/>
      <c r="H46" s="3"/>
      <c r="I46" s="3"/>
      <c r="J46" s="41"/>
      <c r="K46" s="3"/>
      <c r="L46" s="3"/>
      <c r="M46" s="3"/>
      <c r="N46" s="3"/>
      <c r="O46" s="3"/>
      <c r="P46" s="3"/>
      <c r="Q46" s="3"/>
      <c r="R46" s="3"/>
      <c r="S46" s="42">
        <f>S44/-0.620392</f>
        <v>7424.6903470328862</v>
      </c>
      <c r="U46" s="39" t="s">
        <v>38</v>
      </c>
      <c r="V46" s="3"/>
      <c r="W46" s="3"/>
      <c r="X46" s="3"/>
      <c r="Y46" s="3"/>
      <c r="Z46" s="3"/>
      <c r="AA46" s="3"/>
      <c r="AB46" s="3"/>
      <c r="AC46" s="3"/>
      <c r="AD46" s="42">
        <f>AD44/-0.620362</f>
        <v>1167.764410123463</v>
      </c>
      <c r="AE46" s="42"/>
      <c r="AF46" s="41"/>
      <c r="AG46" s="3"/>
      <c r="AH46" s="3"/>
      <c r="AI46" s="3"/>
      <c r="AJ46" s="3"/>
      <c r="AK46" s="3"/>
      <c r="AL46" s="3"/>
      <c r="AM46" s="3"/>
      <c r="AN46" s="3"/>
      <c r="AO46" s="42">
        <f>AO44/-0.61941</f>
        <v>0</v>
      </c>
    </row>
    <row r="47" spans="1:44">
      <c r="A47" s="39" t="s">
        <v>49</v>
      </c>
      <c r="B47" s="3"/>
      <c r="C47" s="3"/>
      <c r="D47" s="3"/>
      <c r="E47" s="3"/>
      <c r="F47" s="3"/>
      <c r="G47" s="3"/>
      <c r="H47" s="3"/>
      <c r="I47" s="3"/>
      <c r="J47" s="41"/>
      <c r="K47" s="3" t="s">
        <v>136</v>
      </c>
      <c r="L47" s="3"/>
      <c r="M47" s="3"/>
      <c r="N47" s="3"/>
      <c r="O47" s="145">
        <f>-O40/K51*1000</f>
        <v>18.080942160384936</v>
      </c>
      <c r="P47" s="3"/>
      <c r="Q47" s="3"/>
      <c r="R47" s="3"/>
      <c r="S47" s="42"/>
      <c r="U47" s="39" t="s">
        <v>200</v>
      </c>
      <c r="V47" s="3"/>
      <c r="W47" s="3"/>
      <c r="X47" s="3"/>
      <c r="Y47" s="3"/>
      <c r="Z47" s="62">
        <f>-Z40/M51*1000</f>
        <v>18.106318681242939</v>
      </c>
      <c r="AA47" s="3"/>
      <c r="AB47" s="3"/>
      <c r="AC47" s="3"/>
      <c r="AD47" s="42"/>
      <c r="AE47" s="42"/>
      <c r="AF47" s="41"/>
      <c r="AG47" s="3"/>
      <c r="AH47" s="3"/>
      <c r="AI47" s="3"/>
      <c r="AJ47" s="3"/>
      <c r="AK47" s="3"/>
      <c r="AL47" s="3"/>
      <c r="AM47" s="3"/>
      <c r="AN47" s="3"/>
      <c r="AO47" s="42"/>
      <c r="AQ47" s="136"/>
    </row>
    <row r="48" spans="1:44" ht="9.6" customHeight="1">
      <c r="A48" s="43"/>
      <c r="B48" s="19"/>
      <c r="C48" s="19"/>
      <c r="D48" s="19"/>
      <c r="E48" s="19"/>
      <c r="F48" s="19"/>
      <c r="G48" s="19"/>
      <c r="H48" s="19"/>
      <c r="I48" s="19"/>
      <c r="J48" s="44"/>
      <c r="K48" s="19"/>
      <c r="L48" s="19"/>
      <c r="M48" s="19"/>
      <c r="N48" s="19"/>
      <c r="O48" s="19"/>
      <c r="P48" s="19"/>
      <c r="Q48" s="19"/>
      <c r="R48" s="19"/>
      <c r="S48" s="53"/>
    </row>
    <row r="49" spans="1:39">
      <c r="A49" s="34" t="s">
        <v>231</v>
      </c>
      <c r="B49" s="19"/>
      <c r="C49" s="19"/>
      <c r="D49" s="23"/>
      <c r="E49" s="27"/>
      <c r="F49" s="23"/>
      <c r="G49" s="27"/>
      <c r="H49" s="33"/>
      <c r="I49" s="19"/>
      <c r="J49" s="19"/>
      <c r="K49" s="19"/>
      <c r="L49" s="19"/>
      <c r="M49" s="23"/>
      <c r="N49" s="27"/>
      <c r="O49" s="23"/>
      <c r="P49" s="19"/>
      <c r="Q49" s="23"/>
      <c r="R49" s="19"/>
      <c r="S49" s="23"/>
      <c r="U49" s="137"/>
    </row>
    <row r="50" spans="1:39">
      <c r="A50" s="242" t="s">
        <v>192</v>
      </c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U50" t="s">
        <v>197</v>
      </c>
      <c r="AD50" s="146">
        <f>-K55/1000</f>
        <v>774.29304999999988</v>
      </c>
      <c r="AE50" s="149"/>
      <c r="AF50" s="149"/>
      <c r="AG50" s="149"/>
      <c r="AH50" s="149"/>
      <c r="AI50" s="149"/>
      <c r="AJ50" s="149"/>
      <c r="AK50" s="149"/>
      <c r="AL50" s="149"/>
      <c r="AM50" s="149"/>
    </row>
    <row r="51" spans="1:39">
      <c r="A51" s="19"/>
      <c r="B51" s="19"/>
      <c r="C51" s="19"/>
      <c r="D51" s="19"/>
      <c r="E51" s="27"/>
      <c r="F51" s="19"/>
      <c r="G51" s="19"/>
      <c r="H51" s="98" t="s">
        <v>224</v>
      </c>
      <c r="I51" s="19"/>
      <c r="K51" s="32">
        <f>K52+K53</f>
        <v>5630117</v>
      </c>
      <c r="L51" s="100" t="s">
        <v>39</v>
      </c>
      <c r="M51" s="143">
        <v>5672872</v>
      </c>
      <c r="N51" s="27"/>
      <c r="O51" s="125" t="s">
        <v>221</v>
      </c>
      <c r="P51" s="19"/>
      <c r="Q51" s="19"/>
      <c r="R51" s="19"/>
      <c r="S51" s="23"/>
      <c r="U51" t="s">
        <v>198</v>
      </c>
      <c r="AD51" s="146">
        <f>-AD40-AD50</f>
        <v>142.71538670001496</v>
      </c>
    </row>
    <row r="52" spans="1:39">
      <c r="A52" s="19"/>
      <c r="B52" s="19"/>
      <c r="C52" s="19"/>
      <c r="D52" s="19"/>
      <c r="E52" s="19"/>
      <c r="F52" s="19"/>
      <c r="G52" s="19"/>
      <c r="H52" s="98" t="s">
        <v>216</v>
      </c>
      <c r="I52" s="19"/>
      <c r="K52" s="32">
        <f>M51</f>
        <v>5672872</v>
      </c>
      <c r="L52" s="100" t="s">
        <v>39</v>
      </c>
      <c r="M52" s="32">
        <v>5658613</v>
      </c>
      <c r="N52" s="19"/>
      <c r="O52" s="19" t="s">
        <v>222</v>
      </c>
      <c r="P52" s="19"/>
      <c r="Q52" s="19"/>
      <c r="R52" s="19"/>
      <c r="S52" s="19"/>
      <c r="U52" t="s">
        <v>199</v>
      </c>
      <c r="AD52" s="147">
        <f>AD50+AD51</f>
        <v>917.00843670001484</v>
      </c>
    </row>
    <row r="53" spans="1:39">
      <c r="A53" s="3"/>
      <c r="B53" s="3"/>
      <c r="C53" s="3"/>
      <c r="D53" s="3"/>
      <c r="E53" s="3"/>
      <c r="F53" s="3"/>
      <c r="G53" s="3"/>
      <c r="H53" s="99" t="s">
        <v>139</v>
      </c>
      <c r="I53" s="3"/>
      <c r="K53" s="165">
        <v>-42755</v>
      </c>
      <c r="L53" s="97" t="s">
        <v>39</v>
      </c>
      <c r="M53" s="45">
        <f>M51-M52</f>
        <v>14259</v>
      </c>
      <c r="N53" s="3"/>
      <c r="O53" s="3" t="s">
        <v>40</v>
      </c>
      <c r="P53" s="3"/>
      <c r="Q53" s="3"/>
      <c r="R53" s="3"/>
      <c r="S53" s="3"/>
      <c r="AD53" s="148"/>
    </row>
    <row r="54" spans="1:39">
      <c r="A54" s="3"/>
      <c r="B54" s="3"/>
      <c r="C54" s="3"/>
      <c r="D54" s="3"/>
      <c r="E54" s="3"/>
      <c r="F54" s="3"/>
      <c r="G54" s="3"/>
      <c r="H54" s="99" t="s">
        <v>223</v>
      </c>
      <c r="I54" s="3"/>
      <c r="K54" s="46">
        <v>18.11</v>
      </c>
      <c r="L54" s="101" t="s">
        <v>140</v>
      </c>
      <c r="M54" s="46">
        <f>'Monthly Authorized'!B51</f>
        <v>18.106350137374651</v>
      </c>
      <c r="N54" s="3"/>
      <c r="O54" s="3" t="s">
        <v>223</v>
      </c>
      <c r="P54" s="47"/>
      <c r="Q54" s="3"/>
      <c r="R54" s="3"/>
      <c r="S54" s="3"/>
      <c r="U54" s="3"/>
      <c r="V54" s="99"/>
      <c r="W54" s="3"/>
      <c r="X54" s="46"/>
      <c r="Y54" s="101"/>
      <c r="Z54" s="46"/>
      <c r="AB54" s="3"/>
    </row>
    <row r="55" spans="1:39">
      <c r="A55" s="3"/>
      <c r="B55" s="3"/>
      <c r="C55" s="3"/>
      <c r="D55" s="3"/>
      <c r="E55" s="3"/>
      <c r="F55" s="3"/>
      <c r="G55" s="3"/>
      <c r="H55" s="99" t="s">
        <v>138</v>
      </c>
      <c r="I55" s="3"/>
      <c r="K55" s="48">
        <f>K53*K54</f>
        <v>-774293.04999999993</v>
      </c>
      <c r="L55" s="3"/>
      <c r="M55" s="48">
        <f>M53*M54</f>
        <v>258178.44660882515</v>
      </c>
      <c r="N55" s="3"/>
      <c r="O55" s="3" t="s">
        <v>41</v>
      </c>
      <c r="P55" s="3"/>
      <c r="Q55" s="3"/>
      <c r="R55" s="3"/>
      <c r="S55" s="3"/>
      <c r="U55" s="3"/>
      <c r="V55" s="99"/>
      <c r="W55" s="3"/>
      <c r="X55" s="48"/>
      <c r="Y55" s="3"/>
      <c r="Z55" s="48"/>
      <c r="AB55" s="3"/>
    </row>
    <row r="57" spans="1:39">
      <c r="G57" s="163" t="s">
        <v>225</v>
      </c>
      <c r="H57" s="163"/>
      <c r="I57" s="163"/>
      <c r="J57" s="163"/>
      <c r="K57" s="164">
        <f>K55/K53</f>
        <v>18.11</v>
      </c>
    </row>
  </sheetData>
  <mergeCells count="17">
    <mergeCell ref="A6:H6"/>
    <mergeCell ref="J6:O6"/>
    <mergeCell ref="A50:S50"/>
    <mergeCell ref="U6:Z6"/>
    <mergeCell ref="K7:O7"/>
    <mergeCell ref="U7:Z7"/>
    <mergeCell ref="AG5:AK5"/>
    <mergeCell ref="AG2:AK3"/>
    <mergeCell ref="AG7:AK7"/>
    <mergeCell ref="K1:O1"/>
    <mergeCell ref="K2:O2"/>
    <mergeCell ref="AG1:AK1"/>
    <mergeCell ref="AF6:AK6"/>
    <mergeCell ref="U2:Z2"/>
    <mergeCell ref="U1:Z1"/>
    <mergeCell ref="K3:O5"/>
    <mergeCell ref="U3:Z5"/>
  </mergeCells>
  <printOptions horizontalCentered="1"/>
  <pageMargins left="0.7" right="0.7" top="0.65" bottom="0.5" header="0.3" footer="0.3"/>
  <pageSetup scale="75" orientation="landscape" r:id="rId1"/>
  <headerFooter scaleWithDoc="0">
    <oddFooter>&amp;C&amp;F / &amp;A&amp;RPage 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0606525-DDDA-4C82-BAC0-02479600263D}"/>
</file>

<file path=customXml/itemProps2.xml><?xml version="1.0" encoding="utf-8"?>
<ds:datastoreItem xmlns:ds="http://schemas.openxmlformats.org/officeDocument/2006/customXml" ds:itemID="{7373B630-7F5F-4505-9802-5CB15932C04F}"/>
</file>

<file path=customXml/itemProps3.xml><?xml version="1.0" encoding="utf-8"?>
<ds:datastoreItem xmlns:ds="http://schemas.openxmlformats.org/officeDocument/2006/customXml" ds:itemID="{319D2B88-15B4-475D-A14B-B983A92435AB}"/>
</file>

<file path=customXml/itemProps4.xml><?xml version="1.0" encoding="utf-8"?>
<ds:datastoreItem xmlns:ds="http://schemas.openxmlformats.org/officeDocument/2006/customXml" ds:itemID="{B7EA2F6D-B2D4-4A26-9C55-F601572239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PF Power Supply Proforma</vt:lpstr>
      <vt:lpstr>Monthly Authorized</vt:lpstr>
      <vt:lpstr>12.2019 Actual</vt:lpstr>
      <vt:lpstr>PF Power Supply 2.18 CBR</vt:lpstr>
      <vt:lpstr>'12.2019 Actual'!Print_Area</vt:lpstr>
      <vt:lpstr>'Monthly Authorized'!Print_Area</vt:lpstr>
      <vt:lpstr>'PF Power Supply 2.18 CBR'!Print_Area</vt:lpstr>
      <vt:lpstr>'PF Power Supply Proforma'!Print_Area</vt:lpstr>
      <vt:lpstr>'12.2019 Actual'!Print_Titles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Brandon, Annette</cp:lastModifiedBy>
  <cp:lastPrinted>2019-03-12T18:15:05Z</cp:lastPrinted>
  <dcterms:created xsi:type="dcterms:W3CDTF">2017-02-02T18:22:39Z</dcterms:created>
  <dcterms:modified xsi:type="dcterms:W3CDTF">2020-06-29T16:33:42Z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