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styles.xml" ContentType="application/vnd.openxmlformats-officedocument.spreadsheetml.styles+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tables/table2.xml" ContentType="application/vnd.openxmlformats-officedocument.spreadsheetml.table+xml"/>
  <Override PartName="/xl/tables/table1.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esktop 2019 GRC\BKG Backup\"/>
    </mc:Choice>
  </mc:AlternateContent>
  <bookViews>
    <workbookView xWindow="0" yWindow="0" windowWidth="25200" windowHeight="11850" tabRatio="814"/>
  </bookViews>
  <sheets>
    <sheet name="Growth Stats NG EIA US" sheetId="9" r:id="rId1"/>
    <sheet name="Growth Stats ELEC EIA US" sheetId="10" r:id="rId2"/>
    <sheet name="Gas &amp; Elec Damages" sheetId="4" r:id="rId3"/>
    <sheet name="Cable_Repl_Hist Outages" sheetId="11" r:id="rId4"/>
    <sheet name="PSE Growth Stats Gas County" sheetId="12" r:id="rId5"/>
    <sheet name="Public Improvement Projects" sheetId="13" r:id="rId6"/>
    <sheet name="PSE Growth Stats Elec County" sheetId="8" r:id="rId7"/>
    <sheet name="IWM Ops Per Worker Per Day" sheetId="14" r:id="rId8"/>
    <sheet name="Cust Satisfaction Survey" sheetId="3" r:id="rId9"/>
    <sheet name="20 yr Model - Truss comparison" sheetId="15" r:id="rId10"/>
    <sheet name="DA circuits enabled" sheetId="2" r:id="rId11"/>
    <sheet name="DA Event Tracking Overview" sheetId="16" r:id="rId12"/>
    <sheet name="DA 2018 Operations" sheetId="6" r:id="rId13"/>
    <sheet name="DA 2019 Operations" sheetId="7" r:id="rId14"/>
  </sheets>
  <externalReferences>
    <externalReference r:id="rId15"/>
  </externalReferences>
  <definedNames>
    <definedName name="_xlnm._FilterDatabase" localSheetId="10" hidden="1">'DA circuits enabled'!$B$2:$C$55</definedName>
    <definedName name="_xlnm._FilterDatabase" localSheetId="5" hidden="1">'Public Improvement Projects'!$A$4:$B$17</definedName>
    <definedName name="GasData">#REF!</definedName>
    <definedName name="_xlnm.Print_Area" localSheetId="8">'Cust Satisfaction Survey'!$A$2:$H$35</definedName>
    <definedName name="_xlnm.Print_Area" localSheetId="2">'Gas &amp; Elec Damages'!$A$1:$G$19</definedName>
    <definedName name="_xlnm.Print_Area" localSheetId="6">'PSE Growth Stats Elec County'!$A$1:$AH$64</definedName>
    <definedName name="_xlnm.Print_Titles" localSheetId="1">'Growth Stats ELEC EIA US'!$1:$1</definedName>
    <definedName name="SAPBEXhrIndnt" hidden="1">"Wide"</definedName>
    <definedName name="SAPsysID" hidden="1">"708C5W7SBKP804JT78WJ0JNKI"</definedName>
    <definedName name="SAPwbID" hidden="1">"ARS"</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 i="16" l="1"/>
  <c r="N3" i="16"/>
  <c r="M3" i="16"/>
  <c r="L3" i="16"/>
  <c r="K3" i="16"/>
  <c r="J3" i="16"/>
  <c r="I3" i="16"/>
  <c r="G3" i="16"/>
  <c r="E3" i="16"/>
  <c r="C3" i="16"/>
  <c r="L2" i="16"/>
  <c r="K2" i="16"/>
  <c r="J2" i="16"/>
  <c r="I2" i="16"/>
  <c r="G2" i="16"/>
  <c r="E2" i="16"/>
  <c r="C2" i="16"/>
  <c r="B3" i="16"/>
  <c r="B2" i="16"/>
  <c r="L5" i="16" l="1"/>
  <c r="K5" i="16"/>
  <c r="J5" i="16"/>
  <c r="I5" i="16"/>
  <c r="G5" i="16"/>
  <c r="E5" i="16"/>
  <c r="H2" i="16"/>
  <c r="F3" i="16"/>
  <c r="H3" i="16"/>
  <c r="D3" i="16"/>
  <c r="D2" i="16"/>
  <c r="F2" i="16"/>
  <c r="B5" i="16"/>
  <c r="H5" i="16" s="1"/>
  <c r="C5" i="16"/>
  <c r="F5" i="16" l="1"/>
  <c r="D5" i="16"/>
  <c r="C23" i="15" l="1"/>
  <c r="C18" i="15"/>
  <c r="C25" i="15" s="1"/>
  <c r="E10" i="15"/>
  <c r="D10" i="15"/>
  <c r="E9" i="15"/>
  <c r="D9" i="15"/>
  <c r="E5" i="15"/>
  <c r="D5" i="15"/>
  <c r="D11" i="14" l="1"/>
  <c r="C9" i="14"/>
  <c r="D9" i="14" s="1"/>
  <c r="B9" i="14"/>
  <c r="D8" i="14"/>
  <c r="D7" i="14"/>
  <c r="D6" i="14"/>
  <c r="D5" i="14"/>
  <c r="D4" i="14"/>
  <c r="D3" i="14"/>
  <c r="D2" i="14"/>
  <c r="D12" i="14" l="1"/>
  <c r="AC12" i="13"/>
  <c r="AA17" i="13"/>
  <c r="Z17" i="13"/>
  <c r="Y17" i="13"/>
  <c r="X17" i="13"/>
  <c r="W17" i="13"/>
  <c r="V17" i="13"/>
  <c r="U17" i="13"/>
  <c r="T17" i="13"/>
  <c r="S17" i="13"/>
  <c r="R17" i="13"/>
  <c r="Q17" i="13"/>
  <c r="P17" i="13"/>
  <c r="N17" i="13"/>
  <c r="M17" i="13"/>
  <c r="L17" i="13"/>
  <c r="K17" i="13"/>
  <c r="J17" i="13"/>
  <c r="I17" i="13"/>
  <c r="H17" i="13"/>
  <c r="G17" i="13"/>
  <c r="F17" i="13"/>
  <c r="E17" i="13"/>
  <c r="D17" i="13"/>
  <c r="C17" i="13"/>
  <c r="AB16" i="13"/>
  <c r="O16" i="13"/>
  <c r="AB15" i="13"/>
  <c r="O15" i="13"/>
  <c r="AC15" i="13" s="1"/>
  <c r="AB14" i="13"/>
  <c r="O14" i="13"/>
  <c r="AC14" i="13" s="1"/>
  <c r="AB13" i="13"/>
  <c r="AB17" i="13" s="1"/>
  <c r="O13" i="13"/>
  <c r="AA12" i="13"/>
  <c r="Z12" i="13"/>
  <c r="Y12" i="13"/>
  <c r="X12" i="13"/>
  <c r="W12" i="13"/>
  <c r="V12" i="13"/>
  <c r="U12" i="13"/>
  <c r="T12" i="13"/>
  <c r="S12" i="13"/>
  <c r="R12" i="13"/>
  <c r="Q12" i="13"/>
  <c r="P12" i="13"/>
  <c r="N12" i="13"/>
  <c r="M12" i="13"/>
  <c r="L12" i="13"/>
  <c r="K12" i="13"/>
  <c r="J12" i="13"/>
  <c r="I12" i="13"/>
  <c r="H12" i="13"/>
  <c r="G12" i="13"/>
  <c r="F12" i="13"/>
  <c r="E12" i="13"/>
  <c r="D12" i="13"/>
  <c r="C12" i="13"/>
  <c r="AB11" i="13"/>
  <c r="O11" i="13"/>
  <c r="AC11" i="13" s="1"/>
  <c r="AB10" i="13"/>
  <c r="O10" i="13"/>
  <c r="AB9" i="13"/>
  <c r="O9" i="13"/>
  <c r="AC9" i="13" s="1"/>
  <c r="AB8" i="13"/>
  <c r="O8" i="13"/>
  <c r="AB7" i="13"/>
  <c r="O7" i="13"/>
  <c r="AC7" i="13" s="1"/>
  <c r="AB6" i="13"/>
  <c r="O6" i="13"/>
  <c r="AC6" i="13" s="1"/>
  <c r="AB5" i="13"/>
  <c r="O5" i="13"/>
  <c r="AC5" i="13" l="1"/>
  <c r="AC13" i="13"/>
  <c r="O12" i="13"/>
  <c r="AB12" i="13"/>
  <c r="AC10" i="13"/>
  <c r="O17" i="13"/>
  <c r="AC16" i="13"/>
  <c r="AC17" i="13" s="1"/>
  <c r="AC8" i="13"/>
  <c r="W59" i="12" l="1"/>
  <c r="X55" i="12"/>
  <c r="W55" i="12"/>
  <c r="T55" i="12"/>
  <c r="S55" i="12"/>
  <c r="R55" i="12"/>
  <c r="Q55" i="12"/>
  <c r="P55" i="12"/>
  <c r="O55" i="12"/>
  <c r="N55" i="12"/>
  <c r="W52" i="12"/>
  <c r="S52" i="12"/>
  <c r="O52" i="12"/>
  <c r="U47" i="12"/>
  <c r="Q47" i="12"/>
  <c r="M47" i="12"/>
  <c r="X60" i="12" s="1"/>
  <c r="L47" i="12"/>
  <c r="W60" i="12" s="1"/>
  <c r="J47" i="12"/>
  <c r="I47" i="12"/>
  <c r="T47" i="12" s="1"/>
  <c r="H47" i="12"/>
  <c r="S60" i="12" s="1"/>
  <c r="G47" i="12"/>
  <c r="R60" i="12" s="1"/>
  <c r="F47" i="12"/>
  <c r="Q60" i="12" s="1"/>
  <c r="E47" i="12"/>
  <c r="P47" i="12" s="1"/>
  <c r="D47" i="12"/>
  <c r="O60" i="12" s="1"/>
  <c r="C47" i="12"/>
  <c r="N60" i="12" s="1"/>
  <c r="W46" i="12"/>
  <c r="S46" i="12"/>
  <c r="O46" i="12"/>
  <c r="M46" i="12"/>
  <c r="X59" i="12" s="1"/>
  <c r="L46" i="12"/>
  <c r="K46" i="12"/>
  <c r="J46" i="12"/>
  <c r="U46" i="12" s="1"/>
  <c r="I46" i="12"/>
  <c r="T59" i="12" s="1"/>
  <c r="H46" i="12"/>
  <c r="S59" i="12" s="1"/>
  <c r="G46" i="12"/>
  <c r="R46" i="12" s="1"/>
  <c r="F46" i="12"/>
  <c r="Q59" i="12" s="1"/>
  <c r="Q62" i="12" s="1"/>
  <c r="E46" i="12"/>
  <c r="P59" i="12" s="1"/>
  <c r="D46" i="12"/>
  <c r="O59" i="12" s="1"/>
  <c r="C46" i="12"/>
  <c r="N46" i="12" s="1"/>
  <c r="U45" i="12"/>
  <c r="Q45" i="12"/>
  <c r="M45" i="12"/>
  <c r="X58" i="12" s="1"/>
  <c r="L45" i="12"/>
  <c r="W58" i="12" s="1"/>
  <c r="W63" i="12" s="1"/>
  <c r="J45" i="12"/>
  <c r="I45" i="12"/>
  <c r="T45" i="12" s="1"/>
  <c r="H45" i="12"/>
  <c r="S58" i="12" s="1"/>
  <c r="G45" i="12"/>
  <c r="R58" i="12" s="1"/>
  <c r="F45" i="12"/>
  <c r="Q58" i="12" s="1"/>
  <c r="Q63" i="12" s="1"/>
  <c r="E45" i="12"/>
  <c r="P45" i="12" s="1"/>
  <c r="D45" i="12"/>
  <c r="O58" i="12" s="1"/>
  <c r="C45" i="12"/>
  <c r="N58" i="12" s="1"/>
  <c r="M44" i="12"/>
  <c r="L44" i="12"/>
  <c r="J44" i="12"/>
  <c r="I44" i="12"/>
  <c r="H44" i="12"/>
  <c r="G44" i="12"/>
  <c r="F44" i="12"/>
  <c r="E44" i="12"/>
  <c r="D44" i="12"/>
  <c r="C44" i="12"/>
  <c r="X40" i="12"/>
  <c r="W40" i="12"/>
  <c r="V40" i="12"/>
  <c r="U40" i="12"/>
  <c r="T40" i="12"/>
  <c r="S40" i="12"/>
  <c r="R40" i="12"/>
  <c r="Q40" i="12"/>
  <c r="P40" i="12"/>
  <c r="O40" i="12"/>
  <c r="N40" i="12"/>
  <c r="K40" i="12"/>
  <c r="V55" i="12" s="1"/>
  <c r="X39" i="12"/>
  <c r="W39" i="12"/>
  <c r="V39" i="12"/>
  <c r="U39" i="12"/>
  <c r="T39" i="12"/>
  <c r="S39" i="12"/>
  <c r="R39" i="12"/>
  <c r="Q39" i="12"/>
  <c r="P39" i="12"/>
  <c r="O39" i="12"/>
  <c r="N39" i="12"/>
  <c r="K39" i="12"/>
  <c r="X38" i="12"/>
  <c r="W38" i="12"/>
  <c r="V38" i="12"/>
  <c r="U38" i="12"/>
  <c r="T38" i="12"/>
  <c r="S38" i="12"/>
  <c r="R38" i="12"/>
  <c r="Q38" i="12"/>
  <c r="P38" i="12"/>
  <c r="O38" i="12"/>
  <c r="N38" i="12"/>
  <c r="K38" i="12"/>
  <c r="X37" i="12"/>
  <c r="W37" i="12"/>
  <c r="V37" i="12"/>
  <c r="U37" i="12"/>
  <c r="T37" i="12"/>
  <c r="S37" i="12"/>
  <c r="R37" i="12"/>
  <c r="Q37" i="12"/>
  <c r="P37" i="12"/>
  <c r="O37" i="12"/>
  <c r="N37" i="12"/>
  <c r="K37" i="12"/>
  <c r="X36" i="12"/>
  <c r="W36" i="12"/>
  <c r="V36" i="12"/>
  <c r="U36" i="12"/>
  <c r="T36" i="12"/>
  <c r="S36" i="12"/>
  <c r="R36" i="12"/>
  <c r="Q36" i="12"/>
  <c r="P36" i="12"/>
  <c r="O36" i="12"/>
  <c r="N36" i="12"/>
  <c r="K36" i="12"/>
  <c r="X35" i="12"/>
  <c r="W35" i="12"/>
  <c r="V35" i="12"/>
  <c r="U35" i="12"/>
  <c r="T35" i="12"/>
  <c r="S35" i="12"/>
  <c r="R35" i="12"/>
  <c r="Q35" i="12"/>
  <c r="P35" i="12"/>
  <c r="O35" i="12"/>
  <c r="N35" i="12"/>
  <c r="K35" i="12"/>
  <c r="X34" i="12"/>
  <c r="W34" i="12"/>
  <c r="V34" i="12"/>
  <c r="U34" i="12"/>
  <c r="T34" i="12"/>
  <c r="S34" i="12"/>
  <c r="R34" i="12"/>
  <c r="Q34" i="12"/>
  <c r="P34" i="12"/>
  <c r="O34" i="12"/>
  <c r="N34" i="12"/>
  <c r="K34" i="12"/>
  <c r="X33" i="12"/>
  <c r="W33" i="12"/>
  <c r="V33" i="12"/>
  <c r="U33" i="12"/>
  <c r="T33" i="12"/>
  <c r="S33" i="12"/>
  <c r="R33" i="12"/>
  <c r="Q33" i="12"/>
  <c r="P33" i="12"/>
  <c r="O33" i="12"/>
  <c r="N33" i="12"/>
  <c r="K33" i="12"/>
  <c r="X32" i="12"/>
  <c r="W32" i="12"/>
  <c r="V32" i="12"/>
  <c r="U32" i="12"/>
  <c r="T32" i="12"/>
  <c r="S32" i="12"/>
  <c r="R32" i="12"/>
  <c r="Q32" i="12"/>
  <c r="P32" i="12"/>
  <c r="O32" i="12"/>
  <c r="N32" i="12"/>
  <c r="K32" i="12"/>
  <c r="X31" i="12"/>
  <c r="W31" i="12"/>
  <c r="V31" i="12"/>
  <c r="U31" i="12"/>
  <c r="T31" i="12"/>
  <c r="S31" i="12"/>
  <c r="R31" i="12"/>
  <c r="Q31" i="12"/>
  <c r="P31" i="12"/>
  <c r="O31" i="12"/>
  <c r="N31" i="12"/>
  <c r="K31" i="12"/>
  <c r="X30" i="12"/>
  <c r="W30" i="12"/>
  <c r="V30" i="12"/>
  <c r="U30" i="12"/>
  <c r="T30" i="12"/>
  <c r="S30" i="12"/>
  <c r="R30" i="12"/>
  <c r="Q30" i="12"/>
  <c r="P30" i="12"/>
  <c r="O30" i="12"/>
  <c r="N30" i="12"/>
  <c r="K30" i="12"/>
  <c r="X29" i="12"/>
  <c r="W29" i="12"/>
  <c r="V29" i="12"/>
  <c r="U29" i="12"/>
  <c r="T29" i="12"/>
  <c r="S29" i="12"/>
  <c r="R29" i="12"/>
  <c r="Q29" i="12"/>
  <c r="P29" i="12"/>
  <c r="O29" i="12"/>
  <c r="N29" i="12"/>
  <c r="K29" i="12"/>
  <c r="X28" i="12"/>
  <c r="W28" i="12"/>
  <c r="V28" i="12"/>
  <c r="U28" i="12"/>
  <c r="T28" i="12"/>
  <c r="S28" i="12"/>
  <c r="R28" i="12"/>
  <c r="Q28" i="12"/>
  <c r="P28" i="12"/>
  <c r="O28" i="12"/>
  <c r="N28" i="12"/>
  <c r="K28" i="12"/>
  <c r="X27" i="12"/>
  <c r="W27" i="12"/>
  <c r="V27" i="12"/>
  <c r="U27" i="12"/>
  <c r="T27" i="12"/>
  <c r="S27" i="12"/>
  <c r="R27" i="12"/>
  <c r="Q27" i="12"/>
  <c r="P27" i="12"/>
  <c r="O27" i="12"/>
  <c r="N27" i="12"/>
  <c r="K27" i="12"/>
  <c r="X26" i="12"/>
  <c r="W26" i="12"/>
  <c r="V26" i="12"/>
  <c r="U26" i="12"/>
  <c r="T26" i="12"/>
  <c r="S26" i="12"/>
  <c r="R26" i="12"/>
  <c r="Q26" i="12"/>
  <c r="P26" i="12"/>
  <c r="O26" i="12"/>
  <c r="N26" i="12"/>
  <c r="K26" i="12"/>
  <c r="X25" i="12"/>
  <c r="W25" i="12"/>
  <c r="V25" i="12"/>
  <c r="U25" i="12"/>
  <c r="T25" i="12"/>
  <c r="S25" i="12"/>
  <c r="R25" i="12"/>
  <c r="Q25" i="12"/>
  <c r="P25" i="12"/>
  <c r="O25" i="12"/>
  <c r="N25" i="12"/>
  <c r="K25" i="12"/>
  <c r="X24" i="12"/>
  <c r="W24" i="12"/>
  <c r="V24" i="12"/>
  <c r="U24" i="12"/>
  <c r="T24" i="12"/>
  <c r="S24" i="12"/>
  <c r="R24" i="12"/>
  <c r="Q24" i="12"/>
  <c r="P24" i="12"/>
  <c r="O24" i="12"/>
  <c r="N24" i="12"/>
  <c r="K24" i="12"/>
  <c r="X23" i="12"/>
  <c r="W23" i="12"/>
  <c r="V23" i="12"/>
  <c r="U23" i="12"/>
  <c r="T23" i="12"/>
  <c r="S23" i="12"/>
  <c r="R23" i="12"/>
  <c r="Q23" i="12"/>
  <c r="P23" i="12"/>
  <c r="O23" i="12"/>
  <c r="N23" i="12"/>
  <c r="K23" i="12"/>
  <c r="X22" i="12"/>
  <c r="W22" i="12"/>
  <c r="V22" i="12"/>
  <c r="U22" i="12"/>
  <c r="T22" i="12"/>
  <c r="S22" i="12"/>
  <c r="R22" i="12"/>
  <c r="Q22" i="12"/>
  <c r="P22" i="12"/>
  <c r="O22" i="12"/>
  <c r="N22" i="12"/>
  <c r="K22" i="12"/>
  <c r="X21" i="12"/>
  <c r="W21" i="12"/>
  <c r="V21" i="12"/>
  <c r="U21" i="12"/>
  <c r="T21" i="12"/>
  <c r="S21" i="12"/>
  <c r="R21" i="12"/>
  <c r="Q21" i="12"/>
  <c r="P21" i="12"/>
  <c r="O21" i="12"/>
  <c r="N21" i="12"/>
  <c r="K21" i="12"/>
  <c r="X20" i="12"/>
  <c r="W20" i="12"/>
  <c r="V20" i="12"/>
  <c r="U20" i="12"/>
  <c r="T20" i="12"/>
  <c r="S20" i="12"/>
  <c r="R20" i="12"/>
  <c r="Q20" i="12"/>
  <c r="P20" i="12"/>
  <c r="O20" i="12"/>
  <c r="N20" i="12"/>
  <c r="K20" i="12"/>
  <c r="X19" i="12"/>
  <c r="W19" i="12"/>
  <c r="V19" i="12"/>
  <c r="U19" i="12"/>
  <c r="T19" i="12"/>
  <c r="S19" i="12"/>
  <c r="R19" i="12"/>
  <c r="Q19" i="12"/>
  <c r="P19" i="12"/>
  <c r="O19" i="12"/>
  <c r="N19" i="12"/>
  <c r="K19" i="12"/>
  <c r="X18" i="12"/>
  <c r="W18" i="12"/>
  <c r="V18" i="12"/>
  <c r="U18" i="12"/>
  <c r="T18" i="12"/>
  <c r="S18" i="12"/>
  <c r="R18" i="12"/>
  <c r="Q18" i="12"/>
  <c r="P18" i="12"/>
  <c r="O18" i="12"/>
  <c r="N18" i="12"/>
  <c r="K18" i="12"/>
  <c r="X17" i="12"/>
  <c r="W17" i="12"/>
  <c r="V17" i="12"/>
  <c r="U17" i="12"/>
  <c r="T17" i="12"/>
  <c r="S17" i="12"/>
  <c r="R17" i="12"/>
  <c r="Q17" i="12"/>
  <c r="P17" i="12"/>
  <c r="O17" i="12"/>
  <c r="N17" i="12"/>
  <c r="K17" i="12"/>
  <c r="X16" i="12"/>
  <c r="W16" i="12"/>
  <c r="V16" i="12"/>
  <c r="U16" i="12"/>
  <c r="T16" i="12"/>
  <c r="S16" i="12"/>
  <c r="R16" i="12"/>
  <c r="Q16" i="12"/>
  <c r="P16" i="12"/>
  <c r="O16" i="12"/>
  <c r="N16" i="12"/>
  <c r="K16" i="12"/>
  <c r="K45" i="12" s="1"/>
  <c r="X15" i="12"/>
  <c r="W15" i="12"/>
  <c r="V15" i="12"/>
  <c r="U15" i="12"/>
  <c r="T15" i="12"/>
  <c r="S15" i="12"/>
  <c r="R15" i="12"/>
  <c r="Q15" i="12"/>
  <c r="P15" i="12"/>
  <c r="O15" i="12"/>
  <c r="N15" i="12"/>
  <c r="K15" i="12"/>
  <c r="X14" i="12"/>
  <c r="X52" i="12" s="1"/>
  <c r="W14" i="12"/>
  <c r="V14" i="12"/>
  <c r="V52" i="12" s="1"/>
  <c r="U14" i="12"/>
  <c r="U52" i="12" s="1"/>
  <c r="T14" i="12"/>
  <c r="T52" i="12" s="1"/>
  <c r="S14" i="12"/>
  <c r="R14" i="12"/>
  <c r="R52" i="12" s="1"/>
  <c r="Q14" i="12"/>
  <c r="Q52" i="12" s="1"/>
  <c r="P14" i="12"/>
  <c r="P52" i="12" s="1"/>
  <c r="O14" i="12"/>
  <c r="N14" i="12"/>
  <c r="N52" i="12" s="1"/>
  <c r="K14" i="12"/>
  <c r="X13" i="12"/>
  <c r="W13" i="12"/>
  <c r="V13" i="12"/>
  <c r="U13" i="12"/>
  <c r="T13" i="12"/>
  <c r="S13" i="12"/>
  <c r="R13" i="12"/>
  <c r="Q13" i="12"/>
  <c r="P13" i="12"/>
  <c r="O13" i="12"/>
  <c r="N13" i="12"/>
  <c r="K13" i="12"/>
  <c r="X12" i="12"/>
  <c r="W12" i="12"/>
  <c r="V12" i="12"/>
  <c r="U12" i="12"/>
  <c r="T12" i="12"/>
  <c r="S12" i="12"/>
  <c r="R12" i="12"/>
  <c r="Q12" i="12"/>
  <c r="P12" i="12"/>
  <c r="O12" i="12"/>
  <c r="N12" i="12"/>
  <c r="K12" i="12"/>
  <c r="X11" i="12"/>
  <c r="W11" i="12"/>
  <c r="V11" i="12"/>
  <c r="U11" i="12"/>
  <c r="T11" i="12"/>
  <c r="S11" i="12"/>
  <c r="R11" i="12"/>
  <c r="Q11" i="12"/>
  <c r="P11" i="12"/>
  <c r="O11" i="12"/>
  <c r="N11" i="12"/>
  <c r="K11" i="12"/>
  <c r="X10" i="12"/>
  <c r="W10" i="12"/>
  <c r="V10" i="12"/>
  <c r="U10" i="12"/>
  <c r="T10" i="12"/>
  <c r="S10" i="12"/>
  <c r="R10" i="12"/>
  <c r="Q10" i="12"/>
  <c r="P10" i="12"/>
  <c r="O10" i="12"/>
  <c r="N10" i="12"/>
  <c r="K10" i="12"/>
  <c r="X9" i="12"/>
  <c r="W9" i="12"/>
  <c r="V9" i="12"/>
  <c r="U9" i="12"/>
  <c r="T9" i="12"/>
  <c r="S9" i="12"/>
  <c r="R9" i="12"/>
  <c r="Q9" i="12"/>
  <c r="P9" i="12"/>
  <c r="O9" i="12"/>
  <c r="N9" i="12"/>
  <c r="K9" i="12"/>
  <c r="X8" i="12"/>
  <c r="W8" i="12"/>
  <c r="V8" i="12"/>
  <c r="U8" i="12"/>
  <c r="T8" i="12"/>
  <c r="S8" i="12"/>
  <c r="R8" i="12"/>
  <c r="Q8" i="12"/>
  <c r="P8" i="12"/>
  <c r="O8" i="12"/>
  <c r="N8" i="12"/>
  <c r="K8" i="12"/>
  <c r="X7" i="12"/>
  <c r="W7" i="12"/>
  <c r="V7" i="12"/>
  <c r="U7" i="12"/>
  <c r="T7" i="12"/>
  <c r="S7" i="12"/>
  <c r="R7" i="12"/>
  <c r="Q7" i="12"/>
  <c r="P7" i="12"/>
  <c r="O7" i="12"/>
  <c r="N7" i="12"/>
  <c r="K7" i="12"/>
  <c r="X6" i="12"/>
  <c r="W6" i="12"/>
  <c r="V6" i="12"/>
  <c r="U6" i="12"/>
  <c r="T6" i="12"/>
  <c r="S6" i="12"/>
  <c r="R6" i="12"/>
  <c r="Q6" i="12"/>
  <c r="P6" i="12"/>
  <c r="O6" i="12"/>
  <c r="N6" i="12"/>
  <c r="K6" i="12"/>
  <c r="X5" i="12"/>
  <c r="X51" i="12" s="1"/>
  <c r="W5" i="12"/>
  <c r="W51" i="12" s="1"/>
  <c r="V5" i="12"/>
  <c r="V51" i="12" s="1"/>
  <c r="U5" i="12"/>
  <c r="U51" i="12" s="1"/>
  <c r="T5" i="12"/>
  <c r="T51" i="12" s="1"/>
  <c r="S5" i="12"/>
  <c r="S51" i="12" s="1"/>
  <c r="R5" i="12"/>
  <c r="R51" i="12" s="1"/>
  <c r="Q5" i="12"/>
  <c r="Q51" i="12" s="1"/>
  <c r="P5" i="12"/>
  <c r="P51" i="12" s="1"/>
  <c r="O5" i="12"/>
  <c r="O51" i="12" s="1"/>
  <c r="N5" i="12"/>
  <c r="N51" i="12" s="1"/>
  <c r="K5" i="12"/>
  <c r="K4" i="12"/>
  <c r="K44" i="12" s="1"/>
  <c r="F36" i="11"/>
  <c r="V59" i="12" l="1"/>
  <c r="O63" i="12"/>
  <c r="S63" i="12"/>
  <c r="X63" i="12"/>
  <c r="O62" i="12"/>
  <c r="S62" i="12"/>
  <c r="V58" i="12"/>
  <c r="V45" i="12"/>
  <c r="T62" i="12"/>
  <c r="X62" i="12"/>
  <c r="W62" i="12"/>
  <c r="T58" i="12"/>
  <c r="T63" i="12" s="1"/>
  <c r="P60" i="12"/>
  <c r="P62" i="12" s="1"/>
  <c r="T60" i="12"/>
  <c r="N45" i="12"/>
  <c r="R45" i="12"/>
  <c r="P46" i="12"/>
  <c r="T46" i="12"/>
  <c r="X46" i="12"/>
  <c r="N47" i="12"/>
  <c r="R47" i="12"/>
  <c r="Q54" i="12"/>
  <c r="P54" i="12"/>
  <c r="T54" i="12"/>
  <c r="P58" i="12"/>
  <c r="P63" i="12" s="1"/>
  <c r="N59" i="12"/>
  <c r="N62" i="12" s="1"/>
  <c r="R59" i="12"/>
  <c r="R62" i="12" s="1"/>
  <c r="O45" i="12"/>
  <c r="S45" i="12"/>
  <c r="W45" i="12"/>
  <c r="Q46" i="12"/>
  <c r="K47" i="12"/>
  <c r="O47" i="12"/>
  <c r="S47" i="12"/>
  <c r="W47" i="12"/>
  <c r="N54" i="12"/>
  <c r="R54" i="12"/>
  <c r="W54" i="12"/>
  <c r="X45" i="12"/>
  <c r="V46" i="12"/>
  <c r="X47" i="12"/>
  <c r="O54" i="12"/>
  <c r="S54" i="12"/>
  <c r="X54" i="12"/>
  <c r="F16" i="4"/>
  <c r="H16" i="10"/>
  <c r="H14" i="10"/>
  <c r="H13" i="10"/>
  <c r="H12" i="10"/>
  <c r="H11" i="10"/>
  <c r="H17" i="10" s="1"/>
  <c r="H10" i="10"/>
  <c r="H9" i="10"/>
  <c r="H8" i="10"/>
  <c r="H7" i="10"/>
  <c r="H6" i="10"/>
  <c r="H5" i="10"/>
  <c r="C30" i="9"/>
  <c r="C16" i="9"/>
  <c r="C15" i="9"/>
  <c r="C14" i="9"/>
  <c r="C13" i="9"/>
  <c r="C12" i="9"/>
  <c r="C11" i="9"/>
  <c r="C10" i="9"/>
  <c r="C9" i="9"/>
  <c r="C8" i="9"/>
  <c r="C7" i="9"/>
  <c r="C31" i="9" s="1"/>
  <c r="R63" i="12" l="1"/>
  <c r="V60" i="12"/>
  <c r="V62" i="12" s="1"/>
  <c r="V54" i="12"/>
  <c r="V47" i="12"/>
  <c r="N63" i="12"/>
  <c r="AE61" i="8"/>
  <c r="AA61" i="8"/>
  <c r="W61" i="8"/>
  <c r="S61" i="8"/>
  <c r="AC59" i="8"/>
  <c r="Z59" i="8"/>
  <c r="Y59" i="8"/>
  <c r="V59" i="8"/>
  <c r="U59" i="8"/>
  <c r="R59" i="8"/>
  <c r="AF56" i="8"/>
  <c r="AE56" i="8"/>
  <c r="AC56" i="8"/>
  <c r="AB56" i="8"/>
  <c r="AA56" i="8"/>
  <c r="Z56" i="8"/>
  <c r="Y56" i="8"/>
  <c r="X56" i="8"/>
  <c r="W56" i="8"/>
  <c r="V56" i="8"/>
  <c r="U56" i="8"/>
  <c r="T56" i="8"/>
  <c r="S56" i="8"/>
  <c r="R56" i="8"/>
  <c r="AF55" i="8"/>
  <c r="AE55" i="8"/>
  <c r="AC55" i="8"/>
  <c r="AB55" i="8"/>
  <c r="AA55" i="8"/>
  <c r="Z55" i="8"/>
  <c r="Y55" i="8"/>
  <c r="X55" i="8"/>
  <c r="W55" i="8"/>
  <c r="V55" i="8"/>
  <c r="U55" i="8"/>
  <c r="T55" i="8"/>
  <c r="S55" i="8"/>
  <c r="R55" i="8"/>
  <c r="AF53" i="8"/>
  <c r="AE53" i="8"/>
  <c r="AB53" i="8"/>
  <c r="AA53" i="8"/>
  <c r="X53" i="8"/>
  <c r="W53" i="8"/>
  <c r="T53" i="8"/>
  <c r="S53" i="8"/>
  <c r="AH53" i="8" s="1"/>
  <c r="AC47" i="8"/>
  <c r="Y47" i="8"/>
  <c r="U47" i="8"/>
  <c r="Q47" i="8"/>
  <c r="AF47" i="8" s="1"/>
  <c r="P47" i="8"/>
  <c r="AE47" i="8" s="1"/>
  <c r="N47" i="8"/>
  <c r="AC61" i="8" s="1"/>
  <c r="M47" i="8"/>
  <c r="AB47" i="8" s="1"/>
  <c r="L47" i="8"/>
  <c r="AA47" i="8" s="1"/>
  <c r="K47" i="8"/>
  <c r="Z61" i="8" s="1"/>
  <c r="J47" i="8"/>
  <c r="Y61" i="8" s="1"/>
  <c r="I47" i="8"/>
  <c r="X47" i="8" s="1"/>
  <c r="H47" i="8"/>
  <c r="W47" i="8" s="1"/>
  <c r="G47" i="8"/>
  <c r="V61" i="8" s="1"/>
  <c r="F47" i="8"/>
  <c r="U61" i="8" s="1"/>
  <c r="E47" i="8"/>
  <c r="T47" i="8" s="1"/>
  <c r="D47" i="8"/>
  <c r="S47" i="8" s="1"/>
  <c r="C47" i="8"/>
  <c r="R61" i="8" s="1"/>
  <c r="AE46" i="8"/>
  <c r="AA46" i="8"/>
  <c r="W46" i="8"/>
  <c r="S46" i="8"/>
  <c r="Q46" i="8"/>
  <c r="AF60" i="8" s="1"/>
  <c r="P46" i="8"/>
  <c r="AE60" i="8" s="1"/>
  <c r="AE63" i="8" s="1"/>
  <c r="O46" i="8"/>
  <c r="N46" i="8"/>
  <c r="AC60" i="8" s="1"/>
  <c r="M46" i="8"/>
  <c r="AB60" i="8" s="1"/>
  <c r="L46" i="8"/>
  <c r="AA60" i="8" s="1"/>
  <c r="AA63" i="8" s="1"/>
  <c r="K46" i="8"/>
  <c r="Z46" i="8" s="1"/>
  <c r="J46" i="8"/>
  <c r="Y60" i="8" s="1"/>
  <c r="I46" i="8"/>
  <c r="X60" i="8" s="1"/>
  <c r="H46" i="8"/>
  <c r="W60" i="8" s="1"/>
  <c r="W63" i="8" s="1"/>
  <c r="G46" i="8"/>
  <c r="V46" i="8" s="1"/>
  <c r="F46" i="8"/>
  <c r="U60" i="8" s="1"/>
  <c r="E46" i="8"/>
  <c r="T60" i="8" s="1"/>
  <c r="D46" i="8"/>
  <c r="S60" i="8" s="1"/>
  <c r="S63" i="8" s="1"/>
  <c r="C46" i="8"/>
  <c r="R46" i="8" s="1"/>
  <c r="AC45" i="8"/>
  <c r="Z45" i="8"/>
  <c r="Y45" i="8"/>
  <c r="V45" i="8"/>
  <c r="U45" i="8"/>
  <c r="R45" i="8"/>
  <c r="Q45" i="8"/>
  <c r="AF59" i="8" s="1"/>
  <c r="P45" i="8"/>
  <c r="AE59" i="8" s="1"/>
  <c r="AE64" i="8" s="1"/>
  <c r="N45" i="8"/>
  <c r="M45" i="8"/>
  <c r="AB59" i="8" s="1"/>
  <c r="L45" i="8"/>
  <c r="AA59" i="8" s="1"/>
  <c r="AA64" i="8" s="1"/>
  <c r="K45" i="8"/>
  <c r="J45" i="8"/>
  <c r="I45" i="8"/>
  <c r="X59" i="8" s="1"/>
  <c r="H45" i="8"/>
  <c r="W59" i="8" s="1"/>
  <c r="W64" i="8" s="1"/>
  <c r="G45" i="8"/>
  <c r="F45" i="8"/>
  <c r="E45" i="8"/>
  <c r="T59" i="8" s="1"/>
  <c r="D45" i="8"/>
  <c r="S59" i="8" s="1"/>
  <c r="S64" i="8" s="1"/>
  <c r="C45" i="8"/>
  <c r="Q44" i="8"/>
  <c r="P44" i="8"/>
  <c r="N44" i="8"/>
  <c r="M44" i="8"/>
  <c r="L44" i="8"/>
  <c r="K44" i="8"/>
  <c r="J44" i="8"/>
  <c r="I44" i="8"/>
  <c r="H44" i="8"/>
  <c r="G44" i="8"/>
  <c r="F44" i="8"/>
  <c r="E44" i="8"/>
  <c r="D44" i="8"/>
  <c r="C44" i="8"/>
  <c r="AF40" i="8"/>
  <c r="AE40" i="8"/>
  <c r="AD40" i="8"/>
  <c r="AC40" i="8"/>
  <c r="AB40" i="8"/>
  <c r="AA40" i="8"/>
  <c r="Z40" i="8"/>
  <c r="Y40" i="8"/>
  <c r="X40" i="8"/>
  <c r="W40" i="8"/>
  <c r="V40" i="8"/>
  <c r="U40" i="8"/>
  <c r="T40" i="8"/>
  <c r="S40" i="8"/>
  <c r="R40" i="8"/>
  <c r="O40" i="8"/>
  <c r="AD55" i="8" s="1"/>
  <c r="AF39" i="8"/>
  <c r="AE39" i="8"/>
  <c r="AD39" i="8"/>
  <c r="AC39" i="8"/>
  <c r="AB39" i="8"/>
  <c r="AA39" i="8"/>
  <c r="Z39" i="8"/>
  <c r="Y39" i="8"/>
  <c r="X39" i="8"/>
  <c r="W39" i="8"/>
  <c r="V39" i="8"/>
  <c r="U39" i="8"/>
  <c r="T39" i="8"/>
  <c r="S39" i="8"/>
  <c r="R39" i="8"/>
  <c r="O39" i="8"/>
  <c r="AF38" i="8"/>
  <c r="AE38" i="8"/>
  <c r="AD38" i="8"/>
  <c r="AC38" i="8"/>
  <c r="AB38" i="8"/>
  <c r="AA38" i="8"/>
  <c r="Z38" i="8"/>
  <c r="Y38" i="8"/>
  <c r="X38" i="8"/>
  <c r="W38" i="8"/>
  <c r="V38" i="8"/>
  <c r="U38" i="8"/>
  <c r="T38" i="8"/>
  <c r="S38" i="8"/>
  <c r="R38" i="8"/>
  <c r="O38" i="8"/>
  <c r="AF37" i="8"/>
  <c r="AE37" i="8"/>
  <c r="AD37" i="8"/>
  <c r="AC37" i="8"/>
  <c r="AB37" i="8"/>
  <c r="AA37" i="8"/>
  <c r="Z37" i="8"/>
  <c r="Y37" i="8"/>
  <c r="X37" i="8"/>
  <c r="W37" i="8"/>
  <c r="V37" i="8"/>
  <c r="U37" i="8"/>
  <c r="T37" i="8"/>
  <c r="S37" i="8"/>
  <c r="R37" i="8"/>
  <c r="O37" i="8"/>
  <c r="AF36" i="8"/>
  <c r="AE36" i="8"/>
  <c r="AD36" i="8"/>
  <c r="AC36" i="8"/>
  <c r="AB36" i="8"/>
  <c r="AA36" i="8"/>
  <c r="Z36" i="8"/>
  <c r="Y36" i="8"/>
  <c r="X36" i="8"/>
  <c r="W36" i="8"/>
  <c r="V36" i="8"/>
  <c r="U36" i="8"/>
  <c r="T36" i="8"/>
  <c r="S36" i="8"/>
  <c r="R36" i="8"/>
  <c r="O36" i="8"/>
  <c r="AF35" i="8"/>
  <c r="AE35" i="8"/>
  <c r="AD35" i="8"/>
  <c r="AC35" i="8"/>
  <c r="AB35" i="8"/>
  <c r="AA35" i="8"/>
  <c r="Z35" i="8"/>
  <c r="Y35" i="8"/>
  <c r="X35" i="8"/>
  <c r="W35" i="8"/>
  <c r="V35" i="8"/>
  <c r="U35" i="8"/>
  <c r="T35" i="8"/>
  <c r="S35" i="8"/>
  <c r="R35" i="8"/>
  <c r="O35" i="8"/>
  <c r="AF34" i="8"/>
  <c r="AE34" i="8"/>
  <c r="AD34" i="8"/>
  <c r="AC34" i="8"/>
  <c r="AB34" i="8"/>
  <c r="AA34" i="8"/>
  <c r="Z34" i="8"/>
  <c r="Y34" i="8"/>
  <c r="X34" i="8"/>
  <c r="W34" i="8"/>
  <c r="V34" i="8"/>
  <c r="U34" i="8"/>
  <c r="T34" i="8"/>
  <c r="S34" i="8"/>
  <c r="R34" i="8"/>
  <c r="O34" i="8"/>
  <c r="AF33" i="8"/>
  <c r="AE33" i="8"/>
  <c r="AD33" i="8"/>
  <c r="AC33" i="8"/>
  <c r="AB33" i="8"/>
  <c r="AA33" i="8"/>
  <c r="Z33" i="8"/>
  <c r="Y33" i="8"/>
  <c r="X33" i="8"/>
  <c r="W33" i="8"/>
  <c r="V33" i="8"/>
  <c r="U33" i="8"/>
  <c r="T33" i="8"/>
  <c r="S33" i="8"/>
  <c r="R33" i="8"/>
  <c r="O33" i="8"/>
  <c r="AF32" i="8"/>
  <c r="AE32" i="8"/>
  <c r="AD32" i="8"/>
  <c r="AC32" i="8"/>
  <c r="AB32" i="8"/>
  <c r="AA32" i="8"/>
  <c r="Z32" i="8"/>
  <c r="Y32" i="8"/>
  <c r="X32" i="8"/>
  <c r="W32" i="8"/>
  <c r="V32" i="8"/>
  <c r="U32" i="8"/>
  <c r="T32" i="8"/>
  <c r="S32" i="8"/>
  <c r="R32" i="8"/>
  <c r="O32" i="8"/>
  <c r="AF31" i="8"/>
  <c r="AE31" i="8"/>
  <c r="AD31" i="8"/>
  <c r="AC31" i="8"/>
  <c r="AB31" i="8"/>
  <c r="AA31" i="8"/>
  <c r="Z31" i="8"/>
  <c r="Y31" i="8"/>
  <c r="X31" i="8"/>
  <c r="W31" i="8"/>
  <c r="V31" i="8"/>
  <c r="U31" i="8"/>
  <c r="T31" i="8"/>
  <c r="S31" i="8"/>
  <c r="R31" i="8"/>
  <c r="O31" i="8"/>
  <c r="AF30" i="8"/>
  <c r="AE30" i="8"/>
  <c r="AD30" i="8"/>
  <c r="AC30" i="8"/>
  <c r="AB30" i="8"/>
  <c r="AA30" i="8"/>
  <c r="Z30" i="8"/>
  <c r="Y30" i="8"/>
  <c r="X30" i="8"/>
  <c r="W30" i="8"/>
  <c r="V30" i="8"/>
  <c r="U30" i="8"/>
  <c r="T30" i="8"/>
  <c r="S30" i="8"/>
  <c r="R30" i="8"/>
  <c r="O30" i="8"/>
  <c r="AF29" i="8"/>
  <c r="AE29" i="8"/>
  <c r="AD29" i="8"/>
  <c r="AC29" i="8"/>
  <c r="AB29" i="8"/>
  <c r="AA29" i="8"/>
  <c r="Z29" i="8"/>
  <c r="Y29" i="8"/>
  <c r="X29" i="8"/>
  <c r="W29" i="8"/>
  <c r="V29" i="8"/>
  <c r="U29" i="8"/>
  <c r="T29" i="8"/>
  <c r="S29" i="8"/>
  <c r="R29" i="8"/>
  <c r="O29" i="8"/>
  <c r="AF28" i="8"/>
  <c r="AE28" i="8"/>
  <c r="AD28" i="8"/>
  <c r="AC28" i="8"/>
  <c r="AB28" i="8"/>
  <c r="AA28" i="8"/>
  <c r="Z28" i="8"/>
  <c r="Y28" i="8"/>
  <c r="X28" i="8"/>
  <c r="W28" i="8"/>
  <c r="V28" i="8"/>
  <c r="U28" i="8"/>
  <c r="T28" i="8"/>
  <c r="S28" i="8"/>
  <c r="R28" i="8"/>
  <c r="O28" i="8"/>
  <c r="AF27" i="8"/>
  <c r="AE27" i="8"/>
  <c r="AD27" i="8"/>
  <c r="AC27" i="8"/>
  <c r="AB27" i="8"/>
  <c r="AA27" i="8"/>
  <c r="Z27" i="8"/>
  <c r="Y27" i="8"/>
  <c r="X27" i="8"/>
  <c r="W27" i="8"/>
  <c r="V27" i="8"/>
  <c r="U27" i="8"/>
  <c r="T27" i="8"/>
  <c r="S27" i="8"/>
  <c r="R27" i="8"/>
  <c r="O27" i="8"/>
  <c r="AF26" i="8"/>
  <c r="AE26" i="8"/>
  <c r="AD26" i="8"/>
  <c r="AC26" i="8"/>
  <c r="AB26" i="8"/>
  <c r="AA26" i="8"/>
  <c r="Z26" i="8"/>
  <c r="Y26" i="8"/>
  <c r="X26" i="8"/>
  <c r="W26" i="8"/>
  <c r="V26" i="8"/>
  <c r="U26" i="8"/>
  <c r="T26" i="8"/>
  <c r="S26" i="8"/>
  <c r="R26" i="8"/>
  <c r="O26" i="8"/>
  <c r="AF25" i="8"/>
  <c r="AE25" i="8"/>
  <c r="AD25" i="8"/>
  <c r="AC25" i="8"/>
  <c r="AB25" i="8"/>
  <c r="AA25" i="8"/>
  <c r="Z25" i="8"/>
  <c r="Y25" i="8"/>
  <c r="X25" i="8"/>
  <c r="W25" i="8"/>
  <c r="V25" i="8"/>
  <c r="U25" i="8"/>
  <c r="T25" i="8"/>
  <c r="S25" i="8"/>
  <c r="R25" i="8"/>
  <c r="O25" i="8"/>
  <c r="AF24" i="8"/>
  <c r="AE24" i="8"/>
  <c r="AD24" i="8"/>
  <c r="AC24" i="8"/>
  <c r="AB24" i="8"/>
  <c r="AA24" i="8"/>
  <c r="Z24" i="8"/>
  <c r="Y24" i="8"/>
  <c r="X24" i="8"/>
  <c r="W24" i="8"/>
  <c r="V24" i="8"/>
  <c r="U24" i="8"/>
  <c r="T24" i="8"/>
  <c r="S24" i="8"/>
  <c r="R24" i="8"/>
  <c r="O24" i="8"/>
  <c r="AF23" i="8"/>
  <c r="AE23" i="8"/>
  <c r="AD23" i="8"/>
  <c r="AC23" i="8"/>
  <c r="AB23" i="8"/>
  <c r="AA23" i="8"/>
  <c r="Z23" i="8"/>
  <c r="Y23" i="8"/>
  <c r="X23" i="8"/>
  <c r="W23" i="8"/>
  <c r="V23" i="8"/>
  <c r="U23" i="8"/>
  <c r="T23" i="8"/>
  <c r="S23" i="8"/>
  <c r="R23" i="8"/>
  <c r="O23" i="8"/>
  <c r="AF22" i="8"/>
  <c r="AE22" i="8"/>
  <c r="AD22" i="8"/>
  <c r="AC22" i="8"/>
  <c r="AB22" i="8"/>
  <c r="AA22" i="8"/>
  <c r="Z22" i="8"/>
  <c r="Y22" i="8"/>
  <c r="X22" i="8"/>
  <c r="W22" i="8"/>
  <c r="V22" i="8"/>
  <c r="U22" i="8"/>
  <c r="T22" i="8"/>
  <c r="S22" i="8"/>
  <c r="R22" i="8"/>
  <c r="O22" i="8"/>
  <c r="AF21" i="8"/>
  <c r="AE21" i="8"/>
  <c r="AD21" i="8"/>
  <c r="AC21" i="8"/>
  <c r="AB21" i="8"/>
  <c r="AA21" i="8"/>
  <c r="Z21" i="8"/>
  <c r="Y21" i="8"/>
  <c r="X21" i="8"/>
  <c r="W21" i="8"/>
  <c r="V21" i="8"/>
  <c r="U21" i="8"/>
  <c r="T21" i="8"/>
  <c r="S21" i="8"/>
  <c r="R21" i="8"/>
  <c r="O21" i="8"/>
  <c r="AF20" i="8"/>
  <c r="AE20" i="8"/>
  <c r="AD20" i="8"/>
  <c r="AC20" i="8"/>
  <c r="AB20" i="8"/>
  <c r="AA20" i="8"/>
  <c r="Z20" i="8"/>
  <c r="Y20" i="8"/>
  <c r="X20" i="8"/>
  <c r="W20" i="8"/>
  <c r="V20" i="8"/>
  <c r="U20" i="8"/>
  <c r="T20" i="8"/>
  <c r="S20" i="8"/>
  <c r="R20" i="8"/>
  <c r="O20" i="8"/>
  <c r="AF19" i="8"/>
  <c r="AE19" i="8"/>
  <c r="AD19" i="8"/>
  <c r="AC19" i="8"/>
  <c r="AB19" i="8"/>
  <c r="AA19" i="8"/>
  <c r="Z19" i="8"/>
  <c r="Y19" i="8"/>
  <c r="X19" i="8"/>
  <c r="W19" i="8"/>
  <c r="V19" i="8"/>
  <c r="U19" i="8"/>
  <c r="T19" i="8"/>
  <c r="S19" i="8"/>
  <c r="R19" i="8"/>
  <c r="O19" i="8"/>
  <c r="AF18" i="8"/>
  <c r="AE18" i="8"/>
  <c r="AD18" i="8"/>
  <c r="AC18" i="8"/>
  <c r="AB18" i="8"/>
  <c r="AA18" i="8"/>
  <c r="Z18" i="8"/>
  <c r="Y18" i="8"/>
  <c r="X18" i="8"/>
  <c r="W18" i="8"/>
  <c r="V18" i="8"/>
  <c r="U18" i="8"/>
  <c r="T18" i="8"/>
  <c r="S18" i="8"/>
  <c r="R18" i="8"/>
  <c r="O18" i="8"/>
  <c r="AF17" i="8"/>
  <c r="AE17" i="8"/>
  <c r="AD17" i="8"/>
  <c r="AC17" i="8"/>
  <c r="AB17" i="8"/>
  <c r="AA17" i="8"/>
  <c r="Z17" i="8"/>
  <c r="Y17" i="8"/>
  <c r="X17" i="8"/>
  <c r="W17" i="8"/>
  <c r="V17" i="8"/>
  <c r="U17" i="8"/>
  <c r="T17" i="8"/>
  <c r="S17" i="8"/>
  <c r="R17" i="8"/>
  <c r="O17" i="8"/>
  <c r="AF16" i="8"/>
  <c r="AE16" i="8"/>
  <c r="AD16" i="8"/>
  <c r="AC16" i="8"/>
  <c r="AB16" i="8"/>
  <c r="AA16" i="8"/>
  <c r="Z16" i="8"/>
  <c r="Y16" i="8"/>
  <c r="X16" i="8"/>
  <c r="W16" i="8"/>
  <c r="V16" i="8"/>
  <c r="U16" i="8"/>
  <c r="T16" i="8"/>
  <c r="S16" i="8"/>
  <c r="R16" i="8"/>
  <c r="O16" i="8"/>
  <c r="O45" i="8" s="1"/>
  <c r="AF15" i="8"/>
  <c r="AE15" i="8"/>
  <c r="AD15" i="8"/>
  <c r="AC15" i="8"/>
  <c r="AB15" i="8"/>
  <c r="AA15" i="8"/>
  <c r="Z15" i="8"/>
  <c r="Y15" i="8"/>
  <c r="X15" i="8"/>
  <c r="W15" i="8"/>
  <c r="V15" i="8"/>
  <c r="U15" i="8"/>
  <c r="T15" i="8"/>
  <c r="S15" i="8"/>
  <c r="R15" i="8"/>
  <c r="O15" i="8"/>
  <c r="AF14" i="8"/>
  <c r="AE14" i="8"/>
  <c r="AD14" i="8"/>
  <c r="AD53" i="8" s="1"/>
  <c r="AC14" i="8"/>
  <c r="AC53" i="8" s="1"/>
  <c r="AB14" i="8"/>
  <c r="AA14" i="8"/>
  <c r="Z14" i="8"/>
  <c r="Z53" i="8" s="1"/>
  <c r="Y14" i="8"/>
  <c r="Y53" i="8" s="1"/>
  <c r="X14" i="8"/>
  <c r="W14" i="8"/>
  <c r="V14" i="8"/>
  <c r="V53" i="8" s="1"/>
  <c r="U14" i="8"/>
  <c r="U53" i="8" s="1"/>
  <c r="T14" i="8"/>
  <c r="S14" i="8"/>
  <c r="R14" i="8"/>
  <c r="R53" i="8" s="1"/>
  <c r="O14" i="8"/>
  <c r="AF13" i="8"/>
  <c r="AE13" i="8"/>
  <c r="AD13" i="8"/>
  <c r="AC13" i="8"/>
  <c r="AB13" i="8"/>
  <c r="AA13" i="8"/>
  <c r="Z13" i="8"/>
  <c r="Y13" i="8"/>
  <c r="X13" i="8"/>
  <c r="W13" i="8"/>
  <c r="V13" i="8"/>
  <c r="U13" i="8"/>
  <c r="T13" i="8"/>
  <c r="S13" i="8"/>
  <c r="R13" i="8"/>
  <c r="O13" i="8"/>
  <c r="AF12" i="8"/>
  <c r="AE12" i="8"/>
  <c r="AD12" i="8"/>
  <c r="AC12" i="8"/>
  <c r="AB12" i="8"/>
  <c r="AA12" i="8"/>
  <c r="Z12" i="8"/>
  <c r="Y12" i="8"/>
  <c r="X12" i="8"/>
  <c r="W12" i="8"/>
  <c r="V12" i="8"/>
  <c r="U12" i="8"/>
  <c r="T12" i="8"/>
  <c r="S12" i="8"/>
  <c r="R12" i="8"/>
  <c r="O12" i="8"/>
  <c r="AF11" i="8"/>
  <c r="AE11" i="8"/>
  <c r="AD11" i="8"/>
  <c r="AC11" i="8"/>
  <c r="AB11" i="8"/>
  <c r="AA11" i="8"/>
  <c r="Z11" i="8"/>
  <c r="Y11" i="8"/>
  <c r="X11" i="8"/>
  <c r="W11" i="8"/>
  <c r="V11" i="8"/>
  <c r="U11" i="8"/>
  <c r="T11" i="8"/>
  <c r="S11" i="8"/>
  <c r="R11" i="8"/>
  <c r="O11" i="8"/>
  <c r="AF10" i="8"/>
  <c r="AE10" i="8"/>
  <c r="AD10" i="8"/>
  <c r="AC10" i="8"/>
  <c r="AB10" i="8"/>
  <c r="AA10" i="8"/>
  <c r="Z10" i="8"/>
  <c r="Y10" i="8"/>
  <c r="X10" i="8"/>
  <c r="W10" i="8"/>
  <c r="V10" i="8"/>
  <c r="U10" i="8"/>
  <c r="T10" i="8"/>
  <c r="S10" i="8"/>
  <c r="R10" i="8"/>
  <c r="O10" i="8"/>
  <c r="AF9" i="8"/>
  <c r="AE9" i="8"/>
  <c r="AD9" i="8"/>
  <c r="AC9" i="8"/>
  <c r="AB9" i="8"/>
  <c r="AA9" i="8"/>
  <c r="Z9" i="8"/>
  <c r="Y9" i="8"/>
  <c r="X9" i="8"/>
  <c r="W9" i="8"/>
  <c r="V9" i="8"/>
  <c r="U9" i="8"/>
  <c r="T9" i="8"/>
  <c r="S9" i="8"/>
  <c r="R9" i="8"/>
  <c r="O9" i="8"/>
  <c r="AF8" i="8"/>
  <c r="AE8" i="8"/>
  <c r="AD8" i="8"/>
  <c r="AC8" i="8"/>
  <c r="AB8" i="8"/>
  <c r="AA8" i="8"/>
  <c r="Z8" i="8"/>
  <c r="Y8" i="8"/>
  <c r="X8" i="8"/>
  <c r="W8" i="8"/>
  <c r="V8" i="8"/>
  <c r="U8" i="8"/>
  <c r="T8" i="8"/>
  <c r="S8" i="8"/>
  <c r="R8" i="8"/>
  <c r="O8" i="8"/>
  <c r="AF7" i="8"/>
  <c r="AE7" i="8"/>
  <c r="AD7" i="8"/>
  <c r="AC7" i="8"/>
  <c r="AB7" i="8"/>
  <c r="AA7" i="8"/>
  <c r="Z7" i="8"/>
  <c r="Y7" i="8"/>
  <c r="X7" i="8"/>
  <c r="W7" i="8"/>
  <c r="V7" i="8"/>
  <c r="U7" i="8"/>
  <c r="T7" i="8"/>
  <c r="S7" i="8"/>
  <c r="R7" i="8"/>
  <c r="O7" i="8"/>
  <c r="AF6" i="8"/>
  <c r="AE6" i="8"/>
  <c r="AD6" i="8"/>
  <c r="AC6" i="8"/>
  <c r="AB6" i="8"/>
  <c r="AA6" i="8"/>
  <c r="Z6" i="8"/>
  <c r="Y6" i="8"/>
  <c r="X6" i="8"/>
  <c r="W6" i="8"/>
  <c r="V6" i="8"/>
  <c r="U6" i="8"/>
  <c r="T6" i="8"/>
  <c r="S6" i="8"/>
  <c r="R6" i="8"/>
  <c r="O6" i="8"/>
  <c r="AF5" i="8"/>
  <c r="AF52" i="8" s="1"/>
  <c r="AE5" i="8"/>
  <c r="AE52" i="8" s="1"/>
  <c r="AD5" i="8"/>
  <c r="AD52" i="8" s="1"/>
  <c r="AC5" i="8"/>
  <c r="AC52" i="8" s="1"/>
  <c r="AB5" i="8"/>
  <c r="AB52" i="8" s="1"/>
  <c r="AA5" i="8"/>
  <c r="AA52" i="8" s="1"/>
  <c r="Z5" i="8"/>
  <c r="Z52" i="8" s="1"/>
  <c r="Y5" i="8"/>
  <c r="Y52" i="8" s="1"/>
  <c r="X5" i="8"/>
  <c r="X52" i="8" s="1"/>
  <c r="W5" i="8"/>
  <c r="W52" i="8" s="1"/>
  <c r="V5" i="8"/>
  <c r="V52" i="8" s="1"/>
  <c r="U5" i="8"/>
  <c r="U52" i="8" s="1"/>
  <c r="T5" i="8"/>
  <c r="T52" i="8" s="1"/>
  <c r="S5" i="8"/>
  <c r="S52" i="8" s="1"/>
  <c r="R5" i="8"/>
  <c r="R52" i="8" s="1"/>
  <c r="O5" i="8"/>
  <c r="O4" i="8"/>
  <c r="O44" i="8" s="1"/>
  <c r="V63" i="12" l="1"/>
  <c r="AD45" i="8"/>
  <c r="AD59" i="8"/>
  <c r="X64" i="8"/>
  <c r="X63" i="8"/>
  <c r="U63" i="8"/>
  <c r="Y63" i="8"/>
  <c r="AC63" i="8"/>
  <c r="Y64" i="8"/>
  <c r="AF63" i="8"/>
  <c r="AD46" i="8"/>
  <c r="Z64" i="8"/>
  <c r="U64" i="8"/>
  <c r="AC64" i="8"/>
  <c r="T46" i="8"/>
  <c r="AB46" i="8"/>
  <c r="R47" i="8"/>
  <c r="Z47" i="8"/>
  <c r="X61" i="8"/>
  <c r="AF61" i="8"/>
  <c r="AF64" i="8" s="1"/>
  <c r="S45" i="8"/>
  <c r="W45" i="8"/>
  <c r="AA45" i="8"/>
  <c r="AE45" i="8"/>
  <c r="U46" i="8"/>
  <c r="Y46" i="8"/>
  <c r="AC46" i="8"/>
  <c r="O47" i="8"/>
  <c r="AD56" i="8"/>
  <c r="R60" i="8"/>
  <c r="R63" i="8" s="1"/>
  <c r="V60" i="8"/>
  <c r="V63" i="8" s="1"/>
  <c r="Z60" i="8"/>
  <c r="Z63" i="8" s="1"/>
  <c r="AD60" i="8"/>
  <c r="X46" i="8"/>
  <c r="AF46" i="8"/>
  <c r="V47" i="8"/>
  <c r="T61" i="8"/>
  <c r="T64" i="8" s="1"/>
  <c r="AB61" i="8"/>
  <c r="AB63" i="8" s="1"/>
  <c r="T45" i="8"/>
  <c r="X45" i="8"/>
  <c r="AB45" i="8"/>
  <c r="AF45" i="8"/>
  <c r="AB64" i="8" l="1"/>
  <c r="T63" i="8"/>
  <c r="AD61" i="8"/>
  <c r="AD64" i="8" s="1"/>
  <c r="AD47" i="8"/>
  <c r="R64" i="8"/>
  <c r="V64" i="8"/>
  <c r="AD63" i="8" l="1"/>
  <c r="L100" i="7" l="1"/>
  <c r="L99" i="7"/>
  <c r="L98" i="7"/>
  <c r="L97" i="7"/>
  <c r="L96" i="7"/>
  <c r="L95" i="7"/>
  <c r="L94" i="7"/>
  <c r="L93" i="7"/>
  <c r="L92" i="7"/>
  <c r="L91" i="7"/>
  <c r="L90" i="7"/>
  <c r="L89" i="7"/>
  <c r="L88" i="7"/>
  <c r="L87" i="7"/>
  <c r="L86" i="7"/>
  <c r="L85" i="7"/>
  <c r="L84" i="7"/>
  <c r="L83" i="7"/>
  <c r="L82" i="7"/>
  <c r="L81" i="7"/>
  <c r="L80" i="7"/>
  <c r="L79" i="7"/>
  <c r="L78" i="7"/>
  <c r="L77" i="7"/>
  <c r="L76" i="7"/>
  <c r="L75" i="7"/>
  <c r="L74" i="7"/>
  <c r="L73" i="7"/>
  <c r="L72" i="7"/>
  <c r="L71" i="7"/>
  <c r="L70" i="7"/>
  <c r="L69" i="7"/>
  <c r="L68" i="7"/>
  <c r="L67" i="7"/>
  <c r="L66" i="7"/>
  <c r="L65" i="7"/>
  <c r="L64" i="7"/>
  <c r="L63" i="7"/>
  <c r="L62" i="7"/>
  <c r="L61" i="7"/>
  <c r="L60" i="7"/>
  <c r="L59" i="7"/>
  <c r="L58" i="7"/>
  <c r="L57" i="7"/>
  <c r="L56" i="7"/>
  <c r="L55" i="7"/>
  <c r="L54" i="7"/>
  <c r="L53" i="7"/>
  <c r="L52" i="7"/>
  <c r="L51" i="7"/>
  <c r="L50" i="7"/>
  <c r="L49" i="7"/>
  <c r="L48" i="7"/>
  <c r="L47" i="7"/>
  <c r="L46" i="7"/>
  <c r="L45" i="7"/>
  <c r="L44" i="7"/>
  <c r="L43" i="7"/>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O6" i="7"/>
  <c r="L5" i="7"/>
  <c r="H4" i="7"/>
  <c r="T4" i="7" s="1"/>
  <c r="S3" i="7"/>
  <c r="T3" i="7" s="1"/>
  <c r="L2" i="7"/>
  <c r="O27" i="6"/>
  <c r="L25" i="6"/>
  <c r="N24" i="6"/>
  <c r="O24" i="6" s="1"/>
  <c r="L23" i="6"/>
  <c r="L22" i="6"/>
  <c r="L21" i="6"/>
  <c r="L20" i="6"/>
  <c r="O17" i="6"/>
  <c r="L17" i="6"/>
  <c r="N11" i="6"/>
  <c r="O11" i="6" s="1"/>
  <c r="O2" i="6"/>
  <c r="L2" i="6"/>
  <c r="D14" i="4"/>
  <c r="F13" i="4"/>
  <c r="E13" i="4"/>
  <c r="D13" i="4"/>
  <c r="C13" i="4"/>
  <c r="F6" i="4"/>
  <c r="F14" i="4" s="1"/>
  <c r="E6" i="4"/>
  <c r="E14" i="4" s="1"/>
  <c r="D6" i="4"/>
  <c r="C6" i="4"/>
  <c r="C14" i="4" s="1"/>
  <c r="E20" i="3" l="1"/>
  <c r="C20" i="3"/>
  <c r="E19" i="3"/>
  <c r="C19" i="3"/>
  <c r="E18" i="3"/>
  <c r="C18" i="3"/>
  <c r="E17" i="3"/>
  <c r="C17" i="3"/>
  <c r="E16" i="3"/>
  <c r="C16" i="3"/>
  <c r="E15" i="3"/>
  <c r="C15" i="3"/>
  <c r="G10" i="3"/>
  <c r="E10" i="3"/>
  <c r="C10" i="3"/>
</calcChain>
</file>

<file path=xl/sharedStrings.xml><?xml version="1.0" encoding="utf-8"?>
<sst xmlns="http://schemas.openxmlformats.org/spreadsheetml/2006/main" count="855" uniqueCount="417">
  <si>
    <t>DA Enabled Circuits</t>
  </si>
  <si>
    <t>Ckt</t>
  </si>
  <si>
    <t>Date Enabled</t>
  </si>
  <si>
    <t>ALG-15</t>
  </si>
  <si>
    <t>ARD-43</t>
  </si>
  <si>
    <t>BCH-13</t>
  </si>
  <si>
    <t>BCH-15</t>
  </si>
  <si>
    <t>BDI-13</t>
  </si>
  <si>
    <t>BKB-12</t>
  </si>
  <si>
    <t>BKB-13</t>
  </si>
  <si>
    <t>BTR-24</t>
  </si>
  <si>
    <t>CAM-25</t>
  </si>
  <si>
    <t>CAM-26</t>
  </si>
  <si>
    <t>CPV-13</t>
  </si>
  <si>
    <t>CTR-22</t>
  </si>
  <si>
    <t>CUM-13</t>
  </si>
  <si>
    <t>ELD-27</t>
  </si>
  <si>
    <t>EVE-13</t>
  </si>
  <si>
    <t>EVE-26</t>
  </si>
  <si>
    <t>FWD-17</t>
  </si>
  <si>
    <t>GLA-13</t>
  </si>
  <si>
    <t>GLC-15</t>
  </si>
  <si>
    <t>GRI-13</t>
  </si>
  <si>
    <t>HAP-16</t>
  </si>
  <si>
    <t>HKX-13</t>
  </si>
  <si>
    <t>HKX-16</t>
  </si>
  <si>
    <t>HLC-23</t>
  </si>
  <si>
    <t>HOB-15</t>
  </si>
  <si>
    <t>HWD-25</t>
  </si>
  <si>
    <t>ING-13</t>
  </si>
  <si>
    <t>ING-15</t>
  </si>
  <si>
    <t>KNM-23</t>
  </si>
  <si>
    <t>KWH-24</t>
  </si>
  <si>
    <t>LLT-15</t>
  </si>
  <si>
    <t>MTV-17</t>
  </si>
  <si>
    <t>MVW-13</t>
  </si>
  <si>
    <t>PAD-15</t>
  </si>
  <si>
    <t>PAN-12</t>
  </si>
  <si>
    <t>PAN-14</t>
  </si>
  <si>
    <t>PET-16</t>
  </si>
  <si>
    <t>PRI-13</t>
  </si>
  <si>
    <t>PRI-23</t>
  </si>
  <si>
    <t>RDO-13</t>
  </si>
  <si>
    <t>ROS-17</t>
  </si>
  <si>
    <t>SHD-18</t>
  </si>
  <si>
    <t>SOO-25</t>
  </si>
  <si>
    <t>SUM-23</t>
  </si>
  <si>
    <t>SWA-16</t>
  </si>
  <si>
    <t>VAS-12</t>
  </si>
  <si>
    <t>VAS-13</t>
  </si>
  <si>
    <t>VAS-22</t>
  </si>
  <si>
    <t>VAS-23</t>
  </si>
  <si>
    <t>WOB-23</t>
  </si>
  <si>
    <t>WOO-23</t>
  </si>
  <si>
    <t>WOO-26</t>
  </si>
  <si>
    <t>WOO-27</t>
  </si>
  <si>
    <t>Online - Survey Monkey Response Baseline</t>
  </si>
  <si>
    <t>Baseline: Pre-SPA (6-16-15 survey) for complex</t>
  </si>
  <si>
    <t>Project Application</t>
  </si>
  <si>
    <t>Planning &amp; Coordination</t>
  </si>
  <si>
    <t>Project Estimates &amp; Pricing</t>
  </si>
  <si>
    <t>Construction</t>
  </si>
  <si>
    <t>Customer Service</t>
  </si>
  <si>
    <t>Sub Total Average of Above Catagories:</t>
  </si>
  <si>
    <t>Overall Satisfaction of Performance:</t>
  </si>
  <si>
    <t>Variance 
2017 – 2018</t>
  </si>
  <si>
    <t xml:space="preserve">Variance 
2016 – 2017 </t>
  </si>
  <si>
    <t>Overall Satisfaction of Performance</t>
  </si>
  <si>
    <t>Planning &amp; Coordination - lowest</t>
  </si>
  <si>
    <t>coordinating project designs &amp; plans to meet your timelines</t>
  </si>
  <si>
    <t>communication &amp; maintaining clear, accurate &amp; detailed project schedule</t>
  </si>
  <si>
    <t>providing clear information on the construction process</t>
  </si>
  <si>
    <t>providing the correct project design the first time</t>
  </si>
  <si>
    <t xml:space="preserve">overall performance of planning </t>
  </si>
  <si>
    <t>Customer Service - 2nd lowest</t>
  </si>
  <si>
    <t>responding promptly to your questions</t>
  </si>
  <si>
    <t>providing communicaton &amp; feedback trhoughout the project</t>
  </si>
  <si>
    <t>including notifications and status updates</t>
  </si>
  <si>
    <t>overall performance of PSE in meeting your needs and expectations</t>
  </si>
  <si>
    <t>Gas and Electric Damages: 2015 - 2018</t>
  </si>
  <si>
    <t>Damages</t>
  </si>
  <si>
    <t xml:space="preserve">   Gas </t>
  </si>
  <si>
    <t xml:space="preserve">   Elec </t>
  </si>
  <si>
    <t>Total damages</t>
  </si>
  <si>
    <t>Locates</t>
  </si>
  <si>
    <t>Gas Locates</t>
  </si>
  <si>
    <t>Total locates</t>
  </si>
  <si>
    <t>Ratios</t>
  </si>
  <si>
    <t>Gas damage ratio (to enable comparison with AGA data)</t>
  </si>
  <si>
    <t>Damage ratio--total damages
(Damages per 1,000 locates)</t>
  </si>
  <si>
    <t>`</t>
  </si>
  <si>
    <t xml:space="preserve">Year </t>
  </si>
  <si>
    <t># Of Operations</t>
  </si>
  <si>
    <t xml:space="preserve">Successful </t>
  </si>
  <si>
    <t>Success %</t>
  </si>
  <si>
    <t xml:space="preserve">Partial </t>
  </si>
  <si>
    <t>Partial %</t>
  </si>
  <si>
    <t>Unsuccessful</t>
  </si>
  <si>
    <t>Unsuccessful %</t>
  </si>
  <si>
    <t>Customer Interruptions Saved</t>
  </si>
  <si>
    <t>Customer Minutes Saved</t>
  </si>
  <si>
    <t>Missed Opportunity Customer Interruptions</t>
  </si>
  <si>
    <t>Missed Opportunity Customer Minutes</t>
  </si>
  <si>
    <t>Operations Missed due to Work Practices</t>
  </si>
  <si>
    <t>Missed Opportunity Customer Interruptions due to Work Practices</t>
  </si>
  <si>
    <t>Missed Opportunity Customer Minutes due to Work Practices</t>
  </si>
  <si>
    <t>*</t>
  </si>
  <si>
    <t>Total</t>
  </si>
  <si>
    <t>*Not Tracked</t>
  </si>
  <si>
    <t>Sucessful Operation = All possible customers restored</t>
  </si>
  <si>
    <t xml:space="preserve">Partial Operation = Some customers restored, but not all that could have been </t>
  </si>
  <si>
    <t>Unsuccessful = No customers restored</t>
  </si>
  <si>
    <t>Date of Event</t>
  </si>
  <si>
    <t>Time</t>
  </si>
  <si>
    <t>Event #</t>
  </si>
  <si>
    <t>Substation</t>
  </si>
  <si>
    <t>Feeder</t>
  </si>
  <si>
    <t>Device Locked Out</t>
  </si>
  <si>
    <t># of Customers on Device Locked Out</t>
  </si>
  <si>
    <t>Outage Length (Minutes)</t>
  </si>
  <si>
    <t>Sequence of Operation</t>
  </si>
  <si>
    <t xml:space="preserve">Automatic Restoration Time </t>
  </si>
  <si>
    <t>Customers Automatically Restored</t>
  </si>
  <si>
    <t xml:space="preserve">OMS Single Order  (Yes/No) </t>
  </si>
  <si>
    <t>Missed Opportunity (# of Customers Could of Restored)</t>
  </si>
  <si>
    <t>Missed Opportunity (# of Customers Minutes PSE could of Saved)</t>
  </si>
  <si>
    <t>Follow Up Actions</t>
  </si>
  <si>
    <t xml:space="preserve">Follow Up Complete </t>
  </si>
  <si>
    <t>Operation Classification</t>
  </si>
  <si>
    <t>ING</t>
  </si>
  <si>
    <t>X420</t>
  </si>
  <si>
    <t xml:space="preserve">X420 locked out at 00:45 due to a fallen tree limb, YFA isolated the faulted area by issuing open commands to  reclosers X1424 and X5408.  YFA then issue a closed command to X636, restoring 418 customers up to device X1424.  Due to a communication error YFA was not able to restore the 313 customers downstream of X5408.  Therefore a partially successful operation. </t>
  </si>
  <si>
    <t>1 minute 45 seconds</t>
  </si>
  <si>
    <t>No</t>
  </si>
  <si>
    <t xml:space="preserve">Follow up on communication errors process to ensure communication problems are handled in a timely manner.  OMS also didn't issue all orders in one due to a point name mismatch the process will be improved with DA Team identifying point name changes to DA Devices to the OMS team. The DA Display had issues with resetting YFA targets as well. </t>
  </si>
  <si>
    <t>DA Diplay Fixed  Feb 2018, OMS/ECS Point Name Changes process identifeid, Communication Tracking On Going</t>
  </si>
  <si>
    <t>Partial</t>
  </si>
  <si>
    <t>O#426882-1</t>
  </si>
  <si>
    <t>VAS</t>
  </si>
  <si>
    <t>X307</t>
  </si>
  <si>
    <t xml:space="preserve">X307 locked out due to a fault downstream.  YFA then sent a Open command to X6358 to Isolated the faulted area.  YFA then stopped automation, as there wasn't a restoration path available. </t>
  </si>
  <si>
    <t>N/A</t>
  </si>
  <si>
    <t>Yes</t>
  </si>
  <si>
    <t>Successful</t>
  </si>
  <si>
    <t>O#426551-1</t>
  </si>
  <si>
    <t>HLC</t>
  </si>
  <si>
    <t>HLC-23 CB</t>
  </si>
  <si>
    <t xml:space="preserve">HLC-23 Circuit Breaker locekd out due to fault downstream.  YFA then issue a open command to recloser 2910 to Isoalte the fault.  YFA then stopped automation because a modeling error showed that the area behind 2910 was energized still.  This occurred becasue of source/load voltages were flipped on recloser 2162. System Ops closed in 2162 remotely after 18 minutes to restore customers up to recloser 2910.  </t>
  </si>
  <si>
    <t xml:space="preserve">Have system protection reissue a DNP map with correct source/load side voltages.  This was identified during the point to point of the device, but never corrected.  The end to end test doesn't test voltages, due to the resources required to do such tests. </t>
  </si>
  <si>
    <t>O#428015-1</t>
  </si>
  <si>
    <t>GRI</t>
  </si>
  <si>
    <t>T-Line</t>
  </si>
  <si>
    <t xml:space="preserve">At 10:01 the transmission line feeding the GRI and ELD locked out, ELD was restored at 10:06.  YFA started processing a voltage management event for GRI at 10:07, it opened O-1116 and issued a comamnd to closed O-287.  This command failed due to a ICCP point name not being correct.  Therefore YFA automation stopped. </t>
  </si>
  <si>
    <t xml:space="preserve">Started Process to get ICCP error corrected, will be corrected by ECS Group by the 2/7 Release Date </t>
  </si>
  <si>
    <t>At 15:27 GRI-13 was closed, and YFA detected it did not have voltages on O-1116, therefore processed another voltage management event. It opened O-1116 and tried to issue a close on O-287. The command failed due to a ICCP point name not being correct. Therefore automation stopped.</t>
  </si>
  <si>
    <t xml:space="preserve">428539-1 </t>
  </si>
  <si>
    <t>HLC-23 CB locked out due to a fault downstream of it, YFA then issued a command to open 2910 to isolate the faulted area.  Due to an YFA Modeling error, the source and load side voltages on the normal open 2162 prevented YFA from automatically restoring. At 13:16 System Operations sent a SCADA close to 2913, restoring 697 customers.</t>
  </si>
  <si>
    <t xml:space="preserve">The team was aware of the issue on 2162 voltages, from the 1/21/18 operation of this scheme.  This issue was followed up on and fixed on 1/29/18. </t>
  </si>
  <si>
    <t>428539-2</t>
  </si>
  <si>
    <t xml:space="preserve">N/A </t>
  </si>
  <si>
    <t>Most likely during the fault at 13:11, an A phase jumper was damaged/open.  Therefore when the system was restored to normal 14:24, most of the feeder only had 2 of 3 phases.  YFA detected this event, but had conflicting information due to the miss modeled voltages on 2162. Then at 14:57 a communication failure removed the conflicting information that 2162 was providing the model, which allowed YFA to declare a loss of voltage event at 14:58 at 2910.  Due to a communication error at 2910, it moved to the next upstream device and issued an open for 1106, to isolate voltage issue.  Since there was a communication problem on the feeder YFA did not restore, as designed.</t>
  </si>
  <si>
    <t xml:space="preserve">The team was aware of the issue on 2162 voltages, from the 1/21/18 operation of this scheme.  This issue was followed up on and fixed on 1/29/18.  Communication errors are being tracked, and will need further discussions on the drop outs. This one had 3 devices drop out at once. </t>
  </si>
  <si>
    <t>Recloser 1/29/2018 Communication TBD</t>
  </si>
  <si>
    <t>HWD</t>
  </si>
  <si>
    <t>X8617</t>
  </si>
  <si>
    <t xml:space="preserve">X8617 Locked out due to a fault downstream, since this device protects the area between the Normal Open and itself.  There is no restoration path for Automation to restore. </t>
  </si>
  <si>
    <t>None</t>
  </si>
  <si>
    <t>O#432671-1</t>
  </si>
  <si>
    <t xml:space="preserve">At 13:48:29 the Hillcrest substation lost it's transmission source.  YFA declared a loss of voltage event and issued a command to open Recloser 2910 at 13:49:02.  Since Swantown had already lost transmission source as well, YFA sent a close command to recloser 2162 at 13:49:54, restoring 697 customers from CPV-13. </t>
  </si>
  <si>
    <t>1 minute 26 seconds</t>
  </si>
  <si>
    <t>Discuss Implentation of Restoring up to SCADA feeder breakers via Eaton recommended fix (YFA Work)</t>
  </si>
  <si>
    <t>On Going - Estimated Completion Date June 2018</t>
  </si>
  <si>
    <t>O#431996-1</t>
  </si>
  <si>
    <t>HOB</t>
  </si>
  <si>
    <t>X286</t>
  </si>
  <si>
    <t xml:space="preserve">At 11:22:08 X286 locked out due to a fault downstream of it.  At 11:24 AM YFA issued open commands to X856 and X11473 to isolate the faulted area.  YFA then stopped automation, due to a point missing in the ICCP model for the Cumberland Transformer, since YFA couldn't determine loading there, YFA didn't restore. </t>
  </si>
  <si>
    <t>Transformer Points added to ICCP Model - 3/2/18  Better point to point process for Substation Points/YFA Points - Josh/Joe (3/31/18) - Subsytem Health Activity Report Checks - Josh (3/9/18)</t>
  </si>
  <si>
    <t>Heath Reports Checks Completed, XTR Points Completed (3/2) New P2P Process Starated</t>
  </si>
  <si>
    <t>Circuit Breaker</t>
  </si>
  <si>
    <t xml:space="preserve">At 13:10 HOB-15 CB locked out due to a fault downstream of it.  Since the scheme was already in a abnormal state, YFA didn't issue any new commands as there were no restoration paths through a non faulted area. Although it would of failed due to the same transformer error at Cumberland. </t>
  </si>
  <si>
    <t>431902-1</t>
  </si>
  <si>
    <t>SHD</t>
  </si>
  <si>
    <t>X1902</t>
  </si>
  <si>
    <t>At 10:53:50 recloser X1902 locked out due to fault downstream, YFA then issued a command to isolate the faulted area by opening up recloser X2123.  YFA then issued command to NO X942 to restore up to X2123 from BDI-13.</t>
  </si>
  <si>
    <t>1 minute 50 seconds</t>
  </si>
  <si>
    <t>Ensure communication calculation in ICCP has arguments, this will prevent the health issue that stops restoration from SOO-25.  Submitted to ECS team, will be included in release targeted for:2/28/18</t>
  </si>
  <si>
    <t xml:space="preserve">Health Issues are Cleared, Communication Calculaitons On Going Fixes and Discussion </t>
  </si>
  <si>
    <t>BDI</t>
  </si>
  <si>
    <t>X77668</t>
  </si>
  <si>
    <t xml:space="preserve">At 12:11:53 a second fault happened after the first restoration that resulted in a lock out at recloser X77668.  YFA then  issued a command to open recloser X942 that was closed due to the first restoration event.  Due to a error in the ICCP DA Communication calculation, YFA was unable to close X958 to restore the customers that were out. </t>
  </si>
  <si>
    <t xml:space="preserve">X1902 declared a lost of voltage event and YFA issued a open command, to X1902.  Then YFA determiend X1902 had correct voltages and closed it back in.  Eaton is investigating as indication is the voltage never dropped below 66% for devices. Nor does YFA logs indicate it did. </t>
  </si>
  <si>
    <t xml:space="preserve">Eaton investigation results, Joel indicated operations hadn't done anything to cause a loss of voltage.  Also YFA wasn't logging values, we enabled logging on 2/28/18. </t>
  </si>
  <si>
    <t xml:space="preserve">Eaton Investigation - Unclear - PI Showed Voltage Dropped - Logging Enabled 2/28/18 in YFA </t>
  </si>
  <si>
    <t>CUM</t>
  </si>
  <si>
    <t>CUM-13 CB</t>
  </si>
  <si>
    <t>At 1:19AM on 4/28 CUM-13 CB locked out due to a fault downstream, YFA didn't receive fault indication.  Therefore automation didn't occur because it perceived this an manual open as designed.  Root cause of YFA not receiving fault indication, was the backup relay had incorrect settings and it operated first.  System protection will be issuing new settings, so this does not occur again.</t>
  </si>
  <si>
    <t>System Protection Issuing New Settings for Backup Relay and recomending installation of Relay to Relay communications.  System Protection also did a review of past DA projects and didn't find any other instance of this issue.</t>
  </si>
  <si>
    <t>MVW</t>
  </si>
  <si>
    <t>High Side Switch/MVW-13 CB</t>
  </si>
  <si>
    <t>At 10:47 MVW Substation locked out, de-energizing MVW-13.  At 10:48 Automation declared a loss of voltage on recloser X2576, it then issued a open on recloser X2576.  Automation then issued a close command for X10186 at 10:48:54 restoring up to the open recloser X2576.</t>
  </si>
  <si>
    <t>1 minute 58 seconds</t>
  </si>
  <si>
    <t xml:space="preserve">Automation did not restore up to the breaker due to known issue with breaker not reporting loss of voltage.  A fix is identified, and will be tested during the End to End Test for BKB-13. The project was delayed due to material issuse and is expected to be tested by End of August/Early September </t>
  </si>
  <si>
    <t xml:space="preserve">Looking into Training Issues with Wiremen Sub Ops </t>
  </si>
  <si>
    <t>O-4656886</t>
  </si>
  <si>
    <t>CTR</t>
  </si>
  <si>
    <t>CTR-22 CB</t>
  </si>
  <si>
    <t xml:space="preserve">At 17:53:09 CTR-22 CB indicated it locked out in EMS,  and at 17:53:12 X700 EMS received indication that X700 also indicated a lockout.  Due to both devices targeting and locking out Automation interpreted it as a mis-coordinated fault, therefore it placed the fault location downstream of X700.  Since it assumed the fault was downstream of X700, it closed in CTR-22 CB at 17:54:53 this created a new fault event due to a failed arrestor and cutout and locked CTR-22 CB out again.  Automation reprocessed this new fault event and ended up issuing a open to relocser X735 to isolate the faulted area and close in X2115 at 17:55:34 to restore customers that were downstream of X735. </t>
  </si>
  <si>
    <t>2 mins 55 secs</t>
  </si>
  <si>
    <t xml:space="preserve">X695 Recloser Headunit is being replaced, due ot the flash over on the B Phase contacts.  (System Protection request) </t>
  </si>
  <si>
    <t xml:space="preserve">Completed </t>
  </si>
  <si>
    <t>466337-1</t>
  </si>
  <si>
    <t>CAM</t>
  </si>
  <si>
    <t xml:space="preserve">CAM-25 CB </t>
  </si>
  <si>
    <t>At 13:22:35 CAM-25 CB Tripped due to protective settings and X77046  tripped due to protective settings.  Then at 13:22:59 EMS received a close trip for CAM-26 CB resulting in a lockout.  Automation proceeded to treat this fault as a mis-coordinated fault since it received a fault trip downstream from the locked out device.  At this point Automation proceeded to isolate the fault area by issuing a open to X77406 at 13:24 and  an open to X11413 at 13:25.  After isolation Automation, proceeded with restoration by closing CAM-26 CB at 13:25 and closing recloser X695 at 13:25 restoring a total of 875 customers.</t>
  </si>
  <si>
    <t>3 min 7 seconds</t>
  </si>
  <si>
    <t xml:space="preserve">OMS to follow up on  Issue with X11413 Status coming into OMS correctly - Completed
System Protection to check on coordination with CAM-25 CB and X77046 </t>
  </si>
  <si>
    <t>O-469292</t>
  </si>
  <si>
    <t xml:space="preserve">At 19:08 SHD-18 circuit breaker tripped, as well as recloser X1902 due to a fault downstream.  SHD-18 CB reclosed and locked out  and X1902 reported lockout, since it had no source voltage to reclose.  Automation then issued an open to X2123 at 19:09 to isolate the faulted area.  Automation then determined that BDI was the highest capacity route to restore from, so automation issued a closed to X942 at 19:11 to restore customers up to the open recloser X2123. </t>
  </si>
  <si>
    <t>3 min 24 secs</t>
  </si>
  <si>
    <t>System Protection to Review SOE, due to possible miscordinated fault - Completed 10/10
SCADA - YFA Configuraiton Change for Non SCADA Breakers - Disabling Voltage Management at Device Level to prevent future issues with sending closes to Non SCADA Devices (10/24)</t>
  </si>
  <si>
    <t xml:space="preserve">At 21:00:32 recloser X286 locked out due to protective settings. Recloser X856 had also targeted for the fault, but did not operate since it was in its correct settings group 2, therefore DA logic placed the permanent between reclosers X856 and X458.  DA issued open commands to recloser X856 and X458 to isolate the faulted area.  Then DA procceded with restoration by closing in recloser X286 restoring those customers from HOB-15 and closing in X6320 restoring up to open recloser X458 from CUM-13. </t>
  </si>
  <si>
    <t>3 mins 21 secs</t>
  </si>
  <si>
    <t>OMS Team to investigate why signals did not come into OMS correctly on return to normal</t>
  </si>
  <si>
    <t>O-473158</t>
  </si>
  <si>
    <t xml:space="preserve">At 08:08 HLC-23 Circuit Breaker locked out, due to its protective settings for a fault downstream.  Automation then issued an open to recloser 2910 at 08:10:27, to isolate the faulted area.  Restoration was achieved by automation issuing a close for recloser 2162 at 08:10:54, restoring customers up to open recloser 2910 from Coupeville 13. </t>
  </si>
  <si>
    <t>2mins 11secs</t>
  </si>
  <si>
    <t xml:space="preserve">HLC-23 CB Lockout Timer (Mechanical Timer at CB), is longer than the stability timer in Automation.  This isn't a Automation stopping event, but discussions with System Protection should occur to see if we can adjust the timers, to provide feedback faster and which will allow for faster restoration times.  This is a issue with all mechanical lockout timers.  </t>
  </si>
  <si>
    <t>O-473884</t>
  </si>
  <si>
    <t xml:space="preserve">At 1:56:26  Recloser X1902 locked out, due to protective settings for a fault downstream.    Automation then issued an open to recloser X2123 at 01:57:51, to isolate the faulted area.  Restoration was achieved by automation issuing a close for recloser X942 at 01:58:13, restoring customers up to open recloser X2123 from Black Diamond 13. </t>
  </si>
  <si>
    <t>1 min 47 secs</t>
  </si>
  <si>
    <t xml:space="preserve">ING-13 CB </t>
  </si>
  <si>
    <t xml:space="preserve">(System Protection) The initial momentary fault was downstream of ING-13 X5408 at approximately 2000A from A-B phase.  ING-13 X420 and X5408 and ING-13 CB all saw this fault. 3 seconds after the initial momentary fault cleared ING-13 saw a new A-B fault at approx. 1000A from EMS. This is most likely line slap since the phases and fault type match exactly. The ING-13 CB never recovered from the fault and eventually went into L/O after the reclose.
(DA) Automation treated this fault as a Mis-Coordinated Fault and issued a open to X5408. X1424 during restoration relay rebooted, causing a communication failure along with incohrent data, stoping any restoration. 
</t>
  </si>
  <si>
    <t>System Protection following up on X1424 Root Cause of Reboot</t>
  </si>
  <si>
    <t xml:space="preserve">On 12/14/2018 at 18:21 X1902 locked out, due to its protective settings for a fault downstream.  At 18:23 automation issued an open to recloser X2123 to isolate the faulted area.  Automation then determined the highest capacity route to restore was by closing X942 at 18:24, restoring the customers downstream of X2123 from BDI-13. </t>
  </si>
  <si>
    <t>2 minutes 20 seconds</t>
  </si>
  <si>
    <t>X2123</t>
  </si>
  <si>
    <t xml:space="preserve">At 11:49 Recloser X2123 locked out due to protective settings for a fault downstream, recloser X1724 sent in fault targets, but didn't open by design as it was in its settings group 2 (non-protective) settings.  Automation sent an open to recloser X1724 at 11:51 to isolate the faulted area.  Then automation issued a close to X2123 at 11:51:28 restoring the customers up to open recloser X1724 from SHD-18. </t>
  </si>
  <si>
    <t>2 minutes 2 seconds</t>
  </si>
  <si>
    <t>Transmission Line</t>
  </si>
  <si>
    <t>*Tracking Purposes Only* At 13:56 the transmission line feeding the HOB-15 feeder locked out, leaving the HOB-15 feeder de-energized.  Loss of Voltage was disabled for this scheme at the time, therefore automation didn't take any action.  If loss of voltage had been enabled Distribution Atuomation would have opened X286 and restored by closing in X11468.</t>
  </si>
  <si>
    <t>Tracking</t>
  </si>
  <si>
    <t>SOO</t>
  </si>
  <si>
    <t xml:space="preserve">SOO-25 CB </t>
  </si>
  <si>
    <t xml:space="preserve">At 1:16 SOO-25 CB locked out for a fault downstream, due to protective settings at the circuit breaker.  Automation issued an open for recloser X1362 at 1:18, to isolate the faulted area.  Restoration was achieved up to open recloser X1367 from SHD-18, when automation closed recloser X958 at 1:18.  A subsequent fault occurred downstream of recloser X2123 on SHD-18 at 1:36, which de-energized the customers that were just restored. Due to another prior fault on BDI-13, no other restoration paths were available, leaving the customers de-energized.  *Recommend looking at the Diagram* </t>
  </si>
  <si>
    <t>2 minutes 35 secs</t>
  </si>
  <si>
    <t>*Note OMS SCADA Link was down
Recloser Lockout and Position Change timing coming into automation, is causing the manual operation to trigger which shuts off automation on the assoicated feeder.  This could stop a future automation event, but didn't impact this one, investigation underway.</t>
  </si>
  <si>
    <t>At 4:01 X420 Recloser locked out due to protective settings for a fault downstream. Automation was disabled at System level, therefore it took no further action.  If it was enabled it could have issued opens for Recloser X1424 / X5408 to isolate the faulted area. Than it would have close recloser X636 and X1829 restoring customers downstream of X1424 and X5408. *Tracking Purposes Only*</t>
  </si>
  <si>
    <t>WOO</t>
  </si>
  <si>
    <t>WOO-23 CB</t>
  </si>
  <si>
    <t>4:16 WOO-23 CB Locked out due to a fault downstream.  Automation was disabled on the system level.  If it had been enabled Automation would have issued an open to P-422 to isolate the faulted area and restored the customers downstream of P-422 by closing in P-662. *Tracking Purposes Only*</t>
  </si>
  <si>
    <t>X286 / HOB-15 CB</t>
  </si>
  <si>
    <t>1:55 Recloser X286 Locked Out due to protective settings for a fault downstream, recloser X856 sent in fault target information but didn’t open as designed, due to it being in switch mode (Settings Group 2).  CB HOB-15 also locked out at 1:56 for a separate fault downstream of it as well. Automation then issued opens at 1:58 to recloser X11473 and X458 to isolate the faulted areas. Restoration occurred when automation issued close(s) to reclosers X11468 and X6320. At 2:02 recloser X11468 locked out, due to its protective settings for a third fault downstream.  At 4:46 System Operations issued a SCADA Open to CUM-13 CB de-energizing the rest of the scheme.</t>
  </si>
  <si>
    <t>4 min 28 seconds</t>
  </si>
  <si>
    <t xml:space="preserve">*OMS SCADA Link was down during this event </t>
  </si>
  <si>
    <t>06:56 Recloser X286 locked out due its protective settings for a fault downstream, recloser X856 also sent in fault targets as designed (Settings Group 2).  Due to how the lockout and position change signals came into the automation software, the software treated these changes as a "manual operation" which automation is set to disable itself.  This is a safety setting to prevent automation from restoring in case of an emergency de-energization. Therefore no restoration occurred. Automation should have isolated the faulted area by opening reclosers X856 and X458. Then it should have restored by closing reclosers X286 and X6320. *See follow-up action items for more information*</t>
  </si>
  <si>
    <t xml:space="preserve">The position changes and lock out signal issue was observed during events that occurred on 1/6, although it did not stop any events that day.  After the initial investigation the DA Team changed communication settings between EMS and the automation software, we ran multiple scheme tests after these changes and did not observe the issue again, so it was assumed to be fixed.  Therefore the DA Team will follow up again on how position and lockout signals come into the automation software.  In the interim the DA Team has disabled all lockout points in the automation software to prevent the inadvertent "manual operations" from occurring.  This will delay future DA restoration by up to 40 seconds, until a viable solution has been created to ensure lockouts do not come in before position changes. It is also important to note the automation software will still automatically disable for manual operations, with the lockout points disabled.  The lockout point is only used to speed up restoration time. 
</t>
  </si>
  <si>
    <t>Customer Counts</t>
  </si>
  <si>
    <t>Customer Additions</t>
  </si>
  <si>
    <t>Division</t>
  </si>
  <si>
    <t>Electric</t>
  </si>
  <si>
    <t>Total ELECTRIC</t>
  </si>
  <si>
    <t>Fiscal year/period</t>
  </si>
  <si>
    <t>Serv County Code</t>
  </si>
  <si>
    <t>Island</t>
  </si>
  <si>
    <t>King</t>
  </si>
  <si>
    <t>Kitsap</t>
  </si>
  <si>
    <t>Kittitas</t>
  </si>
  <si>
    <t>Lewis</t>
  </si>
  <si>
    <t>Pierce</t>
  </si>
  <si>
    <t>San Juan</t>
  </si>
  <si>
    <t>Skagit</t>
  </si>
  <si>
    <t>Snohomish</t>
  </si>
  <si>
    <t>Stevens</t>
  </si>
  <si>
    <t>Thurston</t>
  </si>
  <si>
    <t>Whatcom</t>
  </si>
  <si>
    <t>Assigned</t>
  </si>
  <si>
    <t>US/WA/Not assigned</t>
  </si>
  <si>
    <t>Result</t>
  </si>
  <si>
    <t>012/2015</t>
  </si>
  <si>
    <t>001/2016</t>
  </si>
  <si>
    <t>002/2016</t>
  </si>
  <si>
    <t>003/2016</t>
  </si>
  <si>
    <t>004/2016</t>
  </si>
  <si>
    <t>005/2016</t>
  </si>
  <si>
    <t>006/2016</t>
  </si>
  <si>
    <t>007/2016</t>
  </si>
  <si>
    <t>008/2016</t>
  </si>
  <si>
    <t>009/2016</t>
  </si>
  <si>
    <t>010/2016</t>
  </si>
  <si>
    <t>011/2016</t>
  </si>
  <si>
    <t>012/2016</t>
  </si>
  <si>
    <t>001/2017</t>
  </si>
  <si>
    <t>002/2017</t>
  </si>
  <si>
    <t>003/2017</t>
  </si>
  <si>
    <t>004/2017</t>
  </si>
  <si>
    <t>005/2017</t>
  </si>
  <si>
    <t>006/2017</t>
  </si>
  <si>
    <t>007/2017</t>
  </si>
  <si>
    <t>008/2017</t>
  </si>
  <si>
    <t>009/2017</t>
  </si>
  <si>
    <t>010/2017</t>
  </si>
  <si>
    <t>011/2017</t>
  </si>
  <si>
    <t>012/2017</t>
  </si>
  <si>
    <t>001/2018</t>
  </si>
  <si>
    <t>002/2018</t>
  </si>
  <si>
    <t>003/2018</t>
  </si>
  <si>
    <t>004/2018</t>
  </si>
  <si>
    <t>005/2018</t>
  </si>
  <si>
    <t>006/2018</t>
  </si>
  <si>
    <t>007/2018</t>
  </si>
  <si>
    <t>008/2018</t>
  </si>
  <si>
    <t>009/2018</t>
  </si>
  <si>
    <t>010/2018</t>
  </si>
  <si>
    <t>011/2018</t>
  </si>
  <si>
    <t>012/2018</t>
  </si>
  <si>
    <t>Year End</t>
  </si>
  <si>
    <t>Annual Customer Additions</t>
  </si>
  <si>
    <t>King Co portion of Total</t>
  </si>
  <si>
    <t>Jan 16 thru Dec 19</t>
  </si>
  <si>
    <t>Oct 16 thru Dec 19</t>
  </si>
  <si>
    <t>Total growth Jan16 thru Dec19</t>
  </si>
  <si>
    <t>Total growth Oct16 thru Dec19</t>
  </si>
  <si>
    <t>Total Customer Annual Growth</t>
  </si>
  <si>
    <t>Avg Annual Growth (2017-2018)</t>
  </si>
  <si>
    <t>Average Annual Growth (2017-2018)</t>
  </si>
  <si>
    <t>Avg Annual Growth (2016-2018)</t>
  </si>
  <si>
    <t>Average Annual Growth (2016-2018)</t>
  </si>
  <si>
    <t>Natural Gas Delivered to Consumers in the U.S.</t>
  </si>
  <si>
    <t>https://www.eia.gov/dnav/ng/hist/n3060us2a.htm</t>
  </si>
  <si>
    <t>19:01:24 PST</t>
  </si>
  <si>
    <t>Source: U.S. Energy Information Administration</t>
  </si>
  <si>
    <t>Year</t>
  </si>
  <si>
    <t>Natural Gas Delivered to Consumers in the U.S.  Million Cubic Feet</t>
  </si>
  <si>
    <t>Annual Growth %</t>
  </si>
  <si>
    <t>Total Growth 2014-2018</t>
  </si>
  <si>
    <t>Average Annual Growth</t>
  </si>
  <si>
    <t>https://www.eia.gov/electricity/annual/</t>
  </si>
  <si>
    <t/>
  </si>
  <si>
    <t>(From Table 2.1.) Number of Ultimate Customers</t>
  </si>
  <si>
    <t>Residential</t>
  </si>
  <si>
    <t>Commer-cial</t>
  </si>
  <si>
    <t>Industrial</t>
  </si>
  <si>
    <t>Transpor-tation</t>
  </si>
  <si>
    <t>Other</t>
  </si>
  <si>
    <t>Total Growth 2014-2017</t>
  </si>
  <si>
    <t xml:space="preserve"> </t>
  </si>
  <si>
    <t>Average Annual Growth (2014-2017)</t>
  </si>
  <si>
    <t xml:space="preserve">Gas and Electric Damage Reduction, 2015-2018:  </t>
  </si>
  <si>
    <t>CRP_Miles_Repl</t>
  </si>
  <si>
    <t>CRP_Miles_Inj</t>
  </si>
  <si>
    <t>No.Cables_Inj</t>
  </si>
  <si>
    <t>Total CRP_Miles_Repl</t>
  </si>
  <si>
    <t>Actual Outages</t>
  </si>
  <si>
    <t xml:space="preserve">Outage reduction due to failing cable:  </t>
  </si>
  <si>
    <t>SAP - Counts by County</t>
  </si>
  <si>
    <t>Gas</t>
  </si>
  <si>
    <t>Total Assigned</t>
  </si>
  <si>
    <t>snohomish</t>
  </si>
  <si>
    <t>Jan 16 thru Dec 18</t>
  </si>
  <si>
    <t>Oct 16 thru Dec 18</t>
  </si>
  <si>
    <t>Total growth Jan16 thru Dec18</t>
  </si>
  <si>
    <t>Total growth Oct16 thru Dec18</t>
  </si>
  <si>
    <t>YEAR</t>
  </si>
  <si>
    <t>WBS Element</t>
  </si>
  <si>
    <t>Jan</t>
  </si>
  <si>
    <t>Feb</t>
  </si>
  <si>
    <t>Mar</t>
  </si>
  <si>
    <t>Apr</t>
  </si>
  <si>
    <t>May</t>
  </si>
  <si>
    <t>Jun</t>
  </si>
  <si>
    <t>Jul</t>
  </si>
  <si>
    <t>Aug</t>
  </si>
  <si>
    <t>Sep</t>
  </si>
  <si>
    <t>Oct</t>
  </si>
  <si>
    <t>Nov</t>
  </si>
  <si>
    <t>Dec</t>
  </si>
  <si>
    <t>2017 TOTAL</t>
  </si>
  <si>
    <t>2018 TOTAL</t>
  </si>
  <si>
    <t>TOTAL</t>
  </si>
  <si>
    <t>Electric PI</t>
  </si>
  <si>
    <t>R.10008.01.01.01</t>
  </si>
  <si>
    <t>R.10008.01.01.02</t>
  </si>
  <si>
    <t>R.10008.03.01.01</t>
  </si>
  <si>
    <t>R.10008.03.01.03</t>
  </si>
  <si>
    <t>R.10008.03.01.04</t>
  </si>
  <si>
    <t>R.10008.03.01.05</t>
  </si>
  <si>
    <t>R.10009.07.03.01</t>
  </si>
  <si>
    <t>Sub Total</t>
  </si>
  <si>
    <t>Gas PI</t>
  </si>
  <si>
    <t>R.10013.04.01.01</t>
  </si>
  <si>
    <t>R.10013.04.01.02</t>
  </si>
  <si>
    <t>R.10013.07.01.01</t>
  </si>
  <si>
    <t>R.10013.07.01.02</t>
  </si>
  <si>
    <t>Gas and Electric Public Improvement Project Counts by month</t>
  </si>
  <si>
    <t>Month</t>
  </si>
  <si>
    <t>Operations Completed</t>
  </si>
  <si>
    <t>Worker Days</t>
  </si>
  <si>
    <t>Operations Completed Per Worker Per Day</t>
  </si>
  <si>
    <t>2016-2017 Baseline</t>
  </si>
  <si>
    <t>% Change over Baseline</t>
  </si>
  <si>
    <t>Customer satisfaction for new customer construction</t>
  </si>
  <si>
    <t>Pricing Model</t>
  </si>
  <si>
    <t>O&amp;M</t>
  </si>
  <si>
    <t>Capital</t>
  </si>
  <si>
    <t>Avg Inspect/Treat Dist</t>
  </si>
  <si>
    <t>Avg Inspect/Treat Trans</t>
  </si>
  <si>
    <t>Avg Truss - Dist</t>
  </si>
  <si>
    <t>Avg Truss - Tran</t>
  </si>
  <si>
    <t>Avg Replace - Dist</t>
  </si>
  <si>
    <t>Avg Replace - Trans</t>
  </si>
  <si>
    <t>D</t>
  </si>
  <si>
    <t>T</t>
  </si>
  <si>
    <t>Distribution</t>
  </si>
  <si>
    <t>Cost savings per pole - Dist</t>
  </si>
  <si>
    <t>Transmission</t>
  </si>
  <si>
    <t>Cost savings per pole - Trans</t>
  </si>
  <si>
    <t>Avg Cost Savings per pole - T&amp;D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</si>
</sst>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0.0"/>
    <numFmt numFmtId="165" formatCode="0.0%"/>
    <numFmt numFmtId="166" formatCode="h:mm:ss;@"/>
    <numFmt numFmtId="167" formatCode="#,##0;\-#,##0;#,##0;@"/>
    <numFmt numFmtId="168" formatCode="_(* #,##0_);_(* \(#,##0\);_(* &quot;-&quot;??_);_(@_)"/>
  </numFmts>
  <fonts count="39">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Segoe UI"/>
      <family val="2"/>
    </font>
    <font>
      <b/>
      <sz val="12"/>
      <color theme="1"/>
      <name val="Calibri"/>
      <family val="2"/>
      <scheme val="minor"/>
    </font>
    <font>
      <b/>
      <sz val="10"/>
      <color theme="1"/>
      <name val="Segoe UI"/>
      <family val="2"/>
    </font>
    <font>
      <b/>
      <sz val="11"/>
      <color theme="1"/>
      <name val="Segoe UI"/>
      <family val="2"/>
    </font>
    <font>
      <u/>
      <sz val="11"/>
      <color theme="1"/>
      <name val="Calibri"/>
      <family val="2"/>
      <scheme val="minor"/>
    </font>
    <font>
      <sz val="10"/>
      <color theme="1"/>
      <name val="Arial"/>
      <family val="2"/>
    </font>
    <font>
      <b/>
      <sz val="14"/>
      <color theme="1"/>
      <name val="Arial"/>
      <family val="2"/>
    </font>
    <font>
      <b/>
      <sz val="9"/>
      <color theme="1"/>
      <name val="Arial"/>
      <family val="2"/>
    </font>
    <font>
      <b/>
      <sz val="10"/>
      <color theme="1"/>
      <name val="Arial"/>
      <family val="2"/>
    </font>
    <font>
      <sz val="10"/>
      <name val="Arial"/>
      <family val="2"/>
    </font>
    <font>
      <sz val="8"/>
      <color rgb="FF000000"/>
      <name val="Arial"/>
      <family val="2"/>
    </font>
    <font>
      <b/>
      <sz val="11"/>
      <color rgb="FF7030A0"/>
      <name val="Calibri"/>
      <family val="2"/>
      <scheme val="minor"/>
    </font>
    <font>
      <sz val="10"/>
      <name val="MS Sans Serif"/>
    </font>
    <font>
      <b/>
      <sz val="10"/>
      <name val="Calibri"/>
      <family val="2"/>
      <scheme val="minor"/>
    </font>
    <font>
      <sz val="10"/>
      <color theme="1"/>
      <name val="Calibri"/>
      <family val="2"/>
      <scheme val="minor"/>
    </font>
    <font>
      <b/>
      <sz val="10"/>
      <color theme="1"/>
      <name val="Calibri"/>
      <family val="2"/>
      <scheme val="minor"/>
    </font>
    <font>
      <sz val="12"/>
      <color theme="1"/>
      <name val="Times New Roman"/>
      <family val="1"/>
    </font>
    <font>
      <u val="double"/>
      <sz val="8"/>
      <color theme="1"/>
      <name val="Arial"/>
      <family val="2"/>
    </font>
    <font>
      <b/>
      <sz val="10"/>
      <color indexed="8"/>
      <name val="Arial"/>
      <family val="2"/>
    </font>
    <font>
      <b/>
      <sz val="12"/>
      <color indexed="30"/>
      <name val="Arial"/>
      <family val="2"/>
    </font>
    <font>
      <sz val="10"/>
      <color indexed="8"/>
      <name val="Arial"/>
      <family val="2"/>
    </font>
    <font>
      <sz val="10"/>
      <name val="Geneva"/>
    </font>
    <font>
      <u/>
      <sz val="10"/>
      <name val="Geneva"/>
    </font>
    <font>
      <sz val="10"/>
      <name val="MS Sans Serif"/>
      <family val="2"/>
    </font>
    <font>
      <sz val="11"/>
      <name val="Calibri"/>
      <family val="2"/>
      <scheme val="minor"/>
    </font>
    <font>
      <i/>
      <sz val="11"/>
      <color theme="1"/>
      <name val="Calibri"/>
      <family val="2"/>
      <scheme val="minor"/>
    </font>
    <font>
      <sz val="10"/>
      <color theme="0"/>
      <name val="Segoe UI"/>
      <family val="2"/>
    </font>
    <font>
      <b/>
      <sz val="11"/>
      <color theme="1"/>
      <name val="Segoe UI Semilight"/>
      <family val="2"/>
    </font>
    <font>
      <b/>
      <sz val="12"/>
      <color theme="1"/>
      <name val="Segoe UI Semilight"/>
      <family val="2"/>
    </font>
    <font>
      <sz val="8"/>
      <color theme="1"/>
      <name val="Segoe UI Semilight"/>
      <family val="2"/>
    </font>
    <font>
      <sz val="11"/>
      <color theme="1"/>
      <name val="Segoe UI Semilight"/>
      <family val="2"/>
    </font>
    <font>
      <sz val="10"/>
      <color theme="1"/>
      <name val="Segoe UI Semilight"/>
      <family val="2"/>
    </font>
    <font>
      <b/>
      <sz val="9"/>
      <color theme="1"/>
      <name val="Segoe UI Semilight"/>
      <family val="2"/>
    </font>
    <font>
      <b/>
      <sz val="8"/>
      <color theme="1"/>
      <name val="Segoe UI Semilight"/>
      <family val="2"/>
    </font>
    <font>
      <b/>
      <sz val="12"/>
      <name val="Arial"/>
      <family val="2"/>
    </font>
  </fonts>
  <fills count="21">
    <fill>
      <patternFill patternType="none"/>
    </fill>
    <fill>
      <patternFill patternType="gray125"/>
    </fill>
    <fill>
      <patternFill patternType="solid">
        <fgColor rgb="FFF2F2F2"/>
        <bgColor indexed="64"/>
      </patternFill>
    </fill>
    <fill>
      <patternFill patternType="solid">
        <fgColor theme="6" tint="0.59999389629810485"/>
        <bgColor indexed="64"/>
      </patternFill>
    </fill>
    <fill>
      <patternFill patternType="solid">
        <fgColor theme="0"/>
        <bgColor indexed="64"/>
      </patternFill>
    </fill>
    <fill>
      <patternFill patternType="solid">
        <fgColor rgb="FF92D050"/>
        <bgColor indexed="64"/>
      </patternFill>
    </fill>
    <fill>
      <patternFill patternType="solid">
        <fgColor theme="6"/>
        <bgColor theme="6"/>
      </patternFill>
    </fill>
    <fill>
      <patternFill patternType="solid">
        <fgColor theme="6" tint="0.79998168889431442"/>
        <bgColor theme="6" tint="0.79998168889431442"/>
      </patternFill>
    </fill>
    <fill>
      <patternFill patternType="solid">
        <fgColor rgb="FFFFF843"/>
        <bgColor indexed="64"/>
      </patternFill>
    </fill>
    <fill>
      <patternFill patternType="solid">
        <fgColor rgb="FFE9EEF4"/>
        <bgColor indexed="64"/>
      </patternFill>
    </fill>
    <fill>
      <patternFill patternType="solid">
        <fgColor rgb="FFFFFFFF"/>
        <bgColor indexed="64"/>
      </patternFill>
    </fill>
    <fill>
      <patternFill patternType="solid">
        <fgColor theme="9" tint="0.59999389629810485"/>
        <bgColor indexed="64"/>
      </patternFill>
    </fill>
    <fill>
      <patternFill patternType="solid">
        <fgColor indexed="65"/>
        <bgColor indexed="64"/>
      </patternFill>
    </fill>
    <fill>
      <patternFill patternType="solid">
        <fgColor theme="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00FF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64"/>
      </left>
      <right/>
      <top/>
      <bottom/>
      <diagonal/>
    </border>
    <border>
      <left/>
      <right/>
      <top style="thin">
        <color auto="1"/>
      </top>
      <bottom style="thin">
        <color auto="1"/>
      </bottom>
      <diagonal/>
    </border>
    <border>
      <left style="medium">
        <color rgb="FFAEAEAE"/>
      </left>
      <right style="medium">
        <color rgb="FFAEAEAE"/>
      </right>
      <top style="medium">
        <color rgb="FFAEAEAE"/>
      </top>
      <bottom style="medium">
        <color rgb="FFAEAEAE"/>
      </bottom>
      <diagonal/>
    </border>
    <border>
      <left/>
      <right style="thin">
        <color rgb="FFFFFFFF"/>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6" fillId="0" borderId="0"/>
    <xf numFmtId="0" fontId="25" fillId="0" borderId="0"/>
    <xf numFmtId="0" fontId="1" fillId="0" borderId="0"/>
    <xf numFmtId="44" fontId="1" fillId="0" borderId="0" applyFont="0" applyFill="0" applyBorder="0" applyAlignment="0" applyProtection="0"/>
  </cellStyleXfs>
  <cellXfs count="269">
    <xf numFmtId="0" fontId="0" fillId="0" borderId="0" xfId="0"/>
    <xf numFmtId="0" fontId="5" fillId="0" borderId="0" xfId="0" applyFont="1" applyAlignment="1">
      <alignment horizontal="left"/>
    </xf>
    <xf numFmtId="0" fontId="0" fillId="0" borderId="0" xfId="0" applyAlignment="1">
      <alignment horizontal="left" indent="1"/>
    </xf>
    <xf numFmtId="0" fontId="0" fillId="0" borderId="0" xfId="0" applyBorder="1"/>
    <xf numFmtId="14" fontId="0" fillId="0" borderId="0" xfId="0" applyNumberFormat="1"/>
    <xf numFmtId="0" fontId="3" fillId="0" borderId="1" xfId="0" applyFont="1" applyBorder="1" applyAlignment="1">
      <alignment horizontal="center"/>
    </xf>
    <xf numFmtId="0" fontId="0" fillId="0" borderId="1" xfId="0" applyBorder="1" applyAlignment="1">
      <alignment horizontal="left" indent="1"/>
    </xf>
    <xf numFmtId="14" fontId="0" fillId="0" borderId="1" xfId="0" applyNumberFormat="1" applyBorder="1"/>
    <xf numFmtId="0" fontId="3" fillId="0" borderId="0" xfId="0" applyFont="1" applyAlignment="1">
      <alignment horizontal="center"/>
    </xf>
    <xf numFmtId="0" fontId="6" fillId="0" borderId="3" xfId="0" applyFont="1" applyFill="1" applyBorder="1" applyAlignment="1">
      <alignment vertical="center" wrapText="1"/>
    </xf>
    <xf numFmtId="0" fontId="4" fillId="2" borderId="4" xfId="0" applyFont="1" applyFill="1" applyBorder="1" applyAlignment="1">
      <alignment vertical="center" wrapText="1"/>
    </xf>
    <xf numFmtId="0" fontId="6" fillId="0" borderId="5" xfId="0" applyFont="1" applyFill="1" applyBorder="1" applyAlignment="1">
      <alignment horizontal="center" vertical="center" wrapText="1"/>
    </xf>
    <xf numFmtId="0" fontId="6" fillId="2" borderId="4" xfId="0" applyFont="1" applyFill="1" applyBorder="1" applyAlignment="1">
      <alignment vertical="center" wrapText="1"/>
    </xf>
    <xf numFmtId="0" fontId="7" fillId="0" borderId="0" xfId="0" applyFont="1" applyAlignment="1">
      <alignment wrapText="1"/>
    </xf>
    <xf numFmtId="0" fontId="4" fillId="0" borderId="6" xfId="0" applyFont="1" applyBorder="1" applyAlignment="1">
      <alignment vertical="center"/>
    </xf>
    <xf numFmtId="164" fontId="4" fillId="2" borderId="7" xfId="0" applyNumberFormat="1" applyFont="1" applyFill="1" applyBorder="1" applyAlignment="1">
      <alignment vertical="center"/>
    </xf>
    <xf numFmtId="2" fontId="6" fillId="0" borderId="0" xfId="0" applyNumberFormat="1" applyFont="1" applyBorder="1" applyAlignment="1">
      <alignment horizontal="center" vertical="center"/>
    </xf>
    <xf numFmtId="2" fontId="4" fillId="2" borderId="7" xfId="0" applyNumberFormat="1" applyFont="1" applyFill="1" applyBorder="1" applyAlignment="1">
      <alignment horizontal="center" vertical="center"/>
    </xf>
    <xf numFmtId="164" fontId="4" fillId="2" borderId="7" xfId="0" applyNumberFormat="1" applyFont="1" applyFill="1" applyBorder="1" applyAlignment="1">
      <alignment horizontal="center"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0" xfId="0" applyFont="1" applyFill="1" applyBorder="1" applyAlignment="1">
      <alignment vertical="center"/>
    </xf>
    <xf numFmtId="164" fontId="4" fillId="2" borderId="0" xfId="0" applyNumberFormat="1" applyFont="1" applyFill="1" applyBorder="1" applyAlignment="1">
      <alignment vertical="center"/>
    </xf>
    <xf numFmtId="0" fontId="4" fillId="3" borderId="8" xfId="0" applyFont="1" applyFill="1" applyBorder="1" applyAlignment="1">
      <alignment vertical="center"/>
    </xf>
    <xf numFmtId="0" fontId="4" fillId="2" borderId="9" xfId="0" applyFont="1" applyFill="1" applyBorder="1" applyAlignment="1">
      <alignment vertical="center"/>
    </xf>
    <xf numFmtId="2" fontId="4" fillId="2" borderId="9" xfId="0" applyNumberFormat="1" applyFont="1" applyFill="1" applyBorder="1" applyAlignment="1">
      <alignment horizontal="center" vertical="center"/>
    </xf>
    <xf numFmtId="164" fontId="4" fillId="2" borderId="9" xfId="0" applyNumberFormat="1" applyFont="1" applyFill="1" applyBorder="1" applyAlignment="1">
      <alignment horizontal="center" vertical="center"/>
    </xf>
    <xf numFmtId="0" fontId="6" fillId="0" borderId="10" xfId="0" applyFont="1" applyFill="1" applyBorder="1" applyAlignment="1">
      <alignment horizontal="center" vertical="center" wrapText="1"/>
    </xf>
    <xf numFmtId="164" fontId="6" fillId="0" borderId="11" xfId="0" applyNumberFormat="1" applyFont="1" applyBorder="1" applyAlignment="1">
      <alignment horizontal="center" vertical="center"/>
    </xf>
    <xf numFmtId="0" fontId="4" fillId="2" borderId="8" xfId="0" applyFont="1" applyFill="1" applyBorder="1" applyAlignment="1">
      <alignment vertical="center"/>
    </xf>
    <xf numFmtId="0" fontId="4" fillId="2" borderId="12" xfId="0" applyFont="1" applyFill="1" applyBorder="1" applyAlignment="1">
      <alignment vertical="center"/>
    </xf>
    <xf numFmtId="0" fontId="8" fillId="0" borderId="0" xfId="0" applyFont="1"/>
    <xf numFmtId="0" fontId="0" fillId="0" borderId="0" xfId="0" applyAlignment="1">
      <alignment horizontal="left" indent="4"/>
    </xf>
    <xf numFmtId="0" fontId="9" fillId="0" borderId="0" xfId="3"/>
    <xf numFmtId="0" fontId="10" fillId="0" borderId="1" xfId="3" applyFont="1" applyBorder="1"/>
    <xf numFmtId="0" fontId="11" fillId="0" borderId="1" xfId="3" applyFont="1" applyBorder="1" applyAlignment="1">
      <alignment horizontal="center"/>
    </xf>
    <xf numFmtId="0" fontId="11" fillId="0" borderId="1" xfId="3" applyFont="1" applyFill="1" applyBorder="1" applyAlignment="1">
      <alignment horizontal="center"/>
    </xf>
    <xf numFmtId="0" fontId="12" fillId="0" borderId="1" xfId="3" applyFont="1" applyBorder="1"/>
    <xf numFmtId="0" fontId="9" fillId="0" borderId="14" xfId="3" applyBorder="1"/>
    <xf numFmtId="0" fontId="9" fillId="0" borderId="14" xfId="3" applyFill="1" applyBorder="1"/>
    <xf numFmtId="0" fontId="9" fillId="0" borderId="1" xfId="3" applyBorder="1"/>
    <xf numFmtId="3" fontId="13" fillId="4" borderId="1" xfId="3" applyNumberFormat="1" applyFont="1" applyFill="1" applyBorder="1" applyAlignment="1"/>
    <xf numFmtId="3" fontId="13" fillId="4" borderId="15" xfId="3" applyNumberFormat="1" applyFont="1" applyFill="1" applyBorder="1" applyAlignment="1"/>
    <xf numFmtId="3" fontId="13" fillId="0" borderId="1" xfId="3" applyNumberFormat="1" applyFont="1" applyFill="1" applyBorder="1" applyAlignment="1"/>
    <xf numFmtId="0" fontId="9" fillId="0" borderId="1" xfId="3" applyBorder="1" applyAlignment="1">
      <alignment horizontal="left" indent="2"/>
    </xf>
    <xf numFmtId="0" fontId="9" fillId="0" borderId="16" xfId="3" applyBorder="1" applyAlignment="1">
      <alignment horizontal="left" indent="2"/>
    </xf>
    <xf numFmtId="3" fontId="13" fillId="4" borderId="0" xfId="3" applyNumberFormat="1" applyFont="1" applyFill="1" applyBorder="1" applyAlignment="1"/>
    <xf numFmtId="3" fontId="13" fillId="0" borderId="0" xfId="3" applyNumberFormat="1" applyFont="1" applyFill="1" applyBorder="1" applyAlignment="1"/>
    <xf numFmtId="0" fontId="12" fillId="0" borderId="1" xfId="3" applyFont="1" applyBorder="1" applyAlignment="1">
      <alignment horizontal="left"/>
    </xf>
    <xf numFmtId="0" fontId="9" fillId="0" borderId="16" xfId="3" applyBorder="1"/>
    <xf numFmtId="3" fontId="9" fillId="0" borderId="1" xfId="3" applyNumberFormat="1" applyBorder="1"/>
    <xf numFmtId="3" fontId="9" fillId="0" borderId="1" xfId="3" applyNumberFormat="1" applyFill="1" applyBorder="1"/>
    <xf numFmtId="0" fontId="9" fillId="0" borderId="15" xfId="3" applyBorder="1" applyAlignment="1">
      <alignment horizontal="left" indent="2"/>
    </xf>
    <xf numFmtId="3" fontId="13" fillId="0" borderId="17" xfId="3" applyNumberFormat="1" applyFont="1" applyFill="1" applyBorder="1" applyAlignment="1"/>
    <xf numFmtId="0" fontId="9" fillId="0" borderId="1" xfId="3" applyFont="1" applyBorder="1" applyAlignment="1">
      <alignment horizontal="left" wrapText="1" indent="2"/>
    </xf>
    <xf numFmtId="4" fontId="13" fillId="0" borderId="1" xfId="3" applyNumberFormat="1" applyFont="1" applyFill="1" applyBorder="1" applyAlignment="1"/>
    <xf numFmtId="0" fontId="9" fillId="0" borderId="1" xfId="3" applyBorder="1" applyAlignment="1">
      <alignment horizontal="left" wrapText="1" indent="2"/>
    </xf>
    <xf numFmtId="0" fontId="0" fillId="0" borderId="1" xfId="0" applyBorder="1"/>
    <xf numFmtId="165" fontId="0" fillId="0" borderId="1" xfId="0" applyNumberFormat="1" applyBorder="1"/>
    <xf numFmtId="3" fontId="0" fillId="0" borderId="1" xfId="0" applyNumberFormat="1" applyBorder="1"/>
    <xf numFmtId="3" fontId="0" fillId="0" borderId="1" xfId="0" applyNumberFormat="1" applyBorder="1" applyAlignment="1">
      <alignment horizontal="center"/>
    </xf>
    <xf numFmtId="0" fontId="0" fillId="0" borderId="1" xfId="0" applyBorder="1" applyAlignment="1">
      <alignment horizontal="center"/>
    </xf>
    <xf numFmtId="0" fontId="0" fillId="5" borderId="1" xfId="0" applyFill="1" applyBorder="1"/>
    <xf numFmtId="165" fontId="0" fillId="5" borderId="1" xfId="0" applyNumberFormat="1" applyFill="1" applyBorder="1"/>
    <xf numFmtId="3" fontId="0" fillId="5" borderId="1" xfId="0" applyNumberFormat="1" applyFill="1" applyBorder="1"/>
    <xf numFmtId="166" fontId="0" fillId="0" borderId="1" xfId="0" applyNumberFormat="1" applyBorder="1"/>
    <xf numFmtId="0" fontId="0" fillId="0" borderId="1" xfId="0" applyBorder="1" applyAlignment="1">
      <alignment wrapText="1"/>
    </xf>
    <xf numFmtId="0" fontId="0" fillId="0" borderId="1" xfId="0" applyBorder="1" applyAlignment="1">
      <alignment horizontal="center" wrapText="1"/>
    </xf>
    <xf numFmtId="0" fontId="2" fillId="6" borderId="1" xfId="0" applyFont="1" applyFill="1" applyBorder="1" applyAlignment="1">
      <alignment wrapText="1"/>
    </xf>
    <xf numFmtId="0" fontId="0" fillId="7" borderId="1" xfId="0" applyFont="1" applyFill="1" applyBorder="1" applyAlignment="1">
      <alignment wrapText="1"/>
    </xf>
    <xf numFmtId="20" fontId="0" fillId="0" borderId="1" xfId="0" applyNumberFormat="1" applyBorder="1" applyAlignment="1">
      <alignment wrapText="1"/>
    </xf>
    <xf numFmtId="20" fontId="0" fillId="0" borderId="1" xfId="0" applyNumberFormat="1" applyBorder="1"/>
    <xf numFmtId="14" fontId="0" fillId="0" borderId="1" xfId="0" applyNumberFormat="1" applyBorder="1" applyAlignment="1">
      <alignment wrapText="1"/>
    </xf>
    <xf numFmtId="0" fontId="0" fillId="0" borderId="1" xfId="0" applyBorder="1" applyAlignment="1">
      <alignment horizontal="left" wrapText="1"/>
    </xf>
    <xf numFmtId="14" fontId="0" fillId="7" borderId="1" xfId="0" applyNumberFormat="1" applyFont="1" applyFill="1" applyBorder="1"/>
    <xf numFmtId="166" fontId="0" fillId="7" borderId="1" xfId="0" applyNumberFormat="1" applyFont="1" applyFill="1" applyBorder="1"/>
    <xf numFmtId="0" fontId="0" fillId="7" borderId="1" xfId="0" applyFont="1" applyFill="1" applyBorder="1"/>
    <xf numFmtId="1" fontId="0" fillId="7" borderId="1" xfId="0" applyNumberFormat="1" applyFont="1" applyFill="1" applyBorder="1" applyAlignment="1">
      <alignment wrapText="1"/>
    </xf>
    <xf numFmtId="14" fontId="0" fillId="7" borderId="1" xfId="0" applyNumberFormat="1" applyFont="1" applyFill="1" applyBorder="1" applyAlignment="1">
      <alignment wrapText="1"/>
    </xf>
    <xf numFmtId="14" fontId="0" fillId="0" borderId="1" xfId="0" applyNumberFormat="1" applyFont="1" applyFill="1" applyBorder="1"/>
    <xf numFmtId="166" fontId="0" fillId="0" borderId="1" xfId="0" applyNumberFormat="1" applyFont="1" applyFill="1" applyBorder="1"/>
    <xf numFmtId="0" fontId="0" fillId="0" borderId="1" xfId="0" applyFont="1" applyFill="1" applyBorder="1"/>
    <xf numFmtId="0" fontId="0" fillId="0" borderId="1" xfId="0" applyFont="1" applyFill="1" applyBorder="1" applyAlignment="1">
      <alignment wrapText="1"/>
    </xf>
    <xf numFmtId="1" fontId="0" fillId="0" borderId="1" xfId="0" applyNumberFormat="1" applyFont="1" applyFill="1" applyBorder="1" applyAlignment="1">
      <alignment wrapText="1"/>
    </xf>
    <xf numFmtId="14" fontId="0" fillId="0" borderId="1" xfId="0" applyNumberFormat="1" applyFont="1" applyFill="1" applyBorder="1" applyAlignment="1">
      <alignment wrapText="1"/>
    </xf>
    <xf numFmtId="0" fontId="0" fillId="0" borderId="1" xfId="0" applyFill="1" applyBorder="1"/>
    <xf numFmtId="0" fontId="0" fillId="0" borderId="0" xfId="0" applyFill="1"/>
    <xf numFmtId="0" fontId="0" fillId="0" borderId="0" xfId="0" applyAlignment="1">
      <alignment wrapText="1"/>
    </xf>
    <xf numFmtId="166" fontId="0" fillId="0" borderId="0" xfId="0" applyNumberFormat="1"/>
    <xf numFmtId="0" fontId="0" fillId="0" borderId="1" xfId="0" applyNumberFormat="1" applyBorder="1"/>
    <xf numFmtId="167" fontId="14" fillId="9" borderId="18" xfId="0" applyNumberFormat="1" applyFont="1" applyFill="1" applyBorder="1" applyAlignment="1">
      <alignment horizontal="right" vertical="center" wrapText="1"/>
    </xf>
    <xf numFmtId="167" fontId="14" fillId="10" borderId="18" xfId="0" applyNumberFormat="1" applyFont="1" applyFill="1" applyBorder="1" applyAlignment="1">
      <alignment horizontal="right" vertical="center" wrapText="1"/>
    </xf>
    <xf numFmtId="0" fontId="14" fillId="10" borderId="18" xfId="0" applyFont="1" applyFill="1" applyBorder="1" applyAlignment="1">
      <alignment horizontal="right" vertical="center" wrapText="1"/>
    </xf>
    <xf numFmtId="167" fontId="14" fillId="8" borderId="18" xfId="0" applyNumberFormat="1" applyFont="1" applyFill="1" applyBorder="1" applyAlignment="1">
      <alignment horizontal="right" vertical="center" wrapText="1"/>
    </xf>
    <xf numFmtId="167" fontId="0" fillId="0" borderId="0" xfId="0" applyNumberFormat="1"/>
    <xf numFmtId="167" fontId="15" fillId="0" borderId="0" xfId="0" applyNumberFormat="1" applyFont="1"/>
    <xf numFmtId="9" fontId="0" fillId="0" borderId="0" xfId="2" applyFont="1"/>
    <xf numFmtId="0" fontId="15" fillId="0" borderId="0" xfId="0" applyFont="1"/>
    <xf numFmtId="0" fontId="17" fillId="0" borderId="0" xfId="4" applyFont="1" applyFill="1" applyAlignment="1">
      <alignment horizontal="right"/>
    </xf>
    <xf numFmtId="168" fontId="18" fillId="0" borderId="0" xfId="1" applyNumberFormat="1" applyFont="1"/>
    <xf numFmtId="0" fontId="17" fillId="0" borderId="0" xfId="4" applyFont="1" applyFill="1"/>
    <xf numFmtId="168" fontId="19" fillId="0" borderId="0" xfId="1" applyNumberFormat="1" applyFont="1" applyAlignment="1">
      <alignment horizontal="right" indent="1"/>
    </xf>
    <xf numFmtId="168" fontId="19" fillId="0" borderId="0" xfId="1" applyNumberFormat="1" applyFont="1" applyAlignment="1">
      <alignment horizontal="left" indent="1"/>
    </xf>
    <xf numFmtId="0" fontId="18" fillId="0" borderId="0" xfId="0" applyFont="1"/>
    <xf numFmtId="0" fontId="19" fillId="0" borderId="0" xfId="0" applyFont="1" applyAlignment="1">
      <alignment horizontal="right"/>
    </xf>
    <xf numFmtId="0" fontId="19" fillId="0" borderId="0" xfId="0" applyFont="1"/>
    <xf numFmtId="165" fontId="0" fillId="0" borderId="0" xfId="2" applyNumberFormat="1" applyFont="1"/>
    <xf numFmtId="165" fontId="15" fillId="0" borderId="0" xfId="2" applyNumberFormat="1" applyFont="1"/>
    <xf numFmtId="0" fontId="17" fillId="0" borderId="0" xfId="4" applyFont="1" applyFill="1" applyAlignment="1">
      <alignment horizontal="left"/>
    </xf>
    <xf numFmtId="165" fontId="0" fillId="0" borderId="0" xfId="0" applyNumberFormat="1"/>
    <xf numFmtId="165" fontId="15" fillId="0" borderId="0" xfId="0" applyNumberFormat="1" applyFont="1"/>
    <xf numFmtId="0" fontId="20" fillId="0" borderId="0" xfId="0" applyFont="1" applyAlignment="1">
      <alignment wrapText="1"/>
    </xf>
    <xf numFmtId="0" fontId="0" fillId="0" borderId="0" xfId="0" applyAlignment="1">
      <alignment horizontal="left"/>
    </xf>
    <xf numFmtId="0" fontId="21" fillId="0" borderId="0" xfId="0" applyFont="1" applyAlignment="1">
      <alignment vertical="center" wrapText="1"/>
    </xf>
    <xf numFmtId="168" fontId="0" fillId="0" borderId="0" xfId="1" applyNumberFormat="1" applyFont="1"/>
    <xf numFmtId="10" fontId="0" fillId="0" borderId="0" xfId="2" applyNumberFormat="1" applyFont="1"/>
    <xf numFmtId="0" fontId="0" fillId="11" borderId="0" xfId="0" applyFill="1"/>
    <xf numFmtId="168" fontId="0" fillId="11" borderId="0" xfId="1" applyNumberFormat="1" applyFont="1" applyFill="1"/>
    <xf numFmtId="0" fontId="0" fillId="0" borderId="0" xfId="0" applyAlignment="1">
      <alignment horizontal="right"/>
    </xf>
    <xf numFmtId="0" fontId="22" fillId="10" borderId="19" xfId="0" applyNumberFormat="1" applyFont="1" applyFill="1" applyBorder="1" applyAlignment="1" applyProtection="1">
      <alignment horizontal="left" wrapText="1"/>
    </xf>
    <xf numFmtId="0" fontId="0" fillId="12" borderId="0" xfId="0" applyNumberFormat="1" applyFont="1" applyFill="1" applyBorder="1" applyAlignment="1" applyProtection="1">
      <alignment horizontal="center"/>
    </xf>
    <xf numFmtId="0" fontId="0" fillId="12" borderId="0" xfId="0" applyNumberFormat="1" applyFont="1" applyFill="1" applyBorder="1" applyAlignment="1" applyProtection="1"/>
    <xf numFmtId="0" fontId="0" fillId="12" borderId="0" xfId="0" applyNumberFormat="1" applyFont="1" applyFill="1" applyBorder="1" applyAlignment="1" applyProtection="1">
      <alignment horizontal="center" wrapText="1"/>
    </xf>
    <xf numFmtId="0" fontId="0" fillId="12" borderId="0" xfId="0" applyNumberFormat="1" applyFont="1" applyFill="1" applyBorder="1" applyAlignment="1" applyProtection="1">
      <alignment wrapText="1"/>
    </xf>
    <xf numFmtId="0" fontId="24" fillId="0" borderId="1" xfId="0" applyNumberFormat="1" applyFont="1" applyFill="1" applyBorder="1" applyAlignment="1" applyProtection="1">
      <alignment horizontal="right" wrapText="1"/>
    </xf>
    <xf numFmtId="3" fontId="24" fillId="0" borderId="1" xfId="0" applyNumberFormat="1" applyFont="1" applyFill="1" applyBorder="1" applyAlignment="1" applyProtection="1">
      <alignment horizontal="right" wrapText="1"/>
    </xf>
    <xf numFmtId="165" fontId="0" fillId="12" borderId="0" xfId="2" applyNumberFormat="1" applyFont="1" applyFill="1" applyBorder="1" applyAlignment="1" applyProtection="1"/>
    <xf numFmtId="0" fontId="24" fillId="11" borderId="1" xfId="0" applyNumberFormat="1" applyFont="1" applyFill="1" applyBorder="1" applyAlignment="1" applyProtection="1">
      <alignment horizontal="right" wrapText="1"/>
    </xf>
    <xf numFmtId="3" fontId="24" fillId="11" borderId="1" xfId="0" applyNumberFormat="1" applyFont="1" applyFill="1" applyBorder="1" applyAlignment="1" applyProtection="1">
      <alignment horizontal="right" wrapText="1"/>
    </xf>
    <xf numFmtId="165" fontId="0" fillId="12" borderId="0" xfId="2" applyNumberFormat="1" applyFont="1" applyFill="1" applyBorder="1" applyAlignment="1" applyProtection="1">
      <alignment horizontal="center"/>
    </xf>
    <xf numFmtId="0" fontId="24" fillId="0" borderId="0" xfId="0" applyNumberFormat="1" applyFont="1" applyFill="1" applyBorder="1" applyAlignment="1" applyProtection="1">
      <alignment horizontal="right" wrapText="1"/>
    </xf>
    <xf numFmtId="3" fontId="24" fillId="0" borderId="0" xfId="0" applyNumberFormat="1" applyFont="1" applyFill="1" applyBorder="1" applyAlignment="1" applyProtection="1">
      <alignment horizontal="right" wrapText="1"/>
    </xf>
    <xf numFmtId="0" fontId="0" fillId="12" borderId="0" xfId="0" applyNumberFormat="1" applyFont="1" applyFill="1" applyBorder="1" applyAlignment="1" applyProtection="1">
      <alignment horizontal="right"/>
    </xf>
    <xf numFmtId="0" fontId="23" fillId="10" borderId="0" xfId="0" applyNumberFormat="1" applyFont="1" applyFill="1" applyBorder="1" applyAlignment="1" applyProtection="1">
      <alignment wrapText="1"/>
    </xf>
    <xf numFmtId="0" fontId="9" fillId="0" borderId="0" xfId="3" applyAlignment="1">
      <alignment horizontal="right"/>
    </xf>
    <xf numFmtId="0" fontId="26" fillId="0" borderId="20" xfId="5" applyFont="1" applyBorder="1" applyAlignment="1">
      <alignment horizontal="center"/>
    </xf>
    <xf numFmtId="0" fontId="26" fillId="0" borderId="21" xfId="5" applyFont="1" applyBorder="1" applyAlignment="1">
      <alignment horizontal="center"/>
    </xf>
    <xf numFmtId="0" fontId="26" fillId="0" borderId="22" xfId="5" applyFont="1" applyFill="1" applyBorder="1" applyAlignment="1">
      <alignment horizontal="center"/>
    </xf>
    <xf numFmtId="0" fontId="25" fillId="0" borderId="0" xfId="5" applyAlignment="1">
      <alignment horizontal="center"/>
    </xf>
    <xf numFmtId="3" fontId="25" fillId="0" borderId="0" xfId="5" applyNumberFormat="1" applyAlignment="1">
      <alignment horizontal="center"/>
    </xf>
    <xf numFmtId="0" fontId="25" fillId="0" borderId="0" xfId="5" applyFill="1" applyAlignment="1">
      <alignment horizontal="center"/>
    </xf>
    <xf numFmtId="1" fontId="25" fillId="0" borderId="0" xfId="5" applyNumberFormat="1"/>
    <xf numFmtId="1" fontId="25" fillId="0" borderId="0" xfId="5" applyNumberFormat="1" applyAlignment="1">
      <alignment horizontal="center"/>
    </xf>
    <xf numFmtId="0" fontId="25" fillId="0" borderId="0" xfId="5" applyBorder="1" applyAlignment="1">
      <alignment horizontal="center"/>
    </xf>
    <xf numFmtId="0" fontId="25" fillId="0" borderId="0" xfId="5" applyFill="1" applyBorder="1" applyAlignment="1">
      <alignment horizontal="center"/>
    </xf>
    <xf numFmtId="3" fontId="25" fillId="0" borderId="0" xfId="5" applyNumberFormat="1" applyBorder="1" applyAlignment="1">
      <alignment horizontal="center"/>
    </xf>
    <xf numFmtId="1" fontId="25" fillId="0" borderId="0" xfId="5" applyNumberFormat="1" applyBorder="1" applyAlignment="1">
      <alignment horizontal="center"/>
    </xf>
    <xf numFmtId="0" fontId="27" fillId="0" borderId="0" xfId="5" applyFont="1" applyBorder="1" applyAlignment="1">
      <alignment horizontal="center"/>
    </xf>
    <xf numFmtId="1" fontId="25" fillId="0" borderId="0" xfId="5" applyNumberFormat="1" applyFill="1" applyBorder="1" applyAlignment="1">
      <alignment horizontal="center"/>
    </xf>
    <xf numFmtId="167" fontId="28" fillId="0" borderId="0" xfId="0" applyNumberFormat="1" applyFont="1"/>
    <xf numFmtId="167" fontId="3" fillId="0" borderId="0" xfId="0" applyNumberFormat="1" applyFont="1"/>
    <xf numFmtId="0" fontId="28" fillId="0" borderId="0" xfId="0" applyFont="1"/>
    <xf numFmtId="0" fontId="3" fillId="0" borderId="0" xfId="0" applyFont="1"/>
    <xf numFmtId="167" fontId="28" fillId="0" borderId="0" xfId="0" applyNumberFormat="1" applyFont="1" applyFill="1"/>
    <xf numFmtId="165" fontId="28" fillId="0" borderId="0" xfId="2" applyNumberFormat="1" applyFont="1"/>
    <xf numFmtId="165" fontId="3" fillId="0" borderId="0" xfId="2" applyNumberFormat="1" applyFont="1"/>
    <xf numFmtId="165" fontId="28" fillId="0" borderId="0" xfId="0" applyNumberFormat="1" applyFont="1"/>
    <xf numFmtId="165" fontId="3" fillId="0" borderId="0" xfId="0" applyNumberFormat="1" applyFont="1"/>
    <xf numFmtId="0" fontId="0" fillId="0" borderId="0" xfId="0" applyAlignment="1">
      <alignment horizontal="center"/>
    </xf>
    <xf numFmtId="0" fontId="3" fillId="0" borderId="4" xfId="0" applyFont="1" applyBorder="1"/>
    <xf numFmtId="0" fontId="3" fillId="0" borderId="0" xfId="0" applyFont="1" applyBorder="1" applyAlignment="1">
      <alignment horizontal="center"/>
    </xf>
    <xf numFmtId="0" fontId="3" fillId="0" borderId="25" xfId="0" applyFont="1" applyBorder="1"/>
    <xf numFmtId="0" fontId="3" fillId="0" borderId="25" xfId="0" applyFont="1" applyBorder="1" applyAlignment="1">
      <alignment horizontal="center"/>
    </xf>
    <xf numFmtId="0" fontId="0" fillId="0" borderId="29" xfId="0" applyBorder="1"/>
    <xf numFmtId="0" fontId="3" fillId="0" borderId="29" xfId="0" applyFont="1" applyBorder="1" applyAlignment="1">
      <alignment horizontal="center"/>
    </xf>
    <xf numFmtId="0" fontId="30" fillId="13" borderId="1" xfId="0" applyFont="1" applyFill="1" applyBorder="1"/>
    <xf numFmtId="0" fontId="4" fillId="0" borderId="0" xfId="0" applyFont="1"/>
    <xf numFmtId="17" fontId="4" fillId="0" borderId="1" xfId="0" applyNumberFormat="1" applyFont="1" applyBorder="1"/>
    <xf numFmtId="3" fontId="4" fillId="0" borderId="1" xfId="0" applyNumberFormat="1" applyFont="1" applyBorder="1"/>
    <xf numFmtId="0" fontId="4" fillId="0" borderId="1" xfId="0" applyNumberFormat="1" applyFont="1" applyBorder="1"/>
    <xf numFmtId="164" fontId="4" fillId="0" borderId="1" xfId="0" applyNumberFormat="1" applyFont="1" applyBorder="1"/>
    <xf numFmtId="0" fontId="4" fillId="0" borderId="1" xfId="0" applyFont="1" applyBorder="1"/>
    <xf numFmtId="0" fontId="4" fillId="0" borderId="0" xfId="0" applyNumberFormat="1" applyFont="1"/>
    <xf numFmtId="0" fontId="6" fillId="0" borderId="0" xfId="0" applyNumberFormat="1" applyFont="1"/>
    <xf numFmtId="164" fontId="6" fillId="0" borderId="0" xfId="0" applyNumberFormat="1" applyFont="1"/>
    <xf numFmtId="165" fontId="6" fillId="0" borderId="0" xfId="2" applyNumberFormat="1" applyFont="1"/>
    <xf numFmtId="0" fontId="31" fillId="0" borderId="1" xfId="6" applyFont="1" applyBorder="1"/>
    <xf numFmtId="0" fontId="32" fillId="0" borderId="1" xfId="6" applyFont="1" applyBorder="1" applyAlignment="1">
      <alignment horizontal="center"/>
    </xf>
    <xf numFmtId="0" fontId="33" fillId="0" borderId="1" xfId="6" applyFont="1" applyBorder="1"/>
    <xf numFmtId="44" fontId="34" fillId="0" borderId="1" xfId="7" applyNumberFormat="1" applyFont="1" applyBorder="1"/>
    <xf numFmtId="0" fontId="35" fillId="0" borderId="1" xfId="0" applyFont="1" applyBorder="1"/>
    <xf numFmtId="9" fontId="31" fillId="0" borderId="1" xfId="0" applyNumberFormat="1" applyFont="1" applyBorder="1" applyAlignment="1">
      <alignment horizontal="center"/>
    </xf>
    <xf numFmtId="9" fontId="31" fillId="0" borderId="1" xfId="2" applyNumberFormat="1" applyFont="1" applyBorder="1" applyAlignment="1">
      <alignment horizontal="center"/>
    </xf>
    <xf numFmtId="0" fontId="35" fillId="0" borderId="0" xfId="0" applyFont="1" applyBorder="1"/>
    <xf numFmtId="9" fontId="31" fillId="0" borderId="0" xfId="0" applyNumberFormat="1" applyFont="1" applyBorder="1" applyAlignment="1">
      <alignment horizontal="center"/>
    </xf>
    <xf numFmtId="0" fontId="36" fillId="0" borderId="0" xfId="0" applyFont="1" applyAlignment="1">
      <alignment horizontal="center"/>
    </xf>
    <xf numFmtId="0" fontId="31" fillId="0" borderId="0" xfId="0" applyFont="1" applyAlignment="1">
      <alignment horizontal="center"/>
    </xf>
    <xf numFmtId="0" fontId="35" fillId="0" borderId="15" xfId="0" applyFont="1" applyFill="1" applyBorder="1"/>
    <xf numFmtId="0" fontId="0" fillId="0" borderId="30" xfId="0" applyBorder="1"/>
    <xf numFmtId="0" fontId="33" fillId="0" borderId="0" xfId="6" applyFont="1" applyBorder="1"/>
    <xf numFmtId="0" fontId="35" fillId="0" borderId="15" xfId="6" applyFont="1" applyFill="1" applyBorder="1"/>
    <xf numFmtId="0" fontId="33" fillId="0" borderId="0" xfId="6" applyFont="1" applyFill="1" applyBorder="1"/>
    <xf numFmtId="0" fontId="37" fillId="0" borderId="0" xfId="6" applyFont="1" applyFill="1" applyBorder="1"/>
    <xf numFmtId="0" fontId="22" fillId="10" borderId="0" xfId="0" applyNumberFormat="1" applyFont="1" applyFill="1" applyBorder="1" applyAlignment="1" applyProtection="1">
      <alignment horizontal="left"/>
    </xf>
    <xf numFmtId="0" fontId="22" fillId="10" borderId="19" xfId="0" applyNumberFormat="1" applyFont="1" applyFill="1" applyBorder="1" applyAlignment="1" applyProtection="1">
      <alignment horizontal="left"/>
    </xf>
    <xf numFmtId="0" fontId="10" fillId="0" borderId="13" xfId="3" applyFont="1" applyBorder="1" applyAlignment="1">
      <alignment horizontal="center" vertical="center"/>
    </xf>
    <xf numFmtId="0" fontId="0" fillId="0" borderId="1" xfId="0" applyBorder="1" applyAlignment="1">
      <alignment horizontal="center" wrapText="1"/>
    </xf>
    <xf numFmtId="0" fontId="0" fillId="0" borderId="2" xfId="0" applyBorder="1" applyAlignment="1">
      <alignment horizontal="center" wrapText="1"/>
    </xf>
    <xf numFmtId="0" fontId="0" fillId="0" borderId="0" xfId="0" applyBorder="1" applyAlignment="1">
      <alignment horizontal="center" wrapText="1"/>
    </xf>
    <xf numFmtId="0" fontId="32" fillId="0" borderId="1" xfId="6" applyFont="1" applyBorder="1" applyAlignment="1">
      <alignment horizontal="center"/>
    </xf>
    <xf numFmtId="9" fontId="0" fillId="16" borderId="0" xfId="0" applyNumberFormat="1" applyFill="1"/>
    <xf numFmtId="0" fontId="0" fillId="15" borderId="0" xfId="0" applyFill="1"/>
    <xf numFmtId="168" fontId="0" fillId="15" borderId="0" xfId="1" applyNumberFormat="1" applyFont="1" applyFill="1"/>
    <xf numFmtId="0" fontId="22" fillId="17" borderId="1" xfId="0" applyNumberFormat="1" applyFont="1" applyFill="1" applyBorder="1" applyAlignment="1" applyProtection="1">
      <alignment horizontal="center" wrapText="1"/>
    </xf>
    <xf numFmtId="3" fontId="22" fillId="17" borderId="1" xfId="0" applyNumberFormat="1" applyFont="1" applyFill="1" applyBorder="1" applyAlignment="1" applyProtection="1">
      <alignment horizontal="right" wrapText="1"/>
    </xf>
    <xf numFmtId="9" fontId="0" fillId="16" borderId="0" xfId="2" applyNumberFormat="1" applyFont="1" applyFill="1" applyBorder="1" applyAlignment="1" applyProtection="1"/>
    <xf numFmtId="4" fontId="13" fillId="16" borderId="1" xfId="3" applyNumberFormat="1" applyFont="1" applyFill="1" applyBorder="1" applyAlignment="1"/>
    <xf numFmtId="9" fontId="9" fillId="16" borderId="0" xfId="2" applyFont="1" applyFill="1"/>
    <xf numFmtId="0" fontId="25" fillId="16" borderId="0" xfId="5" applyFill="1" applyBorder="1" applyAlignment="1">
      <alignment horizontal="center"/>
    </xf>
    <xf numFmtId="9" fontId="0" fillId="16" borderId="0" xfId="2" applyFont="1" applyFill="1"/>
    <xf numFmtId="167" fontId="14" fillId="0" borderId="18" xfId="0" applyNumberFormat="1" applyFont="1" applyFill="1" applyBorder="1" applyAlignment="1">
      <alignment horizontal="right" vertical="center" wrapText="1"/>
    </xf>
    <xf numFmtId="0" fontId="14" fillId="0" borderId="18" xfId="0" applyFont="1" applyFill="1" applyBorder="1" applyAlignment="1">
      <alignment horizontal="right" vertical="center" wrapText="1"/>
    </xf>
    <xf numFmtId="167" fontId="14" fillId="18" borderId="18" xfId="0" applyNumberFormat="1" applyFont="1" applyFill="1" applyBorder="1" applyAlignment="1">
      <alignment horizontal="right" vertical="center" wrapText="1"/>
    </xf>
    <xf numFmtId="49" fontId="0" fillId="17" borderId="18" xfId="0" applyNumberFormat="1" applyFill="1" applyBorder="1" applyAlignment="1">
      <alignment horizontal="left" vertical="center" wrapText="1"/>
    </xf>
    <xf numFmtId="49" fontId="14" fillId="17" borderId="18" xfId="0" applyNumberFormat="1" applyFont="1" applyFill="1" applyBorder="1" applyAlignment="1">
      <alignment horizontal="left" vertical="center" wrapText="1"/>
    </xf>
    <xf numFmtId="49" fontId="14" fillId="17" borderId="18" xfId="0" applyNumberFormat="1" applyFont="1" applyFill="1" applyBorder="1" applyAlignment="1">
      <alignment horizontal="right" vertical="center" wrapText="1"/>
    </xf>
    <xf numFmtId="49" fontId="14" fillId="17" borderId="0" xfId="0" applyNumberFormat="1" applyFont="1" applyFill="1" applyBorder="1" applyAlignment="1">
      <alignment horizontal="left" vertical="center" wrapText="1"/>
    </xf>
    <xf numFmtId="165" fontId="3" fillId="0" borderId="0" xfId="2" applyNumberFormat="1" applyFont="1" applyFill="1"/>
    <xf numFmtId="167" fontId="3" fillId="16" borderId="0" xfId="0" applyNumberFormat="1" applyFont="1" applyFill="1"/>
    <xf numFmtId="165" fontId="3" fillId="16" borderId="0" xfId="0" applyNumberFormat="1" applyFont="1" applyFill="1"/>
    <xf numFmtId="165" fontId="15" fillId="16" borderId="0" xfId="0" applyNumberFormat="1" applyFont="1" applyFill="1"/>
    <xf numFmtId="0" fontId="3" fillId="17" borderId="26" xfId="0" applyFont="1" applyFill="1" applyBorder="1" applyAlignment="1">
      <alignment horizontal="center"/>
    </xf>
    <xf numFmtId="0" fontId="29" fillId="17" borderId="25" xfId="0" applyFont="1" applyFill="1" applyBorder="1" applyAlignment="1">
      <alignment horizont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0" fillId="18" borderId="26" xfId="0" applyFill="1" applyBorder="1" applyAlignment="1">
      <alignment horizontal="center"/>
    </xf>
    <xf numFmtId="0" fontId="0" fillId="18" borderId="27" xfId="0" applyFill="1" applyBorder="1" applyAlignment="1">
      <alignment horizontal="center"/>
    </xf>
    <xf numFmtId="0" fontId="0" fillId="18" borderId="28" xfId="0" applyFill="1" applyBorder="1" applyAlignment="1">
      <alignment horizontal="center"/>
    </xf>
    <xf numFmtId="0" fontId="3" fillId="18" borderId="25" xfId="0" applyFont="1" applyFill="1" applyBorder="1" applyAlignment="1">
      <alignment horizontal="center" vertical="center"/>
    </xf>
    <xf numFmtId="0" fontId="0" fillId="18" borderId="30" xfId="0" applyFill="1" applyBorder="1" applyAlignment="1">
      <alignment horizontal="center"/>
    </xf>
    <xf numFmtId="0" fontId="0" fillId="18" borderId="1" xfId="0" applyFill="1" applyBorder="1" applyAlignment="1">
      <alignment horizontal="center"/>
    </xf>
    <xf numFmtId="0" fontId="0" fillId="18" borderId="15" xfId="0" applyFill="1" applyBorder="1" applyAlignment="1">
      <alignment horizontal="center"/>
    </xf>
    <xf numFmtId="0" fontId="29" fillId="18" borderId="29" xfId="0" applyFont="1" applyFill="1" applyBorder="1" applyAlignment="1">
      <alignment horizontal="center"/>
    </xf>
    <xf numFmtId="0" fontId="0" fillId="14" borderId="26" xfId="0" applyFill="1" applyBorder="1" applyAlignment="1">
      <alignment horizontal="center"/>
    </xf>
    <xf numFmtId="0" fontId="0" fillId="14" borderId="27" xfId="0" applyFill="1" applyBorder="1" applyAlignment="1">
      <alignment horizontal="center"/>
    </xf>
    <xf numFmtId="0" fontId="0" fillId="14" borderId="28" xfId="0" applyFill="1" applyBorder="1" applyAlignment="1">
      <alignment horizontal="center"/>
    </xf>
    <xf numFmtId="0" fontId="3" fillId="14" borderId="25" xfId="0" applyFont="1" applyFill="1" applyBorder="1" applyAlignment="1">
      <alignment horizontal="center" vertical="center"/>
    </xf>
    <xf numFmtId="0" fontId="0" fillId="14" borderId="30" xfId="0" applyFill="1" applyBorder="1" applyAlignment="1">
      <alignment horizontal="center"/>
    </xf>
    <xf numFmtId="0" fontId="0" fillId="14" borderId="1" xfId="0" applyFill="1" applyBorder="1" applyAlignment="1">
      <alignment horizontal="center"/>
    </xf>
    <xf numFmtId="0" fontId="0" fillId="14" borderId="15" xfId="0" applyFill="1" applyBorder="1" applyAlignment="1">
      <alignment horizontal="center"/>
    </xf>
    <xf numFmtId="0" fontId="29" fillId="14" borderId="29" xfId="0" applyFont="1" applyFill="1" applyBorder="1" applyAlignment="1">
      <alignment horizontal="center"/>
    </xf>
    <xf numFmtId="0" fontId="3" fillId="16" borderId="25" xfId="0" applyFont="1" applyFill="1" applyBorder="1" applyAlignment="1">
      <alignment horizontal="center"/>
    </xf>
    <xf numFmtId="0" fontId="0" fillId="0" borderId="24" xfId="0"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0" fillId="0" borderId="33" xfId="0" applyFill="1" applyBorder="1" applyAlignment="1">
      <alignment horizontal="center" vertical="center"/>
    </xf>
    <xf numFmtId="165" fontId="0" fillId="0" borderId="0" xfId="2" applyNumberFormat="1" applyFont="1" applyFill="1"/>
    <xf numFmtId="167" fontId="15" fillId="16" borderId="0" xfId="0" applyNumberFormat="1" applyFont="1" applyFill="1"/>
    <xf numFmtId="167" fontId="0" fillId="16" borderId="0" xfId="0" applyNumberFormat="1" applyFill="1"/>
    <xf numFmtId="9" fontId="0" fillId="16" borderId="1" xfId="2" applyFont="1" applyFill="1" applyBorder="1"/>
    <xf numFmtId="165" fontId="0" fillId="16" borderId="0" xfId="0" applyNumberFormat="1" applyFill="1"/>
    <xf numFmtId="164" fontId="6" fillId="16" borderId="1" xfId="0" applyNumberFormat="1" applyFont="1" applyFill="1" applyBorder="1"/>
    <xf numFmtId="2" fontId="6" fillId="16" borderId="2" xfId="0" applyNumberFormat="1" applyFont="1" applyFill="1" applyBorder="1" applyAlignment="1">
      <alignment horizontal="center" vertical="center"/>
    </xf>
    <xf numFmtId="165" fontId="0" fillId="16" borderId="0" xfId="2" applyNumberFormat="1" applyFont="1" applyFill="1"/>
    <xf numFmtId="44" fontId="34" fillId="20" borderId="1" xfId="7" applyNumberFormat="1" applyFont="1" applyFill="1" applyBorder="1"/>
    <xf numFmtId="165" fontId="31" fillId="18" borderId="1" xfId="0" applyNumberFormat="1" applyFont="1" applyFill="1" applyBorder="1" applyAlignment="1">
      <alignment horizontal="center"/>
    </xf>
    <xf numFmtId="165" fontId="31" fillId="18" borderId="1" xfId="2" applyNumberFormat="1" applyFont="1" applyFill="1" applyBorder="1" applyAlignment="1">
      <alignment horizontal="center"/>
    </xf>
    <xf numFmtId="0" fontId="3" fillId="19" borderId="1" xfId="0" applyFont="1" applyFill="1" applyBorder="1" applyAlignment="1">
      <alignment horizontal="center"/>
    </xf>
    <xf numFmtId="0" fontId="3" fillId="19" borderId="1" xfId="0" applyFont="1" applyFill="1" applyBorder="1" applyAlignment="1">
      <alignment horizontal="left" indent="1"/>
    </xf>
    <xf numFmtId="0" fontId="3" fillId="19" borderId="1" xfId="0" applyFont="1" applyFill="1" applyBorder="1"/>
    <xf numFmtId="3" fontId="0" fillId="16" borderId="1" xfId="0" applyNumberFormat="1" applyFill="1" applyBorder="1"/>
    <xf numFmtId="0" fontId="3" fillId="16" borderId="1" xfId="0" applyFont="1" applyFill="1" applyBorder="1" applyAlignment="1">
      <alignment horizontal="center"/>
    </xf>
    <xf numFmtId="165" fontId="0" fillId="0" borderId="1" xfId="0" applyNumberFormat="1" applyFill="1" applyBorder="1"/>
    <xf numFmtId="3" fontId="0" fillId="0" borderId="1" xfId="0" applyNumberFormat="1" applyFill="1" applyBorder="1"/>
    <xf numFmtId="0" fontId="0" fillId="20" borderId="1" xfId="0" applyFill="1" applyBorder="1" applyAlignment="1">
      <alignment wrapText="1"/>
    </xf>
    <xf numFmtId="0" fontId="38" fillId="10" borderId="0" xfId="0" applyNumberFormat="1" applyFont="1" applyFill="1" applyBorder="1" applyAlignment="1" applyProtection="1">
      <alignment horizontal="left" wrapText="1"/>
    </xf>
    <xf numFmtId="0" fontId="24" fillId="14" borderId="1" xfId="0" applyNumberFormat="1" applyFont="1" applyFill="1" applyBorder="1" applyAlignment="1" applyProtection="1">
      <alignment horizontal="right" wrapText="1"/>
    </xf>
    <xf numFmtId="3" fontId="24" fillId="14" borderId="1" xfId="0" applyNumberFormat="1" applyFont="1" applyFill="1" applyBorder="1" applyAlignment="1" applyProtection="1">
      <alignment horizontal="right" wrapText="1"/>
    </xf>
    <xf numFmtId="0" fontId="3" fillId="17" borderId="25" xfId="0" applyFont="1" applyFill="1" applyBorder="1"/>
  </cellXfs>
  <cellStyles count="8">
    <cellStyle name="Comma" xfId="1" builtinId="3"/>
    <cellStyle name="Currency 2" xfId="7"/>
    <cellStyle name="Normal" xfId="0" builtinId="0"/>
    <cellStyle name="Normal 2" xfId="3"/>
    <cellStyle name="Normal 2 2" xfId="4"/>
    <cellStyle name="Normal 2 3" xfId="5"/>
    <cellStyle name="Normal 2 4" xfId="6"/>
    <cellStyle name="Percent" xfId="2" builtinId="5"/>
  </cellStyles>
  <dxfs count="16">
    <dxf>
      <alignment horizontal="general" vertical="bottom" textRotation="0" wrapText="1" indent="0" justifyLastLine="0" shrinkToFit="0" readingOrder="0"/>
    </dxf>
    <dxf>
      <numFmt numFmtId="0" formatCode="General"/>
    </dxf>
    <dxf>
      <alignment vertical="bottom" textRotation="0" wrapText="1" indent="0" justifyLastLine="0" shrinkToFit="0" readingOrder="0"/>
    </dxf>
    <dxf>
      <numFmt numFmtId="0" formatCode="General"/>
    </dxf>
    <dxf>
      <numFmt numFmtId="0" formatCode="General"/>
    </dxf>
    <dxf>
      <alignment horizontal="general" vertical="bottom" textRotation="0" wrapText="1" indent="0" justifyLastLine="0" shrinkToFit="0" readingOrder="0"/>
    </dxf>
    <dxf>
      <alignment horizontal="general" vertical="bottom" textRotation="0" wrapText="1" indent="0" justifyLastLine="0" shrinkToFit="0" readingOrder="0"/>
    </dxf>
    <dxf>
      <numFmt numFmtId="166" formatCode="h:mm:ss;@"/>
    </dxf>
    <dxf>
      <numFmt numFmtId="19" formatCode="m/d/yyyy"/>
    </dxf>
    <dxf>
      <alignment vertical="bottom" textRotation="0" wrapText="1" indent="0" justifyLastLine="0" shrinkToFit="0" readingOrder="0"/>
    </dxf>
    <dxf>
      <numFmt numFmtId="0" formatCode="General"/>
    </dxf>
    <dxf>
      <alignment horizontal="general" vertical="bottom" textRotation="0" wrapText="1" indent="0" justifyLastLine="0" shrinkToFit="0" readingOrder="0"/>
    </dxf>
    <dxf>
      <alignment horizontal="general" vertical="bottom" textRotation="0" wrapText="1" indent="0" justifyLastLine="0" shrinkToFit="0" readingOrder="0"/>
    </dxf>
    <dxf>
      <numFmt numFmtId="166" formatCode="h:mm:ss;@"/>
    </dxf>
    <dxf>
      <numFmt numFmtId="19" formatCode="m/d/yyyy"/>
    </dxf>
    <dxf>
      <alignment horizontal="general" vertical="bottom" textRotation="0" wrapText="1" indent="0" justifyLastLine="0" shrinkToFit="0" readingOrder="0"/>
    </dxf>
  </dxfs>
  <tableStyles count="0" defaultTableStyle="TableStyleMedium2" defaultPivotStyle="PivotStyleLight16"/>
  <colors>
    <mruColors>
      <color rgb="FF00FF00"/>
      <color rgb="FFFFCC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47625</xdr:colOff>
      <xdr:row>11</xdr:row>
      <xdr:rowOff>0</xdr:rowOff>
    </xdr:from>
    <xdr:to>
      <xdr:col>4</xdr:col>
      <xdr:colOff>171450</xdr:colOff>
      <xdr:row>11</xdr:row>
      <xdr:rowOff>171450</xdr:rowOff>
    </xdr:to>
    <xdr:sp macro="" textlink="">
      <xdr:nvSpPr>
        <xdr:cNvPr id="4" name="Up Arrow 3"/>
        <xdr:cNvSpPr/>
      </xdr:nvSpPr>
      <xdr:spPr>
        <a:xfrm>
          <a:off x="6124575" y="1990725"/>
          <a:ext cx="123825" cy="171450"/>
        </a:xfrm>
        <a:prstGeom prst="up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eam\DavWWWRoot\sites\PlanningMgt\GRC%202019\Booga%20Testimony\Support%20Documents\IWM\Operations%20Per%20Worker%20Per%20D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s"/>
      <sheetName val="Operations Per Worker Per Day"/>
      <sheetName val="Baseline Definitions"/>
      <sheetName val="2016-2017 Baseline Data"/>
      <sheetName val="Ratios"/>
    </sheetNames>
    <sheetDataSet>
      <sheetData sheetId="0"/>
      <sheetData sheetId="1"/>
      <sheetData sheetId="2"/>
      <sheetData sheetId="3">
        <row r="26">
          <cell r="I26">
            <v>4.207195817195708</v>
          </cell>
        </row>
      </sheetData>
      <sheetData sheetId="4"/>
    </sheetDataSet>
  </externalBook>
</externalLink>
</file>

<file path=xl/tables/table1.xml><?xml version="1.0" encoding="utf-8"?>
<table xmlns="http://schemas.openxmlformats.org/spreadsheetml/2006/main" id="1" name="Table2" displayName="Table2" ref="A1:R100" totalsRowShown="0" headerRowDxfId="15">
  <autoFilter ref="A1:R100"/>
  <tableColumns count="18">
    <tableColumn id="1" name="Date of Event" dataDxfId="14"/>
    <tableColumn id="2" name="Time" dataDxfId="13"/>
    <tableColumn id="3" name="Event #"/>
    <tableColumn id="4" name="Substation"/>
    <tableColumn id="5" name="Feeder"/>
    <tableColumn id="6" name="Device Locked Out"/>
    <tableColumn id="7" name="# of Customers on Device Locked Out" dataDxfId="12"/>
    <tableColumn id="8" name="Outage Length (Minutes)" dataDxfId="11"/>
    <tableColumn id="9" name="Sequence of Operation"/>
    <tableColumn id="10" name="Automatic Restoration Time "/>
    <tableColumn id="11" name="Customers Automatically Restored"/>
    <tableColumn id="12" name="Customer Minutes Saved"/>
    <tableColumn id="13" name="OMS Single Order  (Yes/No) "/>
    <tableColumn id="16" name="Missed Opportunity (# of Customers Could of Restored)"/>
    <tableColumn id="17" name="Missed Opportunity (# of Customers Minutes PSE could of Saved)" dataDxfId="10"/>
    <tableColumn id="14" name="Follow Up Actions"/>
    <tableColumn id="15" name="Follow Up Complete " dataDxfId="9"/>
    <tableColumn id="20" name="Operation Classification"/>
  </tableColumns>
  <tableStyleInfo name="TableStyleMedium4" showFirstColumn="0" showLastColumn="0" showRowStripes="1" showColumnStripes="0"/>
</table>
</file>

<file path=xl/tables/table2.xml><?xml version="1.0" encoding="utf-8"?>
<table xmlns="http://schemas.openxmlformats.org/spreadsheetml/2006/main" id="2" name="Table22" displayName="Table22" ref="A1:T100" totalsRowShown="0" headerRowDxfId="0">
  <autoFilter ref="A1:T100"/>
  <tableColumns count="20">
    <tableColumn id="1" name="Date of Event" dataDxfId="8"/>
    <tableColumn id="2" name="Time" dataDxfId="7"/>
    <tableColumn id="3" name="Event #"/>
    <tableColumn id="4" name="Substation"/>
    <tableColumn id="5" name="Feeder"/>
    <tableColumn id="6" name="Device Locked Out"/>
    <tableColumn id="7" name="# of Customers on Device Locked Out" dataDxfId="6"/>
    <tableColumn id="8" name="Outage Length (Minutes)" dataDxfId="5"/>
    <tableColumn id="9" name="Sequence of Operation"/>
    <tableColumn id="10" name="Automatic Restoration Time "/>
    <tableColumn id="11" name="Customers Automatically Restored"/>
    <tableColumn id="12" name="Customer Minutes Saved" dataDxfId="4">
      <calculatedColumnFormula>K2*H2</calculatedColumnFormula>
    </tableColumn>
    <tableColumn id="13" name="OMS Single Order  (Yes/No) "/>
    <tableColumn id="16" name="Missed Opportunity (# of Customers Could of Restored)"/>
    <tableColumn id="17" name="Missed Opportunity (# of Customers Minutes PSE could of Saved)" dataDxfId="3"/>
    <tableColumn id="14" name="Follow Up Actions"/>
    <tableColumn id="15" name="Follow Up Complete " dataDxfId="2"/>
    <tableColumn id="20" name="Operation Classification"/>
    <tableColumn id="18" name="Missed Opportunity Customer Interruptions due to Work Practices"/>
    <tableColumn id="19" name="Missed Opportunity Customer Minutes due to Work Practices" dataDxfId="1"/>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abSelected="1" zoomScale="80" zoomScaleNormal="80" workbookViewId="0">
      <selection activeCell="G24" sqref="G24"/>
    </sheetView>
  </sheetViews>
  <sheetFormatPr defaultRowHeight="15"/>
  <cols>
    <col min="2" max="2" width="21" customWidth="1"/>
    <col min="16" max="16" width="56.7109375" style="87" customWidth="1"/>
  </cols>
  <sheetData>
    <row r="1" spans="1:16">
      <c r="A1" t="s">
        <v>327</v>
      </c>
    </row>
    <row r="2" spans="1:16">
      <c r="A2" t="s">
        <v>328</v>
      </c>
    </row>
    <row r="3" spans="1:16">
      <c r="A3" t="s">
        <v>329</v>
      </c>
    </row>
    <row r="4" spans="1:16" ht="15.75">
      <c r="A4" t="s">
        <v>330</v>
      </c>
      <c r="P4" s="111"/>
    </row>
    <row r="5" spans="1:16" ht="15.75">
      <c r="P5" s="111"/>
    </row>
    <row r="6" spans="1:16" ht="60">
      <c r="A6" t="s">
        <v>331</v>
      </c>
      <c r="B6" s="87" t="s">
        <v>332</v>
      </c>
      <c r="C6" t="s">
        <v>333</v>
      </c>
      <c r="D6" s="112"/>
      <c r="I6" s="113"/>
      <c r="P6"/>
    </row>
    <row r="7" spans="1:16">
      <c r="A7">
        <v>2018</v>
      </c>
      <c r="B7" s="114">
        <v>27402138</v>
      </c>
      <c r="C7" s="115">
        <f>B7/B8-1</f>
        <v>0.10384404239010481</v>
      </c>
      <c r="F7" s="106"/>
      <c r="G7" s="106"/>
      <c r="I7" s="87"/>
      <c r="P7"/>
    </row>
    <row r="8" spans="1:16">
      <c r="A8" s="116">
        <v>2017</v>
      </c>
      <c r="B8" s="117">
        <v>24824284</v>
      </c>
      <c r="C8" s="115">
        <f>B8/B9-1</f>
        <v>-1.5384442086058603E-2</v>
      </c>
      <c r="D8" s="106"/>
      <c r="F8" s="106"/>
      <c r="I8" s="87"/>
      <c r="P8"/>
    </row>
    <row r="9" spans="1:16">
      <c r="A9" s="116">
        <v>2016</v>
      </c>
      <c r="B9" s="117">
        <v>25212159</v>
      </c>
      <c r="C9" s="115">
        <f t="shared" ref="C9:C16" si="0">B9/B10-1</f>
        <v>8.9187825902181661E-3</v>
      </c>
      <c r="D9" s="106"/>
      <c r="F9" s="96"/>
      <c r="I9" s="87"/>
      <c r="P9"/>
    </row>
    <row r="10" spans="1:16">
      <c r="A10" s="116">
        <v>2015</v>
      </c>
      <c r="B10" s="117">
        <v>24989285</v>
      </c>
      <c r="C10" s="115">
        <f t="shared" si="0"/>
        <v>2.4945693550433967E-2</v>
      </c>
      <c r="D10" s="106"/>
      <c r="F10" s="96"/>
      <c r="I10" s="87"/>
      <c r="P10"/>
    </row>
    <row r="11" spans="1:16">
      <c r="A11" s="116">
        <v>2014</v>
      </c>
      <c r="B11" s="117">
        <v>24381082</v>
      </c>
      <c r="C11" s="115">
        <f>B11/B12-1</f>
        <v>2.2742510411019046E-2</v>
      </c>
      <c r="D11" s="106"/>
      <c r="F11" s="96"/>
      <c r="I11" s="87"/>
      <c r="P11"/>
    </row>
    <row r="12" spans="1:16">
      <c r="A12" s="116">
        <v>2013</v>
      </c>
      <c r="B12" s="117">
        <v>23838925</v>
      </c>
      <c r="C12" s="115">
        <f t="shared" si="0"/>
        <v>1.8260402197679326E-2</v>
      </c>
      <c r="D12" s="106"/>
      <c r="I12" s="87"/>
      <c r="P12"/>
    </row>
    <row r="13" spans="1:16">
      <c r="A13" s="201">
        <v>2012</v>
      </c>
      <c r="B13" s="202">
        <v>23411423</v>
      </c>
      <c r="C13" s="115">
        <f t="shared" si="0"/>
        <v>4.2033550194589431E-2</v>
      </c>
      <c r="I13" s="87"/>
      <c r="P13"/>
    </row>
    <row r="14" spans="1:16">
      <c r="A14" s="201">
        <v>2011</v>
      </c>
      <c r="B14" s="202">
        <v>22467053</v>
      </c>
      <c r="C14" s="115">
        <f t="shared" si="0"/>
        <v>1.5366127046511302E-2</v>
      </c>
      <c r="I14" s="87"/>
      <c r="P14"/>
    </row>
    <row r="15" spans="1:16">
      <c r="A15" s="201">
        <v>2010</v>
      </c>
      <c r="B15" s="202">
        <v>22127046</v>
      </c>
      <c r="C15" s="115">
        <f t="shared" si="0"/>
        <v>5.5444768614237416E-2</v>
      </c>
      <c r="I15" s="87"/>
      <c r="P15"/>
    </row>
    <row r="16" spans="1:16">
      <c r="A16" s="201">
        <v>2009</v>
      </c>
      <c r="B16" s="202">
        <v>20964665</v>
      </c>
      <c r="C16" s="115">
        <f t="shared" si="0"/>
        <v>-2.0770552154575128E-2</v>
      </c>
      <c r="I16" s="87"/>
      <c r="P16"/>
    </row>
    <row r="17" spans="1:16">
      <c r="A17">
        <v>2008</v>
      </c>
      <c r="B17" s="114">
        <v>21409349</v>
      </c>
      <c r="I17" s="87"/>
      <c r="P17"/>
    </row>
    <row r="18" spans="1:16">
      <c r="A18">
        <v>2007</v>
      </c>
      <c r="B18" s="114">
        <v>21256042</v>
      </c>
    </row>
    <row r="19" spans="1:16">
      <c r="A19">
        <v>2006</v>
      </c>
      <c r="B19" s="114">
        <v>19972881</v>
      </c>
    </row>
    <row r="20" spans="1:16">
      <c r="A20">
        <v>2005</v>
      </c>
      <c r="B20" s="114">
        <v>20318892</v>
      </c>
    </row>
    <row r="21" spans="1:16">
      <c r="A21">
        <v>2004</v>
      </c>
      <c r="B21" s="114">
        <v>20738454</v>
      </c>
    </row>
    <row r="22" spans="1:16">
      <c r="A22">
        <v>2003</v>
      </c>
      <c r="B22" s="114">
        <v>20562727</v>
      </c>
    </row>
    <row r="23" spans="1:16">
      <c r="A23">
        <v>2002</v>
      </c>
      <c r="B23" s="114">
        <v>21247016</v>
      </c>
    </row>
    <row r="24" spans="1:16">
      <c r="A24">
        <v>2001</v>
      </c>
      <c r="B24" s="114">
        <v>20495108</v>
      </c>
    </row>
    <row r="25" spans="1:16">
      <c r="A25">
        <v>2000</v>
      </c>
      <c r="B25" s="114">
        <v>21539964</v>
      </c>
    </row>
    <row r="26" spans="1:16">
      <c r="A26">
        <v>1999</v>
      </c>
      <c r="B26" s="114">
        <v>20680843</v>
      </c>
    </row>
    <row r="27" spans="1:16">
      <c r="A27">
        <v>1998</v>
      </c>
      <c r="B27" s="114">
        <v>20437798</v>
      </c>
    </row>
    <row r="28" spans="1:16">
      <c r="A28">
        <v>1997</v>
      </c>
      <c r="B28" s="114">
        <v>20782693</v>
      </c>
    </row>
    <row r="30" spans="1:16">
      <c r="B30" s="118" t="s">
        <v>334</v>
      </c>
      <c r="C30" s="115">
        <f>B7/B12-1</f>
        <v>0.14947037251050532</v>
      </c>
      <c r="O30" s="87"/>
      <c r="P30"/>
    </row>
    <row r="31" spans="1:16">
      <c r="B31" s="118" t="s">
        <v>335</v>
      </c>
      <c r="C31" s="200">
        <f>AVERAGE(C7:C11)</f>
        <v>2.9013317371143477E-2</v>
      </c>
      <c r="O31" s="87"/>
      <c r="P31"/>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25"/>
  <sheetViews>
    <sheetView workbookViewId="0">
      <selection activeCell="F21" sqref="F21"/>
    </sheetView>
  </sheetViews>
  <sheetFormatPr defaultRowHeight="15"/>
  <cols>
    <col min="2" max="2" width="29.140625" customWidth="1"/>
    <col min="3" max="3" width="12.140625" bestFit="1" customWidth="1"/>
    <col min="4" max="4" width="11" bestFit="1" customWidth="1"/>
    <col min="5" max="5" width="12.140625" bestFit="1" customWidth="1"/>
  </cols>
  <sheetData>
    <row r="3" spans="2:5" ht="17.25">
      <c r="B3" s="176" t="s">
        <v>401</v>
      </c>
      <c r="C3" s="199"/>
      <c r="D3" s="199"/>
      <c r="E3" s="199"/>
    </row>
    <row r="4" spans="2:5" ht="17.25">
      <c r="B4" s="176"/>
      <c r="C4" s="177"/>
      <c r="D4" s="177" t="s">
        <v>402</v>
      </c>
      <c r="E4" s="177" t="s">
        <v>403</v>
      </c>
    </row>
    <row r="5" spans="2:5" ht="16.5">
      <c r="B5" s="178" t="s">
        <v>404</v>
      </c>
      <c r="C5" s="254">
        <v>40.86</v>
      </c>
      <c r="D5" s="179">
        <f>C5*C11</f>
        <v>19.040760000000002</v>
      </c>
      <c r="E5" s="179">
        <f>C5*C12</f>
        <v>21.819240000000001</v>
      </c>
    </row>
    <row r="6" spans="2:5" ht="16.5">
      <c r="B6" s="178" t="s">
        <v>405</v>
      </c>
      <c r="C6" s="254">
        <v>64.709999999999994</v>
      </c>
      <c r="D6" s="179">
        <v>64.709999999999994</v>
      </c>
      <c r="E6" s="179">
        <v>0</v>
      </c>
    </row>
    <row r="7" spans="2:5" ht="16.5">
      <c r="B7" s="178" t="s">
        <v>406</v>
      </c>
      <c r="C7" s="254">
        <v>1062.03</v>
      </c>
      <c r="D7" s="179" t="s">
        <v>345</v>
      </c>
      <c r="E7" s="179">
        <v>1062.03</v>
      </c>
    </row>
    <row r="8" spans="2:5" ht="16.5">
      <c r="B8" s="178" t="s">
        <v>407</v>
      </c>
      <c r="C8" s="254">
        <v>2127.31</v>
      </c>
      <c r="D8" s="179" t="s">
        <v>345</v>
      </c>
      <c r="E8" s="179">
        <v>2127.31</v>
      </c>
    </row>
    <row r="9" spans="2:5" ht="16.5">
      <c r="B9" s="178" t="s">
        <v>408</v>
      </c>
      <c r="C9" s="254">
        <v>10000</v>
      </c>
      <c r="D9" s="179">
        <f>C9*D11</f>
        <v>600</v>
      </c>
      <c r="E9" s="179">
        <f>C9*D12</f>
        <v>9400</v>
      </c>
    </row>
    <row r="10" spans="2:5" ht="16.5">
      <c r="B10" s="178" t="s">
        <v>409</v>
      </c>
      <c r="C10" s="254">
        <v>35000</v>
      </c>
      <c r="D10" s="179">
        <f>C10*E11</f>
        <v>5600</v>
      </c>
      <c r="E10" s="179">
        <f>C10*E12</f>
        <v>29400</v>
      </c>
    </row>
    <row r="11" spans="2:5" ht="16.5">
      <c r="B11" s="180" t="s">
        <v>402</v>
      </c>
      <c r="C11" s="255">
        <v>0.46600000000000003</v>
      </c>
      <c r="D11" s="181">
        <v>0.06</v>
      </c>
      <c r="E11" s="181">
        <v>0.16</v>
      </c>
    </row>
    <row r="12" spans="2:5" ht="16.5">
      <c r="B12" s="180" t="s">
        <v>403</v>
      </c>
      <c r="C12" s="256">
        <v>0.53400000000000003</v>
      </c>
      <c r="D12" s="182">
        <v>0.94</v>
      </c>
      <c r="E12" s="182">
        <v>0.84</v>
      </c>
    </row>
    <row r="13" spans="2:5" ht="16.5">
      <c r="B13" s="183"/>
      <c r="C13" s="184"/>
      <c r="D13" s="185" t="s">
        <v>410</v>
      </c>
      <c r="E13" s="186" t="s">
        <v>411</v>
      </c>
    </row>
    <row r="15" spans="2:5">
      <c r="B15" s="187" t="s">
        <v>412</v>
      </c>
      <c r="C15" s="188"/>
    </row>
    <row r="16" spans="2:5" ht="16.5">
      <c r="B16" s="178" t="s">
        <v>406</v>
      </c>
      <c r="C16" s="254">
        <v>1062.03</v>
      </c>
    </row>
    <row r="17" spans="2:3" ht="16.5">
      <c r="B17" s="178" t="s">
        <v>408</v>
      </c>
      <c r="C17" s="254">
        <v>10000</v>
      </c>
    </row>
    <row r="18" spans="2:3">
      <c r="B18" s="189" t="s">
        <v>413</v>
      </c>
      <c r="C18" s="96">
        <f>C16/C17-1</f>
        <v>-0.89379699999999995</v>
      </c>
    </row>
    <row r="20" spans="2:3">
      <c r="B20" s="190" t="s">
        <v>414</v>
      </c>
      <c r="C20" s="188"/>
    </row>
    <row r="21" spans="2:3" ht="16.5">
      <c r="B21" s="178" t="s">
        <v>407</v>
      </c>
      <c r="C21" s="254">
        <v>2127.31</v>
      </c>
    </row>
    <row r="22" spans="2:3" ht="16.5">
      <c r="B22" s="178" t="s">
        <v>409</v>
      </c>
      <c r="C22" s="254">
        <v>35000</v>
      </c>
    </row>
    <row r="23" spans="2:3">
      <c r="B23" s="191" t="s">
        <v>415</v>
      </c>
      <c r="C23" s="96">
        <f>C21/C22-1</f>
        <v>-0.93921971428571427</v>
      </c>
    </row>
    <row r="25" spans="2:3">
      <c r="B25" s="192" t="s">
        <v>416</v>
      </c>
      <c r="C25" s="253">
        <f>(C18+C23)/2</f>
        <v>-0.91650835714285717</v>
      </c>
    </row>
  </sheetData>
  <mergeCells count="1">
    <mergeCell ref="C3:E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55"/>
  <sheetViews>
    <sheetView topLeftCell="A16" workbookViewId="0">
      <selection activeCell="H44" sqref="H44"/>
    </sheetView>
  </sheetViews>
  <sheetFormatPr defaultRowHeight="15"/>
  <cols>
    <col min="1" max="1" width="5.5703125" style="8" customWidth="1"/>
    <col min="2" max="2" width="11.85546875" style="2" customWidth="1"/>
    <col min="3" max="3" width="19.140625" customWidth="1"/>
  </cols>
  <sheetData>
    <row r="1" spans="1:3" ht="15.75">
      <c r="A1" s="1" t="s">
        <v>0</v>
      </c>
    </row>
    <row r="2" spans="1:3">
      <c r="A2" s="257"/>
      <c r="B2" s="258" t="s">
        <v>1</v>
      </c>
      <c r="C2" s="259" t="s">
        <v>2</v>
      </c>
    </row>
    <row r="3" spans="1:3" hidden="1">
      <c r="A3"/>
      <c r="B3" s="3" t="s">
        <v>3</v>
      </c>
      <c r="C3" s="4">
        <v>43482</v>
      </c>
    </row>
    <row r="4" spans="1:3">
      <c r="A4" s="5">
        <v>1</v>
      </c>
      <c r="B4" s="6" t="s">
        <v>4</v>
      </c>
      <c r="C4" s="7">
        <v>43376</v>
      </c>
    </row>
    <row r="5" spans="1:3">
      <c r="A5" s="5">
        <v>2</v>
      </c>
      <c r="B5" s="6" t="s">
        <v>5</v>
      </c>
      <c r="C5" s="7">
        <v>42713</v>
      </c>
    </row>
    <row r="6" spans="1:3">
      <c r="A6" s="5">
        <v>3</v>
      </c>
      <c r="B6" s="6" t="s">
        <v>6</v>
      </c>
      <c r="C6" s="7">
        <v>42713</v>
      </c>
    </row>
    <row r="7" spans="1:3">
      <c r="A7" s="5">
        <v>4</v>
      </c>
      <c r="B7" s="6" t="s">
        <v>7</v>
      </c>
      <c r="C7" s="7">
        <v>43091</v>
      </c>
    </row>
    <row r="8" spans="1:3" hidden="1">
      <c r="A8"/>
      <c r="B8" t="s">
        <v>8</v>
      </c>
      <c r="C8" s="4">
        <v>43556</v>
      </c>
    </row>
    <row r="9" spans="1:3">
      <c r="A9" s="5">
        <v>5</v>
      </c>
      <c r="B9" s="6" t="s">
        <v>9</v>
      </c>
      <c r="C9" s="7">
        <v>43411</v>
      </c>
    </row>
    <row r="10" spans="1:3">
      <c r="A10" s="5">
        <v>6</v>
      </c>
      <c r="B10" s="6" t="s">
        <v>10</v>
      </c>
      <c r="C10" s="7">
        <v>43376</v>
      </c>
    </row>
    <row r="11" spans="1:3">
      <c r="A11" s="5">
        <v>7</v>
      </c>
      <c r="B11" s="6" t="s">
        <v>11</v>
      </c>
      <c r="C11" s="7">
        <v>43243</v>
      </c>
    </row>
    <row r="12" spans="1:3">
      <c r="A12" s="5">
        <v>8</v>
      </c>
      <c r="B12" s="6" t="s">
        <v>12</v>
      </c>
      <c r="C12" s="7">
        <v>43424</v>
      </c>
    </row>
    <row r="13" spans="1:3">
      <c r="A13" s="5">
        <v>9</v>
      </c>
      <c r="B13" s="6" t="s">
        <v>13</v>
      </c>
      <c r="C13" s="7">
        <v>43088</v>
      </c>
    </row>
    <row r="14" spans="1:3">
      <c r="A14" s="5">
        <v>10</v>
      </c>
      <c r="B14" s="6" t="s">
        <v>14</v>
      </c>
      <c r="C14" s="7">
        <v>43243</v>
      </c>
    </row>
    <row r="15" spans="1:3">
      <c r="A15" s="5">
        <v>11</v>
      </c>
      <c r="B15" s="6" t="s">
        <v>15</v>
      </c>
      <c r="C15" s="7">
        <v>43365</v>
      </c>
    </row>
    <row r="16" spans="1:3">
      <c r="A16" s="5">
        <v>12</v>
      </c>
      <c r="B16" s="6" t="s">
        <v>16</v>
      </c>
      <c r="C16" s="7">
        <v>43232</v>
      </c>
    </row>
    <row r="17" spans="1:3">
      <c r="A17" s="5">
        <v>13</v>
      </c>
      <c r="B17" s="6" t="s">
        <v>17</v>
      </c>
      <c r="C17" s="7">
        <v>43376</v>
      </c>
    </row>
    <row r="18" spans="1:3">
      <c r="A18" s="5">
        <v>14</v>
      </c>
      <c r="B18" s="6" t="s">
        <v>18</v>
      </c>
      <c r="C18" s="7">
        <v>43376</v>
      </c>
    </row>
    <row r="19" spans="1:3" hidden="1">
      <c r="A19"/>
      <c r="B19" t="s">
        <v>19</v>
      </c>
      <c r="C19" s="4">
        <v>43496</v>
      </c>
    </row>
    <row r="20" spans="1:3">
      <c r="A20" s="5">
        <v>15</v>
      </c>
      <c r="B20" s="6" t="s">
        <v>20</v>
      </c>
      <c r="C20" s="7">
        <v>42736</v>
      </c>
    </row>
    <row r="21" spans="1:3" hidden="1">
      <c r="A21"/>
      <c r="B21" t="s">
        <v>21</v>
      </c>
      <c r="C21" s="4">
        <v>43496</v>
      </c>
    </row>
    <row r="22" spans="1:3">
      <c r="A22" s="5">
        <v>16</v>
      </c>
      <c r="B22" s="6" t="s">
        <v>22</v>
      </c>
      <c r="C22" s="7">
        <v>43232</v>
      </c>
    </row>
    <row r="23" spans="1:3" hidden="1">
      <c r="A23"/>
      <c r="B23" t="s">
        <v>23</v>
      </c>
      <c r="C23" s="4">
        <v>43482</v>
      </c>
    </row>
    <row r="24" spans="1:3">
      <c r="A24" s="5">
        <v>17</v>
      </c>
      <c r="B24" s="6" t="s">
        <v>24</v>
      </c>
      <c r="C24" s="7">
        <v>43088</v>
      </c>
    </row>
    <row r="25" spans="1:3">
      <c r="A25" s="5">
        <v>18</v>
      </c>
      <c r="B25" s="6" t="s">
        <v>25</v>
      </c>
      <c r="C25" s="7">
        <v>43088</v>
      </c>
    </row>
    <row r="26" spans="1:3">
      <c r="A26" s="5">
        <v>19</v>
      </c>
      <c r="B26" s="6" t="s">
        <v>26</v>
      </c>
      <c r="C26" s="7">
        <v>43088</v>
      </c>
    </row>
    <row r="27" spans="1:3">
      <c r="A27" s="5">
        <v>20</v>
      </c>
      <c r="B27" s="6" t="s">
        <v>27</v>
      </c>
      <c r="C27" s="7">
        <v>43365</v>
      </c>
    </row>
    <row r="28" spans="1:3">
      <c r="A28" s="5">
        <v>21</v>
      </c>
      <c r="B28" s="6" t="s">
        <v>28</v>
      </c>
      <c r="C28" s="7">
        <v>43208</v>
      </c>
    </row>
    <row r="29" spans="1:3">
      <c r="A29" s="5">
        <v>22</v>
      </c>
      <c r="B29" s="6" t="s">
        <v>29</v>
      </c>
      <c r="C29" s="7">
        <v>43208</v>
      </c>
    </row>
    <row r="30" spans="1:3">
      <c r="A30" s="5">
        <v>23</v>
      </c>
      <c r="B30" s="6" t="s">
        <v>30</v>
      </c>
      <c r="C30" s="7">
        <v>43208</v>
      </c>
    </row>
    <row r="31" spans="1:3">
      <c r="A31" s="5">
        <v>24</v>
      </c>
      <c r="B31" s="6" t="s">
        <v>31</v>
      </c>
      <c r="C31" s="7">
        <v>43208</v>
      </c>
    </row>
    <row r="32" spans="1:3">
      <c r="A32" s="5">
        <v>25</v>
      </c>
      <c r="B32" s="6" t="s">
        <v>32</v>
      </c>
      <c r="C32" s="7">
        <v>43376</v>
      </c>
    </row>
    <row r="33" spans="1:3">
      <c r="A33" s="5">
        <v>26</v>
      </c>
      <c r="B33" s="6" t="s">
        <v>33</v>
      </c>
      <c r="C33" s="7">
        <v>43208</v>
      </c>
    </row>
    <row r="34" spans="1:3">
      <c r="A34" s="5">
        <v>27</v>
      </c>
      <c r="B34" s="6" t="s">
        <v>34</v>
      </c>
      <c r="C34" s="7">
        <v>43411</v>
      </c>
    </row>
    <row r="35" spans="1:3">
      <c r="A35" s="5">
        <v>28</v>
      </c>
      <c r="B35" s="6" t="s">
        <v>35</v>
      </c>
      <c r="C35" s="7">
        <v>43243</v>
      </c>
    </row>
    <row r="36" spans="1:3">
      <c r="A36" s="5">
        <v>29</v>
      </c>
      <c r="B36" s="6" t="s">
        <v>36</v>
      </c>
      <c r="C36" s="7">
        <v>43343</v>
      </c>
    </row>
    <row r="37" spans="1:3" hidden="1">
      <c r="A37"/>
      <c r="B37" t="s">
        <v>37</v>
      </c>
      <c r="C37" s="4">
        <v>43496</v>
      </c>
    </row>
    <row r="38" spans="1:3" hidden="1">
      <c r="A38"/>
      <c r="B38" t="s">
        <v>38</v>
      </c>
      <c r="C38" s="4">
        <v>43496</v>
      </c>
    </row>
    <row r="39" spans="1:3" hidden="1">
      <c r="A39"/>
      <c r="B39" t="s">
        <v>39</v>
      </c>
      <c r="C39" s="4">
        <v>43556</v>
      </c>
    </row>
    <row r="40" spans="1:3">
      <c r="A40" s="5">
        <v>30</v>
      </c>
      <c r="B40" s="6" t="s">
        <v>40</v>
      </c>
      <c r="C40" s="7">
        <v>43200</v>
      </c>
    </row>
    <row r="41" spans="1:3">
      <c r="A41" s="5">
        <v>31</v>
      </c>
      <c r="B41" s="6" t="s">
        <v>41</v>
      </c>
      <c r="C41" s="7">
        <v>43200</v>
      </c>
    </row>
    <row r="42" spans="1:3">
      <c r="A42" s="5">
        <v>32</v>
      </c>
      <c r="B42" s="6" t="s">
        <v>42</v>
      </c>
      <c r="C42" s="7">
        <v>43424</v>
      </c>
    </row>
    <row r="43" spans="1:3">
      <c r="A43" s="5">
        <v>33</v>
      </c>
      <c r="B43" s="6" t="s">
        <v>43</v>
      </c>
      <c r="C43" s="7">
        <v>43376</v>
      </c>
    </row>
    <row r="44" spans="1:3">
      <c r="A44" s="5">
        <v>34</v>
      </c>
      <c r="B44" s="6" t="s">
        <v>44</v>
      </c>
      <c r="C44" s="7">
        <v>43091</v>
      </c>
    </row>
    <row r="45" spans="1:3">
      <c r="A45" s="5">
        <v>35</v>
      </c>
      <c r="B45" s="6" t="s">
        <v>45</v>
      </c>
      <c r="C45" s="7">
        <v>43091</v>
      </c>
    </row>
    <row r="46" spans="1:3">
      <c r="A46" s="5">
        <v>36</v>
      </c>
      <c r="B46" s="6" t="s">
        <v>46</v>
      </c>
      <c r="C46" s="7">
        <v>43343</v>
      </c>
    </row>
    <row r="47" spans="1:3">
      <c r="A47" s="5">
        <v>37</v>
      </c>
      <c r="B47" s="6" t="s">
        <v>47</v>
      </c>
      <c r="C47" s="7">
        <v>43088</v>
      </c>
    </row>
    <row r="48" spans="1:3">
      <c r="A48" s="5">
        <v>38</v>
      </c>
      <c r="B48" s="6" t="s">
        <v>48</v>
      </c>
      <c r="C48" s="7">
        <v>43105</v>
      </c>
    </row>
    <row r="49" spans="1:3">
      <c r="A49" s="5">
        <v>39</v>
      </c>
      <c r="B49" s="6" t="s">
        <v>49</v>
      </c>
      <c r="C49" s="7">
        <v>43105</v>
      </c>
    </row>
    <row r="50" spans="1:3">
      <c r="A50" s="5">
        <v>40</v>
      </c>
      <c r="B50" s="6" t="s">
        <v>50</v>
      </c>
      <c r="C50" s="7">
        <v>43105</v>
      </c>
    </row>
    <row r="51" spans="1:3">
      <c r="A51" s="5">
        <v>41</v>
      </c>
      <c r="B51" s="6" t="s">
        <v>51</v>
      </c>
      <c r="C51" s="7">
        <v>43105</v>
      </c>
    </row>
    <row r="52" spans="1:3" hidden="1">
      <c r="A52"/>
      <c r="B52" t="s">
        <v>52</v>
      </c>
      <c r="C52" s="4">
        <v>43482</v>
      </c>
    </row>
    <row r="53" spans="1:3">
      <c r="A53" s="5">
        <v>42</v>
      </c>
      <c r="B53" s="6" t="s">
        <v>53</v>
      </c>
      <c r="C53" s="7">
        <v>43051</v>
      </c>
    </row>
    <row r="54" spans="1:3">
      <c r="A54" s="5">
        <v>43</v>
      </c>
      <c r="B54" s="6" t="s">
        <v>54</v>
      </c>
      <c r="C54" s="7">
        <v>43051</v>
      </c>
    </row>
    <row r="55" spans="1:3">
      <c r="A55" s="261">
        <v>44</v>
      </c>
      <c r="B55" s="6" t="s">
        <v>55</v>
      </c>
      <c r="C55" s="7">
        <v>43051</v>
      </c>
    </row>
  </sheetData>
  <autoFilter ref="B2:C55">
    <filterColumn colId="1">
      <filters>
        <dateGroupItem year="2018" dateTimeGrouping="year"/>
        <dateGroupItem year="2017" dateTimeGrouping="year"/>
        <dateGroupItem year="2016" dateTimeGrouping="year"/>
      </filters>
    </filterColumn>
  </autoFilter>
  <pageMargins left="1.45" right="0.7" top="0.75" bottom="0.75" header="0.3" footer="0.3"/>
  <pageSetup orientation="portrait" r:id="rId1"/>
  <headerFooter>
    <oddFooter>&amp;L&amp;F,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workbookViewId="0">
      <selection activeCell="J14" sqref="J14"/>
    </sheetView>
  </sheetViews>
  <sheetFormatPr defaultRowHeight="15"/>
  <cols>
    <col min="2" max="2" width="10.85546875" bestFit="1" customWidth="1"/>
    <col min="3" max="3" width="11" customWidth="1"/>
    <col min="4" max="4" width="11.42578125" customWidth="1"/>
    <col min="7" max="7" width="13" customWidth="1"/>
    <col min="8" max="8" width="15.140625" customWidth="1"/>
    <col min="9" max="9" width="14" customWidth="1"/>
    <col min="10" max="10" width="12" customWidth="1"/>
    <col min="11" max="11" width="13.85546875" customWidth="1"/>
    <col min="12" max="12" width="12.7109375" customWidth="1"/>
    <col min="13" max="13" width="12" customWidth="1"/>
    <col min="14" max="14" width="13.85546875" customWidth="1"/>
    <col min="15" max="15" width="13.140625" customWidth="1"/>
  </cols>
  <sheetData>
    <row r="1" spans="1:15" ht="90">
      <c r="A1" s="264" t="s">
        <v>91</v>
      </c>
      <c r="B1" s="264" t="s">
        <v>92</v>
      </c>
      <c r="C1" s="264" t="s">
        <v>93</v>
      </c>
      <c r="D1" s="264" t="s">
        <v>94</v>
      </c>
      <c r="E1" s="264" t="s">
        <v>95</v>
      </c>
      <c r="F1" s="264" t="s">
        <v>96</v>
      </c>
      <c r="G1" s="264" t="s">
        <v>97</v>
      </c>
      <c r="H1" s="264" t="s">
        <v>98</v>
      </c>
      <c r="I1" s="264" t="s">
        <v>99</v>
      </c>
      <c r="J1" s="264" t="s">
        <v>100</v>
      </c>
      <c r="K1" s="264" t="s">
        <v>101</v>
      </c>
      <c r="L1" s="264" t="s">
        <v>102</v>
      </c>
      <c r="M1" s="264" t="s">
        <v>103</v>
      </c>
      <c r="N1" s="264" t="s">
        <v>104</v>
      </c>
      <c r="O1" s="264" t="s">
        <v>105</v>
      </c>
    </row>
    <row r="2" spans="1:15">
      <c r="A2" s="57">
        <v>2018</v>
      </c>
      <c r="B2" s="57">
        <f>COUNTA(Table2[[#This Row],[Date of Event]]:'DA 2018 Operations'!A100)-COUNTIF(Table2[[#This Row],[Operation Classification]]:'DA 2018 Operations'!R100,"Tracking")</f>
        <v>25</v>
      </c>
      <c r="C2" s="57">
        <f>COUNTIF(Table2[[#This Row],[Operation Classification]]:'DA 2018 Operations'!R100,"Successful")</f>
        <v>12</v>
      </c>
      <c r="D2" s="58">
        <f>C2/B2</f>
        <v>0.48</v>
      </c>
      <c r="E2" s="57">
        <f>COUNTIF(Table2[[#This Row],[Operation Classification]]:'DA 2018 Operations'!R100,"Partial")</f>
        <v>3</v>
      </c>
      <c r="F2" s="58">
        <f>E2/B2</f>
        <v>0.12</v>
      </c>
      <c r="G2" s="57">
        <f>COUNTIF(Table2[[#This Row],[Operation Classification]]:'DA 2018 Operations'!R100,"Unsuccessful")</f>
        <v>10</v>
      </c>
      <c r="H2" s="58">
        <f>G2/B2</f>
        <v>0.4</v>
      </c>
      <c r="I2" s="260">
        <f>SUM(Table2[[#This Row],[Customers Automatically Restored]]:'DA 2018 Operations'!K100)</f>
        <v>9627</v>
      </c>
      <c r="J2" s="59">
        <f>SUM(Table2[[#This Row],[Customer Minutes Saved]]:'DA 2018 Operations'!L100)</f>
        <v>2302894</v>
      </c>
      <c r="K2" s="59">
        <f>SUM(Table2[[#This Row],[Missed Opportunity ('# of Customers Could of Restored)]]:'DA 2018 Operations'!N100)</f>
        <v>8470</v>
      </c>
      <c r="L2" s="59">
        <f>SUM(Table2[[#This Row],[Missed Opportunity ('# of Customers Minutes PSE could of Saved)]]:'DA 2018 Operations'!O100)</f>
        <v>1474714</v>
      </c>
      <c r="M2" s="60" t="s">
        <v>106</v>
      </c>
      <c r="N2" s="61" t="s">
        <v>106</v>
      </c>
      <c r="O2" s="61" t="s">
        <v>106</v>
      </c>
    </row>
    <row r="3" spans="1:15">
      <c r="A3" s="85">
        <v>2019</v>
      </c>
      <c r="B3" s="85">
        <f>COUNTA(Table22[Date of Event])-COUNTIF(Table22[Operation Classification],"Tracking")</f>
        <v>3</v>
      </c>
      <c r="C3" s="85">
        <f>COUNTIF(Table22[Operation Classification],"Successful")</f>
        <v>2</v>
      </c>
      <c r="D3" s="262">
        <f>C3/B3</f>
        <v>0.66666666666666663</v>
      </c>
      <c r="E3" s="85">
        <f>COUNTIF(Table22[Operation Classification],"Partial")</f>
        <v>0</v>
      </c>
      <c r="F3" s="262">
        <f>E3/B3</f>
        <v>0</v>
      </c>
      <c r="G3" s="85">
        <f>COUNTIF(Table22[Operation Classification],"Unsuccessful")</f>
        <v>1</v>
      </c>
      <c r="H3" s="262">
        <f>G3/B3</f>
        <v>0.33333333333333331</v>
      </c>
      <c r="I3" s="263">
        <f>SUM(Table22[[#All],[Customers Automatically Restored]])</f>
        <v>1401</v>
      </c>
      <c r="J3" s="263">
        <f>SUM(Table22[[#All],[Customer Minutes Saved]])</f>
        <v>29508</v>
      </c>
      <c r="K3" s="263">
        <f>SUM(Table22[Missed Opportunity ('# of Customers Could of Restored)])</f>
        <v>597</v>
      </c>
      <c r="L3" s="263">
        <f>SUM(Table22[Missed Opportunity ('# of Customers Minutes PSE could of Saved)])</f>
        <v>87162</v>
      </c>
      <c r="M3" s="263">
        <f>COUNTIF(Table22[Operation Classification],"Tracking")</f>
        <v>2</v>
      </c>
      <c r="N3" s="85">
        <f>SUM(Table22[Missed Opportunity Customer Interruptions due to Work Practices])</f>
        <v>1499</v>
      </c>
      <c r="O3" s="85">
        <f>SUM(Table22[Missed Opportunity Customer Minutes due to Work Practices])</f>
        <v>850821</v>
      </c>
    </row>
    <row r="4" spans="1:15">
      <c r="A4" s="57">
        <v>2020</v>
      </c>
      <c r="B4" s="57"/>
      <c r="C4" s="57"/>
      <c r="D4" s="58"/>
      <c r="E4" s="57"/>
      <c r="F4" s="58"/>
      <c r="G4" s="57"/>
      <c r="H4" s="58"/>
      <c r="I4" s="59"/>
      <c r="J4" s="59"/>
      <c r="K4" s="59"/>
      <c r="L4" s="59"/>
      <c r="M4" s="59"/>
      <c r="N4" s="57"/>
      <c r="O4" s="57"/>
    </row>
    <row r="5" spans="1:15">
      <c r="A5" s="62" t="s">
        <v>107</v>
      </c>
      <c r="B5" s="62">
        <f>SUM(B2:B4)</f>
        <v>28</v>
      </c>
      <c r="C5" s="62">
        <f>SUM(C2:C4)</f>
        <v>14</v>
      </c>
      <c r="D5" s="63">
        <f>C5/B5</f>
        <v>0.5</v>
      </c>
      <c r="E5" s="62">
        <f>SUM(E2:E4)</f>
        <v>3</v>
      </c>
      <c r="F5" s="63">
        <f>E5/B5</f>
        <v>0.10714285714285714</v>
      </c>
      <c r="G5" s="62">
        <f>SUM(G2:G4)</f>
        <v>11</v>
      </c>
      <c r="H5" s="63">
        <f>G5/B5</f>
        <v>0.39285714285714285</v>
      </c>
      <c r="I5" s="64">
        <f>SUM(I2:I4)</f>
        <v>11028</v>
      </c>
      <c r="J5" s="64">
        <f>SUM(J2:J4)</f>
        <v>2332402</v>
      </c>
      <c r="K5" s="64">
        <f>SUM(K2:K4)</f>
        <v>9067</v>
      </c>
      <c r="L5" s="64">
        <f>SUM(L2:L4)</f>
        <v>1561876</v>
      </c>
      <c r="M5" s="64"/>
      <c r="N5" s="62"/>
      <c r="O5" s="62"/>
    </row>
    <row r="6" spans="1:15">
      <c r="A6" t="s">
        <v>108</v>
      </c>
    </row>
    <row r="8" spans="1:15">
      <c r="A8" t="s">
        <v>109</v>
      </c>
    </row>
    <row r="9" spans="1:15">
      <c r="A9" t="s">
        <v>110</v>
      </c>
    </row>
    <row r="10" spans="1:15">
      <c r="A10" t="s">
        <v>111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
  <sheetViews>
    <sheetView workbookViewId="0">
      <pane ySplit="1" topLeftCell="A2" activePane="bottomLeft" state="frozen"/>
      <selection pane="bottomLeft" activeCell="I2" sqref="I2"/>
    </sheetView>
  </sheetViews>
  <sheetFormatPr defaultRowHeight="15"/>
  <cols>
    <col min="1" max="1" width="15" style="4" customWidth="1"/>
    <col min="2" max="2" width="12.85546875" style="88" customWidth="1"/>
    <col min="3" max="3" width="12.85546875" customWidth="1"/>
    <col min="4" max="4" width="12.5703125" customWidth="1"/>
    <col min="5" max="5" width="10" customWidth="1"/>
    <col min="6" max="6" width="13" customWidth="1"/>
    <col min="7" max="7" width="14.28515625" style="87" customWidth="1"/>
    <col min="8" max="8" width="13.7109375" style="87" customWidth="1"/>
    <col min="9" max="9" width="57.5703125" customWidth="1"/>
    <col min="10" max="10" width="15.28515625" customWidth="1"/>
    <col min="11" max="11" width="16.85546875" customWidth="1"/>
    <col min="12" max="12" width="16.5703125" customWidth="1"/>
    <col min="13" max="15" width="17.42578125" customWidth="1"/>
    <col min="16" max="16" width="56.140625" customWidth="1"/>
    <col min="17" max="17" width="15.7109375" customWidth="1"/>
    <col min="18" max="18" width="16.85546875" customWidth="1"/>
  </cols>
  <sheetData>
    <row r="1" spans="1:18" ht="75">
      <c r="A1" s="7" t="s">
        <v>112</v>
      </c>
      <c r="B1" s="65" t="s">
        <v>113</v>
      </c>
      <c r="C1" s="57" t="s">
        <v>114</v>
      </c>
      <c r="D1" s="57" t="s">
        <v>115</v>
      </c>
      <c r="E1" s="57" t="s">
        <v>116</v>
      </c>
      <c r="F1" s="66" t="s">
        <v>117</v>
      </c>
      <c r="G1" s="66" t="s">
        <v>118</v>
      </c>
      <c r="H1" s="66" t="s">
        <v>119</v>
      </c>
      <c r="I1" s="57" t="s">
        <v>120</v>
      </c>
      <c r="J1" s="67" t="s">
        <v>121</v>
      </c>
      <c r="K1" s="66" t="s">
        <v>122</v>
      </c>
      <c r="L1" s="66" t="s">
        <v>100</v>
      </c>
      <c r="M1" s="66" t="s">
        <v>123</v>
      </c>
      <c r="N1" s="68" t="s">
        <v>124</v>
      </c>
      <c r="O1" s="68" t="s">
        <v>125</v>
      </c>
      <c r="P1" s="66" t="s">
        <v>126</v>
      </c>
      <c r="Q1" s="66" t="s">
        <v>127</v>
      </c>
      <c r="R1" s="66" t="s">
        <v>128</v>
      </c>
    </row>
    <row r="2" spans="1:18" ht="135">
      <c r="A2" s="7">
        <v>43118</v>
      </c>
      <c r="B2" s="65">
        <v>3.125E-2</v>
      </c>
      <c r="C2" s="57"/>
      <c r="D2" s="57" t="s">
        <v>129</v>
      </c>
      <c r="E2" s="57">
        <v>13</v>
      </c>
      <c r="F2" s="57" t="s">
        <v>130</v>
      </c>
      <c r="G2" s="66">
        <v>1177</v>
      </c>
      <c r="H2" s="66">
        <v>113</v>
      </c>
      <c r="I2" s="66" t="s">
        <v>131</v>
      </c>
      <c r="J2" s="66" t="s">
        <v>132</v>
      </c>
      <c r="K2" s="57">
        <v>418</v>
      </c>
      <c r="L2" s="57">
        <f>K2*H2</f>
        <v>47234</v>
      </c>
      <c r="M2" s="57" t="s">
        <v>133</v>
      </c>
      <c r="N2" s="57">
        <v>313</v>
      </c>
      <c r="O2" s="57">
        <f>Table2[[#This Row],[Missed Opportunity ('# of Customers Could of Restored)]]*Table2[[#This Row],[Outage Length (Minutes)]]</f>
        <v>35369</v>
      </c>
      <c r="P2" s="69" t="s">
        <v>134</v>
      </c>
      <c r="Q2" s="66" t="s">
        <v>135</v>
      </c>
      <c r="R2" s="57" t="s">
        <v>136</v>
      </c>
    </row>
    <row r="3" spans="1:18" ht="60">
      <c r="A3" s="7">
        <v>43121</v>
      </c>
      <c r="B3" s="65">
        <v>0.66597222222222219</v>
      </c>
      <c r="C3" s="57" t="s">
        <v>137</v>
      </c>
      <c r="D3" s="57" t="s">
        <v>138</v>
      </c>
      <c r="E3" s="57">
        <v>13</v>
      </c>
      <c r="F3" s="57" t="s">
        <v>139</v>
      </c>
      <c r="G3" s="66">
        <v>1114</v>
      </c>
      <c r="H3" s="70">
        <v>0</v>
      </c>
      <c r="I3" s="66" t="s">
        <v>140</v>
      </c>
      <c r="J3" s="71" t="s">
        <v>141</v>
      </c>
      <c r="K3" s="57">
        <v>0</v>
      </c>
      <c r="L3" s="57">
        <v>0</v>
      </c>
      <c r="M3" s="57" t="s">
        <v>142</v>
      </c>
      <c r="N3" s="57">
        <v>0</v>
      </c>
      <c r="O3" s="57">
        <v>0</v>
      </c>
      <c r="P3" s="57" t="s">
        <v>141</v>
      </c>
      <c r="Q3" s="66" t="s">
        <v>141</v>
      </c>
      <c r="R3" s="57" t="s">
        <v>143</v>
      </c>
    </row>
    <row r="4" spans="1:18" ht="105">
      <c r="A4" s="7">
        <v>43121</v>
      </c>
      <c r="B4" s="65">
        <v>6.9444444444444434E-2</v>
      </c>
      <c r="C4" s="57" t="s">
        <v>144</v>
      </c>
      <c r="D4" s="57" t="s">
        <v>145</v>
      </c>
      <c r="E4" s="57">
        <v>23</v>
      </c>
      <c r="F4" s="57" t="s">
        <v>146</v>
      </c>
      <c r="G4" s="66">
        <v>1119</v>
      </c>
      <c r="H4" s="66">
        <v>42</v>
      </c>
      <c r="I4" s="66" t="s">
        <v>147</v>
      </c>
      <c r="J4" s="66" t="s">
        <v>141</v>
      </c>
      <c r="K4" s="57">
        <v>0</v>
      </c>
      <c r="L4" s="57">
        <v>0</v>
      </c>
      <c r="M4" s="57" t="s">
        <v>142</v>
      </c>
      <c r="N4" s="57">
        <v>697</v>
      </c>
      <c r="O4" s="57">
        <v>12546</v>
      </c>
      <c r="P4" s="69" t="s">
        <v>148</v>
      </c>
      <c r="Q4" s="72">
        <v>43129</v>
      </c>
      <c r="R4" s="57" t="s">
        <v>97</v>
      </c>
    </row>
    <row r="5" spans="1:18" ht="90">
      <c r="A5" s="7">
        <v>43127</v>
      </c>
      <c r="B5" s="65">
        <v>0.41736111111111113</v>
      </c>
      <c r="C5" s="57" t="s">
        <v>149</v>
      </c>
      <c r="D5" s="57" t="s">
        <v>150</v>
      </c>
      <c r="E5" s="57">
        <v>13</v>
      </c>
      <c r="F5" s="57" t="s">
        <v>151</v>
      </c>
      <c r="G5" s="66">
        <v>1479</v>
      </c>
      <c r="H5" s="70">
        <v>326</v>
      </c>
      <c r="I5" s="66" t="s">
        <v>152</v>
      </c>
      <c r="J5" s="71">
        <v>0</v>
      </c>
      <c r="K5" s="57">
        <v>0</v>
      </c>
      <c r="L5" s="57">
        <v>0</v>
      </c>
      <c r="M5" s="57" t="s">
        <v>142</v>
      </c>
      <c r="N5" s="57">
        <v>1063</v>
      </c>
      <c r="O5" s="57">
        <v>346538</v>
      </c>
      <c r="P5" s="66" t="s">
        <v>153</v>
      </c>
      <c r="Q5" s="72">
        <v>43138</v>
      </c>
      <c r="R5" s="57" t="s">
        <v>97</v>
      </c>
    </row>
    <row r="6" spans="1:18" ht="75">
      <c r="A6" s="7">
        <v>43127</v>
      </c>
      <c r="B6" s="71">
        <v>0.64374999999999993</v>
      </c>
      <c r="C6" s="57"/>
      <c r="D6" s="57" t="s">
        <v>150</v>
      </c>
      <c r="E6" s="57">
        <v>13</v>
      </c>
      <c r="F6" s="57"/>
      <c r="G6" s="57">
        <v>1063</v>
      </c>
      <c r="H6" s="57">
        <v>395</v>
      </c>
      <c r="I6" s="66" t="s">
        <v>154</v>
      </c>
      <c r="J6" s="57">
        <v>0</v>
      </c>
      <c r="K6" s="57">
        <v>0</v>
      </c>
      <c r="L6" s="57">
        <v>0</v>
      </c>
      <c r="M6" s="57" t="s">
        <v>142</v>
      </c>
      <c r="N6" s="57">
        <v>1063</v>
      </c>
      <c r="O6" s="57">
        <v>419885</v>
      </c>
      <c r="P6" s="73" t="s">
        <v>153</v>
      </c>
      <c r="Q6" s="72">
        <v>43138</v>
      </c>
      <c r="R6" s="57" t="s">
        <v>97</v>
      </c>
    </row>
    <row r="7" spans="1:18" ht="90">
      <c r="A7" s="7">
        <v>43127</v>
      </c>
      <c r="B7" s="65">
        <v>0.5493055555555556</v>
      </c>
      <c r="C7" s="57" t="s">
        <v>155</v>
      </c>
      <c r="D7" s="57" t="s">
        <v>145</v>
      </c>
      <c r="E7" s="57">
        <v>23</v>
      </c>
      <c r="F7" s="57" t="s">
        <v>146</v>
      </c>
      <c r="G7" s="66">
        <v>1119</v>
      </c>
      <c r="H7" s="70">
        <v>73</v>
      </c>
      <c r="I7" s="66" t="s">
        <v>156</v>
      </c>
      <c r="J7" s="71">
        <v>0</v>
      </c>
      <c r="K7" s="57">
        <v>0</v>
      </c>
      <c r="L7" s="57">
        <v>0</v>
      </c>
      <c r="M7" s="57" t="s">
        <v>142</v>
      </c>
      <c r="N7" s="57">
        <v>697</v>
      </c>
      <c r="O7" s="57">
        <v>50881</v>
      </c>
      <c r="P7" s="66" t="s">
        <v>157</v>
      </c>
      <c r="Q7" s="72">
        <v>43129</v>
      </c>
      <c r="R7" s="57" t="s">
        <v>97</v>
      </c>
    </row>
    <row r="8" spans="1:18" ht="180">
      <c r="A8" s="7">
        <v>43127</v>
      </c>
      <c r="B8" s="71">
        <v>0.6</v>
      </c>
      <c r="C8" s="57" t="s">
        <v>158</v>
      </c>
      <c r="D8" s="57" t="s">
        <v>145</v>
      </c>
      <c r="E8" s="57">
        <v>23</v>
      </c>
      <c r="F8" s="57" t="s">
        <v>159</v>
      </c>
      <c r="G8" s="57">
        <v>278</v>
      </c>
      <c r="H8" s="57">
        <v>141</v>
      </c>
      <c r="I8" s="66" t="s">
        <v>160</v>
      </c>
      <c r="J8" s="57">
        <v>0</v>
      </c>
      <c r="K8" s="57">
        <v>0</v>
      </c>
      <c r="L8" s="57">
        <v>0</v>
      </c>
      <c r="M8" s="57" t="s">
        <v>142</v>
      </c>
      <c r="N8" s="57">
        <v>277</v>
      </c>
      <c r="O8" s="57">
        <v>39057</v>
      </c>
      <c r="P8" s="73" t="s">
        <v>161</v>
      </c>
      <c r="Q8" s="66" t="s">
        <v>162</v>
      </c>
      <c r="R8" s="57" t="s">
        <v>97</v>
      </c>
    </row>
    <row r="9" spans="1:18" ht="45">
      <c r="A9" s="7">
        <v>43128</v>
      </c>
      <c r="B9" s="65">
        <v>0.79513888888888884</v>
      </c>
      <c r="C9" s="57"/>
      <c r="D9" s="57" t="s">
        <v>163</v>
      </c>
      <c r="E9" s="57">
        <v>25</v>
      </c>
      <c r="F9" s="57" t="s">
        <v>164</v>
      </c>
      <c r="G9" s="66">
        <v>439</v>
      </c>
      <c r="H9" s="70"/>
      <c r="I9" s="66" t="s">
        <v>165</v>
      </c>
      <c r="J9" s="71" t="s">
        <v>141</v>
      </c>
      <c r="K9" s="57">
        <v>0</v>
      </c>
      <c r="L9" s="57">
        <v>0</v>
      </c>
      <c r="M9" s="57" t="s">
        <v>142</v>
      </c>
      <c r="N9" s="57" t="s">
        <v>141</v>
      </c>
      <c r="O9" s="7" t="s">
        <v>141</v>
      </c>
      <c r="P9" s="65" t="s">
        <v>166</v>
      </c>
      <c r="Q9" s="66"/>
      <c r="R9" s="57" t="s">
        <v>143</v>
      </c>
    </row>
    <row r="10" spans="1:18" ht="90">
      <c r="A10" s="74">
        <v>43148</v>
      </c>
      <c r="B10" s="75">
        <v>0.57533564814814808</v>
      </c>
      <c r="C10" s="76" t="s">
        <v>167</v>
      </c>
      <c r="D10" s="76" t="s">
        <v>145</v>
      </c>
      <c r="E10" s="76">
        <v>23</v>
      </c>
      <c r="F10" s="76" t="s">
        <v>151</v>
      </c>
      <c r="G10" s="69">
        <v>1116</v>
      </c>
      <c r="H10" s="77">
        <v>13</v>
      </c>
      <c r="I10" s="69" t="s">
        <v>168</v>
      </c>
      <c r="J10" s="77" t="s">
        <v>169</v>
      </c>
      <c r="K10" s="76">
        <v>694</v>
      </c>
      <c r="L10" s="76">
        <v>9022</v>
      </c>
      <c r="M10" s="76" t="s">
        <v>142</v>
      </c>
      <c r="N10" s="76" t="s">
        <v>141</v>
      </c>
      <c r="O10" s="76" t="s">
        <v>141</v>
      </c>
      <c r="P10" s="69" t="s">
        <v>170</v>
      </c>
      <c r="Q10" s="78" t="s">
        <v>171</v>
      </c>
      <c r="R10" s="57" t="s">
        <v>136</v>
      </c>
    </row>
    <row r="11" spans="1:18" ht="105">
      <c r="A11" s="79">
        <v>43148</v>
      </c>
      <c r="B11" s="80">
        <v>0.47370370370370374</v>
      </c>
      <c r="C11" s="81" t="s">
        <v>172</v>
      </c>
      <c r="D11" s="81" t="s">
        <v>173</v>
      </c>
      <c r="E11" s="81">
        <v>15</v>
      </c>
      <c r="F11" s="81" t="s">
        <v>174</v>
      </c>
      <c r="G11" s="82">
        <v>1093</v>
      </c>
      <c r="H11" s="83">
        <v>344</v>
      </c>
      <c r="I11" s="82" t="s">
        <v>175</v>
      </c>
      <c r="J11" s="83" t="s">
        <v>141</v>
      </c>
      <c r="K11" s="81">
        <v>0</v>
      </c>
      <c r="L11" s="81">
        <v>0</v>
      </c>
      <c r="M11" s="81" t="s">
        <v>142</v>
      </c>
      <c r="N11" s="81">
        <f>220+544</f>
        <v>764</v>
      </c>
      <c r="O11" s="81">
        <f>N11*H11</f>
        <v>262816</v>
      </c>
      <c r="P11" s="82" t="s">
        <v>176</v>
      </c>
      <c r="Q11" s="84" t="s">
        <v>177</v>
      </c>
      <c r="R11" s="57" t="s">
        <v>97</v>
      </c>
    </row>
    <row r="12" spans="1:18" ht="105">
      <c r="A12" s="74">
        <v>43148</v>
      </c>
      <c r="B12" s="75">
        <v>0.54861111111111105</v>
      </c>
      <c r="C12" s="76" t="s">
        <v>172</v>
      </c>
      <c r="D12" s="76" t="s">
        <v>173</v>
      </c>
      <c r="E12" s="76">
        <v>15</v>
      </c>
      <c r="F12" s="76" t="s">
        <v>178</v>
      </c>
      <c r="G12" s="69">
        <v>284</v>
      </c>
      <c r="H12" s="77">
        <v>114</v>
      </c>
      <c r="I12" s="69" t="s">
        <v>179</v>
      </c>
      <c r="J12" s="77" t="s">
        <v>141</v>
      </c>
      <c r="K12" s="76" t="s">
        <v>141</v>
      </c>
      <c r="L12" s="76">
        <v>0</v>
      </c>
      <c r="M12" s="76" t="s">
        <v>142</v>
      </c>
      <c r="N12" s="76" t="s">
        <v>141</v>
      </c>
      <c r="O12" s="76" t="s">
        <v>141</v>
      </c>
      <c r="P12" s="69" t="s">
        <v>176</v>
      </c>
      <c r="Q12" s="84" t="s">
        <v>177</v>
      </c>
      <c r="R12" s="57" t="s">
        <v>143</v>
      </c>
    </row>
    <row r="13" spans="1:18" s="86" customFormat="1" ht="90">
      <c r="A13" s="79">
        <v>43148</v>
      </c>
      <c r="B13" s="80">
        <v>0.45405092592592594</v>
      </c>
      <c r="C13" s="81" t="s">
        <v>180</v>
      </c>
      <c r="D13" s="81" t="s">
        <v>181</v>
      </c>
      <c r="E13" s="81">
        <v>18</v>
      </c>
      <c r="F13" s="81" t="s">
        <v>182</v>
      </c>
      <c r="G13" s="82">
        <v>1118</v>
      </c>
      <c r="H13" s="83">
        <v>75</v>
      </c>
      <c r="I13" s="82" t="s">
        <v>183</v>
      </c>
      <c r="J13" s="83" t="s">
        <v>184</v>
      </c>
      <c r="K13" s="81">
        <v>707</v>
      </c>
      <c r="L13" s="81">
        <v>53025</v>
      </c>
      <c r="M13" s="81"/>
      <c r="N13" s="81" t="s">
        <v>141</v>
      </c>
      <c r="O13" s="81" t="s">
        <v>141</v>
      </c>
      <c r="P13" s="82" t="s">
        <v>185</v>
      </c>
      <c r="Q13" s="84" t="s">
        <v>186</v>
      </c>
      <c r="R13" s="85" t="s">
        <v>143</v>
      </c>
    </row>
    <row r="14" spans="1:18" ht="90">
      <c r="A14" s="4">
        <v>43148</v>
      </c>
      <c r="B14" s="71">
        <v>0.50825231481481481</v>
      </c>
      <c r="C14" s="57" t="s">
        <v>180</v>
      </c>
      <c r="D14" s="57" t="s">
        <v>187</v>
      </c>
      <c r="E14" s="57">
        <v>13</v>
      </c>
      <c r="F14" s="57" t="s">
        <v>188</v>
      </c>
      <c r="G14" s="57">
        <v>1048</v>
      </c>
      <c r="H14" s="57">
        <v>98</v>
      </c>
      <c r="I14" s="66" t="s">
        <v>189</v>
      </c>
      <c r="J14" s="57" t="s">
        <v>141</v>
      </c>
      <c r="K14" s="57">
        <v>0</v>
      </c>
      <c r="L14" s="57">
        <v>0</v>
      </c>
      <c r="M14" s="57"/>
      <c r="N14" s="57">
        <v>707</v>
      </c>
      <c r="O14" s="57">
        <v>69286</v>
      </c>
      <c r="P14" s="66"/>
      <c r="Q14" s="73"/>
      <c r="R14" s="57" t="s">
        <v>97</v>
      </c>
    </row>
    <row r="15" spans="1:18" s="86" customFormat="1" ht="105">
      <c r="A15" s="79">
        <v>43148</v>
      </c>
      <c r="B15" s="80">
        <v>0.55842592592592599</v>
      </c>
      <c r="C15" s="81" t="s">
        <v>180</v>
      </c>
      <c r="D15" s="81" t="s">
        <v>181</v>
      </c>
      <c r="E15" s="81">
        <v>18</v>
      </c>
      <c r="F15" s="81" t="s">
        <v>182</v>
      </c>
      <c r="G15" s="82">
        <v>707</v>
      </c>
      <c r="H15" s="83">
        <v>4</v>
      </c>
      <c r="I15" s="82" t="s">
        <v>190</v>
      </c>
      <c r="J15" s="83"/>
      <c r="K15" s="81"/>
      <c r="L15" s="81"/>
      <c r="M15" s="81"/>
      <c r="N15" s="81"/>
      <c r="O15" s="81"/>
      <c r="P15" s="82" t="s">
        <v>191</v>
      </c>
      <c r="Q15" s="84" t="s">
        <v>192</v>
      </c>
      <c r="R15" s="85" t="s">
        <v>97</v>
      </c>
    </row>
    <row r="16" spans="1:18" ht="105">
      <c r="A16" s="74">
        <v>43218</v>
      </c>
      <c r="B16" s="75">
        <v>5.5405092592592596E-2</v>
      </c>
      <c r="C16" s="76"/>
      <c r="D16" s="76" t="s">
        <v>193</v>
      </c>
      <c r="E16" s="76">
        <v>13</v>
      </c>
      <c r="F16" s="76" t="s">
        <v>194</v>
      </c>
      <c r="G16" s="69">
        <v>489</v>
      </c>
      <c r="H16" s="77">
        <v>86</v>
      </c>
      <c r="I16" s="69" t="s">
        <v>195</v>
      </c>
      <c r="J16" s="77" t="s">
        <v>141</v>
      </c>
      <c r="K16" s="76" t="s">
        <v>141</v>
      </c>
      <c r="L16" s="76">
        <v>0</v>
      </c>
      <c r="M16" s="76" t="s">
        <v>141</v>
      </c>
      <c r="N16" s="76">
        <v>281</v>
      </c>
      <c r="O16" s="76">
        <v>24166</v>
      </c>
      <c r="P16" s="69" t="s">
        <v>196</v>
      </c>
      <c r="Q16" s="78">
        <v>43221</v>
      </c>
      <c r="R16" s="57" t="s">
        <v>97</v>
      </c>
    </row>
    <row r="17" spans="1:19" ht="75">
      <c r="A17" s="7">
        <v>43269</v>
      </c>
      <c r="B17" s="65">
        <v>0.44930555555555557</v>
      </c>
      <c r="C17" s="57"/>
      <c r="D17" s="57" t="s">
        <v>197</v>
      </c>
      <c r="E17" s="57">
        <v>13</v>
      </c>
      <c r="F17" s="57" t="s">
        <v>198</v>
      </c>
      <c r="G17" s="66">
        <v>2913</v>
      </c>
      <c r="H17" s="66">
        <v>96</v>
      </c>
      <c r="I17" s="66" t="s">
        <v>199</v>
      </c>
      <c r="J17" s="57" t="s">
        <v>200</v>
      </c>
      <c r="K17" s="57">
        <v>1679</v>
      </c>
      <c r="L17" s="57">
        <f>K17*H17</f>
        <v>161184</v>
      </c>
      <c r="M17" s="57" t="s">
        <v>142</v>
      </c>
      <c r="N17" s="57">
        <v>655</v>
      </c>
      <c r="O17" s="57">
        <f>H17*N17</f>
        <v>62880</v>
      </c>
      <c r="P17" s="66" t="s">
        <v>201</v>
      </c>
      <c r="Q17" s="66" t="s">
        <v>202</v>
      </c>
      <c r="R17" s="57" t="s">
        <v>136</v>
      </c>
    </row>
    <row r="18" spans="1:19" ht="180">
      <c r="A18" s="7">
        <v>43295</v>
      </c>
      <c r="B18" s="65">
        <v>0.74524305555555559</v>
      </c>
      <c r="C18" s="57" t="s">
        <v>203</v>
      </c>
      <c r="D18" s="57" t="s">
        <v>204</v>
      </c>
      <c r="E18" s="57">
        <v>22</v>
      </c>
      <c r="F18" s="57" t="s">
        <v>205</v>
      </c>
      <c r="G18" s="66">
        <v>1585</v>
      </c>
      <c r="H18" s="66">
        <v>138</v>
      </c>
      <c r="I18" s="66" t="s">
        <v>206</v>
      </c>
      <c r="J18" s="57" t="s">
        <v>207</v>
      </c>
      <c r="K18" s="57">
        <v>1510</v>
      </c>
      <c r="L18" s="57">
        <v>208380</v>
      </c>
      <c r="M18" s="57" t="s">
        <v>142</v>
      </c>
      <c r="N18" s="57" t="s">
        <v>166</v>
      </c>
      <c r="O18" s="57" t="s">
        <v>141</v>
      </c>
      <c r="P18" s="66" t="s">
        <v>208</v>
      </c>
      <c r="Q18" s="66" t="s">
        <v>209</v>
      </c>
      <c r="R18" s="66" t="s">
        <v>143</v>
      </c>
      <c r="S18" s="87"/>
    </row>
    <row r="19" spans="1:19" ht="150">
      <c r="A19" s="79">
        <v>43360</v>
      </c>
      <c r="B19" s="80">
        <v>0.55762731481481487</v>
      </c>
      <c r="C19" s="81" t="s">
        <v>210</v>
      </c>
      <c r="D19" s="81" t="s">
        <v>211</v>
      </c>
      <c r="E19" s="81">
        <v>25</v>
      </c>
      <c r="F19" s="82" t="s">
        <v>212</v>
      </c>
      <c r="G19" s="82">
        <v>1479</v>
      </c>
      <c r="H19" s="83">
        <v>82</v>
      </c>
      <c r="I19" s="82" t="s">
        <v>213</v>
      </c>
      <c r="J19" s="83" t="s">
        <v>214</v>
      </c>
      <c r="K19" s="81">
        <v>875</v>
      </c>
      <c r="L19" s="81">
        <v>71750</v>
      </c>
      <c r="M19" s="81" t="s">
        <v>133</v>
      </c>
      <c r="N19" s="81" t="s">
        <v>141</v>
      </c>
      <c r="O19" s="81" t="s">
        <v>141</v>
      </c>
      <c r="P19" s="82" t="s">
        <v>215</v>
      </c>
      <c r="Q19" s="84" t="s">
        <v>209</v>
      </c>
      <c r="R19" s="57" t="s">
        <v>143</v>
      </c>
    </row>
    <row r="20" spans="1:19" ht="120">
      <c r="A20" s="74">
        <v>43382</v>
      </c>
      <c r="B20" s="75">
        <v>0.79722222222222217</v>
      </c>
      <c r="C20" s="76" t="s">
        <v>216</v>
      </c>
      <c r="D20" s="76" t="s">
        <v>181</v>
      </c>
      <c r="E20" s="76">
        <v>18</v>
      </c>
      <c r="F20" s="69" t="s">
        <v>182</v>
      </c>
      <c r="G20" s="69">
        <v>1029</v>
      </c>
      <c r="H20" s="77">
        <v>74</v>
      </c>
      <c r="I20" s="69" t="s">
        <v>217</v>
      </c>
      <c r="J20" s="77" t="s">
        <v>218</v>
      </c>
      <c r="K20" s="76">
        <v>614</v>
      </c>
      <c r="L20" s="76">
        <f>K20*H20</f>
        <v>45436</v>
      </c>
      <c r="M20" s="76" t="s">
        <v>142</v>
      </c>
      <c r="N20" s="76" t="s">
        <v>141</v>
      </c>
      <c r="O20" s="76" t="s">
        <v>141</v>
      </c>
      <c r="P20" s="69" t="s">
        <v>219</v>
      </c>
      <c r="Q20" s="78" t="s">
        <v>209</v>
      </c>
      <c r="R20" s="57" t="s">
        <v>143</v>
      </c>
    </row>
    <row r="21" spans="1:19" ht="135">
      <c r="A21" s="79">
        <v>43400</v>
      </c>
      <c r="B21" s="80">
        <v>0.87537037037037047</v>
      </c>
      <c r="C21" s="81"/>
      <c r="D21" s="81" t="s">
        <v>173</v>
      </c>
      <c r="E21" s="81">
        <v>15</v>
      </c>
      <c r="F21" s="82" t="s">
        <v>174</v>
      </c>
      <c r="G21" s="82">
        <v>1105</v>
      </c>
      <c r="H21" s="83">
        <v>75</v>
      </c>
      <c r="I21" s="82" t="s">
        <v>220</v>
      </c>
      <c r="J21" s="83" t="s">
        <v>221</v>
      </c>
      <c r="K21" s="81">
        <v>596</v>
      </c>
      <c r="L21" s="81">
        <f>K21*H21</f>
        <v>44700</v>
      </c>
      <c r="M21" s="81" t="s">
        <v>133</v>
      </c>
      <c r="N21" s="81" t="s">
        <v>141</v>
      </c>
      <c r="O21" s="81" t="s">
        <v>141</v>
      </c>
      <c r="P21" s="82" t="s">
        <v>222</v>
      </c>
      <c r="Q21" s="79"/>
      <c r="R21" s="57" t="s">
        <v>143</v>
      </c>
    </row>
    <row r="22" spans="1:19" ht="105">
      <c r="A22" s="74">
        <v>43406</v>
      </c>
      <c r="B22" s="75">
        <v>0.33938657407407408</v>
      </c>
      <c r="C22" s="76" t="s">
        <v>223</v>
      </c>
      <c r="D22" s="76" t="s">
        <v>145</v>
      </c>
      <c r="E22" s="76">
        <v>23</v>
      </c>
      <c r="F22" s="69" t="s">
        <v>146</v>
      </c>
      <c r="G22" s="69">
        <v>1119</v>
      </c>
      <c r="H22" s="77">
        <v>188</v>
      </c>
      <c r="I22" s="69" t="s">
        <v>224</v>
      </c>
      <c r="J22" s="77" t="s">
        <v>225</v>
      </c>
      <c r="K22" s="76">
        <v>699</v>
      </c>
      <c r="L22" s="76">
        <f>K22*H22</f>
        <v>131412</v>
      </c>
      <c r="M22" s="76" t="s">
        <v>142</v>
      </c>
      <c r="N22" s="76" t="s">
        <v>141</v>
      </c>
      <c r="O22" s="76" t="s">
        <v>141</v>
      </c>
      <c r="P22" s="69" t="s">
        <v>226</v>
      </c>
      <c r="Q22" s="74"/>
      <c r="R22" s="57" t="s">
        <v>143</v>
      </c>
    </row>
    <row r="23" spans="1:19" ht="90">
      <c r="A23" s="79">
        <v>43408</v>
      </c>
      <c r="B23" s="80">
        <v>8.0856481481481488E-2</v>
      </c>
      <c r="C23" s="81" t="s">
        <v>227</v>
      </c>
      <c r="D23" s="81" t="s">
        <v>181</v>
      </c>
      <c r="E23" s="81">
        <v>18</v>
      </c>
      <c r="F23" s="82" t="s">
        <v>182</v>
      </c>
      <c r="G23" s="82">
        <v>1029</v>
      </c>
      <c r="H23" s="83">
        <v>86</v>
      </c>
      <c r="I23" s="82" t="s">
        <v>228</v>
      </c>
      <c r="J23" s="83" t="s">
        <v>229</v>
      </c>
      <c r="K23" s="81">
        <v>614</v>
      </c>
      <c r="L23" s="81">
        <f>K23*H23</f>
        <v>52804</v>
      </c>
      <c r="M23" s="81" t="s">
        <v>142</v>
      </c>
      <c r="N23" s="81" t="s">
        <v>141</v>
      </c>
      <c r="O23" s="81" t="s">
        <v>141</v>
      </c>
      <c r="P23" s="82" t="s">
        <v>166</v>
      </c>
      <c r="Q23" s="79" t="s">
        <v>141</v>
      </c>
      <c r="R23" s="57" t="s">
        <v>143</v>
      </c>
    </row>
    <row r="24" spans="1:19" ht="225">
      <c r="A24" s="74">
        <v>43409</v>
      </c>
      <c r="B24" s="75">
        <v>6.5277777777777782E-2</v>
      </c>
      <c r="C24" s="76"/>
      <c r="D24" s="76" t="s">
        <v>129</v>
      </c>
      <c r="E24" s="76">
        <v>13</v>
      </c>
      <c r="F24" s="69" t="s">
        <v>230</v>
      </c>
      <c r="G24" s="69">
        <v>1861</v>
      </c>
      <c r="H24" s="77">
        <v>149</v>
      </c>
      <c r="I24" s="69" t="s">
        <v>231</v>
      </c>
      <c r="J24" s="77" t="s">
        <v>141</v>
      </c>
      <c r="K24" s="76">
        <v>0</v>
      </c>
      <c r="L24" s="76">
        <v>0</v>
      </c>
      <c r="M24" s="76" t="s">
        <v>141</v>
      </c>
      <c r="N24" s="76">
        <f>1190-320</f>
        <v>870</v>
      </c>
      <c r="O24" s="76">
        <f>N24*H24</f>
        <v>129630</v>
      </c>
      <c r="P24" s="69" t="s">
        <v>232</v>
      </c>
      <c r="Q24" s="74"/>
      <c r="R24" s="57" t="s">
        <v>97</v>
      </c>
    </row>
    <row r="25" spans="1:19" ht="90">
      <c r="A25" s="79">
        <v>43448</v>
      </c>
      <c r="B25" s="80">
        <v>0.76458333333333339</v>
      </c>
      <c r="C25" s="81">
        <v>481840</v>
      </c>
      <c r="D25" s="81" t="s">
        <v>181</v>
      </c>
      <c r="E25" s="81">
        <v>18</v>
      </c>
      <c r="F25" s="82" t="s">
        <v>182</v>
      </c>
      <c r="G25" s="82">
        <v>1031</v>
      </c>
      <c r="H25" s="83">
        <v>1200</v>
      </c>
      <c r="I25" s="82" t="s">
        <v>233</v>
      </c>
      <c r="J25" s="83" t="s">
        <v>234</v>
      </c>
      <c r="K25" s="81">
        <v>614</v>
      </c>
      <c r="L25" s="81">
        <f>K25*H25</f>
        <v>736800</v>
      </c>
      <c r="M25" s="81" t="s">
        <v>142</v>
      </c>
      <c r="N25" s="81" t="s">
        <v>141</v>
      </c>
      <c r="O25" s="81" t="s">
        <v>141</v>
      </c>
      <c r="P25" s="82" t="s">
        <v>166</v>
      </c>
      <c r="Q25" s="79"/>
      <c r="R25" s="57" t="s">
        <v>143</v>
      </c>
    </row>
    <row r="26" spans="1:19" ht="105">
      <c r="A26" s="7">
        <v>43454</v>
      </c>
      <c r="B26" s="65">
        <v>0.49236111111111108</v>
      </c>
      <c r="C26" s="57"/>
      <c r="D26" s="57" t="s">
        <v>181</v>
      </c>
      <c r="E26" s="57">
        <v>18</v>
      </c>
      <c r="F26" s="57" t="s">
        <v>235</v>
      </c>
      <c r="G26" s="66">
        <v>614</v>
      </c>
      <c r="H26" s="66">
        <v>1221</v>
      </c>
      <c r="I26" s="66" t="s">
        <v>236</v>
      </c>
      <c r="J26" s="57" t="s">
        <v>237</v>
      </c>
      <c r="K26" s="57">
        <v>607</v>
      </c>
      <c r="L26" s="57">
        <v>741147</v>
      </c>
      <c r="M26" s="57"/>
      <c r="N26" s="57" t="s">
        <v>141</v>
      </c>
      <c r="O26" s="57" t="s">
        <v>141</v>
      </c>
      <c r="P26" s="57" t="s">
        <v>166</v>
      </c>
      <c r="Q26" s="66" t="s">
        <v>141</v>
      </c>
      <c r="R26" s="57" t="s">
        <v>143</v>
      </c>
    </row>
    <row r="27" spans="1:19" ht="105">
      <c r="A27" s="79">
        <v>43454</v>
      </c>
      <c r="B27" s="80">
        <v>0.58062500000000006</v>
      </c>
      <c r="C27" s="81"/>
      <c r="D27" s="81" t="s">
        <v>173</v>
      </c>
      <c r="E27" s="81">
        <v>15</v>
      </c>
      <c r="F27" s="82" t="s">
        <v>238</v>
      </c>
      <c r="G27" s="82">
        <v>1369</v>
      </c>
      <c r="H27" s="83">
        <v>20</v>
      </c>
      <c r="I27" s="82" t="s">
        <v>239</v>
      </c>
      <c r="J27" s="83" t="s">
        <v>141</v>
      </c>
      <c r="K27" s="81" t="s">
        <v>141</v>
      </c>
      <c r="L27" s="81" t="s">
        <v>141</v>
      </c>
      <c r="M27" s="81" t="s">
        <v>141</v>
      </c>
      <c r="N27" s="81">
        <v>1083</v>
      </c>
      <c r="O27" s="81">
        <f>N27*H27</f>
        <v>21660</v>
      </c>
      <c r="P27" s="82" t="s">
        <v>166</v>
      </c>
      <c r="Q27" s="79" t="s">
        <v>141</v>
      </c>
      <c r="R27" s="57" t="s">
        <v>240</v>
      </c>
    </row>
    <row r="28" spans="1:19">
      <c r="Q28" s="87"/>
    </row>
    <row r="29" spans="1:19">
      <c r="Q29" s="87"/>
    </row>
    <row r="30" spans="1:19">
      <c r="Q30" s="87"/>
    </row>
    <row r="31" spans="1:19">
      <c r="Q31" s="87"/>
    </row>
    <row r="32" spans="1:19">
      <c r="Q32" s="87"/>
    </row>
    <row r="33" spans="17:17">
      <c r="Q33" s="87"/>
    </row>
    <row r="34" spans="17:17">
      <c r="Q34" s="87"/>
    </row>
    <row r="35" spans="17:17">
      <c r="Q35" s="87"/>
    </row>
    <row r="36" spans="17:17">
      <c r="Q36" s="87"/>
    </row>
    <row r="37" spans="17:17">
      <c r="Q37" s="87"/>
    </row>
    <row r="38" spans="17:17">
      <c r="Q38" s="87"/>
    </row>
    <row r="39" spans="17:17">
      <c r="Q39" s="87"/>
    </row>
    <row r="40" spans="17:17">
      <c r="Q40" s="87"/>
    </row>
    <row r="41" spans="17:17">
      <c r="Q41" s="87"/>
    </row>
    <row r="42" spans="17:17">
      <c r="Q42" s="87"/>
    </row>
    <row r="43" spans="17:17">
      <c r="Q43" s="87"/>
    </row>
    <row r="44" spans="17:17">
      <c r="Q44" s="87"/>
    </row>
    <row r="45" spans="17:17">
      <c r="Q45" s="87"/>
    </row>
    <row r="46" spans="17:17">
      <c r="Q46" s="87"/>
    </row>
    <row r="47" spans="17:17">
      <c r="Q47" s="87"/>
    </row>
    <row r="48" spans="17:17">
      <c r="Q48" s="87"/>
    </row>
    <row r="49" spans="17:17">
      <c r="Q49" s="87"/>
    </row>
    <row r="50" spans="17:17">
      <c r="Q50" s="87"/>
    </row>
    <row r="51" spans="17:17">
      <c r="Q51" s="87"/>
    </row>
    <row r="52" spans="17:17">
      <c r="Q52" s="87"/>
    </row>
    <row r="53" spans="17:17">
      <c r="Q53" s="87"/>
    </row>
    <row r="54" spans="17:17">
      <c r="Q54" s="87"/>
    </row>
    <row r="55" spans="17:17">
      <c r="Q55" s="87"/>
    </row>
    <row r="56" spans="17:17">
      <c r="Q56" s="87"/>
    </row>
    <row r="57" spans="17:17">
      <c r="Q57" s="87"/>
    </row>
    <row r="58" spans="17:17">
      <c r="Q58" s="87"/>
    </row>
    <row r="59" spans="17:17">
      <c r="Q59" s="87"/>
    </row>
    <row r="60" spans="17:17">
      <c r="Q60" s="87"/>
    </row>
    <row r="61" spans="17:17">
      <c r="Q61" s="87"/>
    </row>
    <row r="62" spans="17:17">
      <c r="Q62" s="87"/>
    </row>
    <row r="63" spans="17:17">
      <c r="Q63" s="87"/>
    </row>
    <row r="64" spans="17:17">
      <c r="Q64" s="87"/>
    </row>
    <row r="65" spans="17:17">
      <c r="Q65" s="87"/>
    </row>
    <row r="66" spans="17:17">
      <c r="Q66" s="87"/>
    </row>
    <row r="67" spans="17:17">
      <c r="Q67" s="87"/>
    </row>
    <row r="68" spans="17:17">
      <c r="Q68" s="87"/>
    </row>
    <row r="69" spans="17:17">
      <c r="Q69" s="87"/>
    </row>
    <row r="70" spans="17:17">
      <c r="Q70" s="87"/>
    </row>
    <row r="71" spans="17:17">
      <c r="Q71" s="87"/>
    </row>
    <row r="72" spans="17:17">
      <c r="Q72" s="87"/>
    </row>
    <row r="73" spans="17:17">
      <c r="Q73" s="87"/>
    </row>
    <row r="74" spans="17:17">
      <c r="Q74" s="87"/>
    </row>
    <row r="75" spans="17:17">
      <c r="Q75" s="87"/>
    </row>
    <row r="76" spans="17:17">
      <c r="Q76" s="87"/>
    </row>
    <row r="77" spans="17:17">
      <c r="Q77" s="87"/>
    </row>
    <row r="78" spans="17:17">
      <c r="Q78" s="87"/>
    </row>
    <row r="79" spans="17:17">
      <c r="Q79" s="87"/>
    </row>
    <row r="80" spans="17:17">
      <c r="Q80" s="87"/>
    </row>
    <row r="81" spans="17:17">
      <c r="Q81" s="87"/>
    </row>
    <row r="82" spans="17:17">
      <c r="Q82" s="87"/>
    </row>
    <row r="83" spans="17:17">
      <c r="Q83" s="87"/>
    </row>
    <row r="84" spans="17:17">
      <c r="Q84" s="87"/>
    </row>
    <row r="85" spans="17:17">
      <c r="Q85" s="87"/>
    </row>
    <row r="86" spans="17:17">
      <c r="Q86" s="87"/>
    </row>
    <row r="87" spans="17:17">
      <c r="Q87" s="87"/>
    </row>
    <row r="88" spans="17:17">
      <c r="Q88" s="87"/>
    </row>
    <row r="89" spans="17:17">
      <c r="Q89" s="87"/>
    </row>
    <row r="90" spans="17:17">
      <c r="Q90" s="87"/>
    </row>
    <row r="91" spans="17:17">
      <c r="Q91" s="87"/>
    </row>
    <row r="92" spans="17:17">
      <c r="Q92" s="87"/>
    </row>
    <row r="93" spans="17:17">
      <c r="Q93" s="87"/>
    </row>
    <row r="94" spans="17:17">
      <c r="Q94" s="87"/>
    </row>
    <row r="95" spans="17:17">
      <c r="Q95" s="87"/>
    </row>
    <row r="96" spans="17:17">
      <c r="Q96" s="87"/>
    </row>
    <row r="97" spans="17:17">
      <c r="Q97" s="87"/>
    </row>
    <row r="98" spans="17:17">
      <c r="Q98" s="87"/>
    </row>
    <row r="99" spans="17:17">
      <c r="Q99" s="87"/>
    </row>
    <row r="100" spans="17:17">
      <c r="Q100" s="87"/>
    </row>
  </sheetData>
  <sheetProtection password="C1EA" sheet="1" objects="1" scenarios="1" autoFilter="0"/>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
  <sheetViews>
    <sheetView workbookViewId="0">
      <selection activeCell="E2" sqref="E2"/>
    </sheetView>
  </sheetViews>
  <sheetFormatPr defaultRowHeight="15"/>
  <cols>
    <col min="1" max="1" width="15" style="4" customWidth="1"/>
    <col min="2" max="2" width="12.85546875" style="88" customWidth="1"/>
    <col min="3" max="3" width="12.85546875" customWidth="1"/>
    <col min="4" max="4" width="12.5703125" customWidth="1"/>
    <col min="5" max="5" width="10" customWidth="1"/>
    <col min="6" max="6" width="13" customWidth="1"/>
    <col min="7" max="7" width="14.28515625" style="87" customWidth="1"/>
    <col min="8" max="8" width="13.7109375" style="87" customWidth="1"/>
    <col min="9" max="9" width="57.5703125" customWidth="1"/>
    <col min="10" max="10" width="15.28515625" customWidth="1"/>
    <col min="11" max="11" width="16.85546875" customWidth="1"/>
    <col min="12" max="12" width="16.5703125" customWidth="1"/>
    <col min="13" max="15" width="17.42578125" customWidth="1"/>
    <col min="16" max="16" width="56.140625" customWidth="1"/>
    <col min="17" max="17" width="15.7109375" customWidth="1"/>
    <col min="18" max="18" width="16.85546875" customWidth="1"/>
    <col min="19" max="19" width="13.28515625" customWidth="1"/>
    <col min="20" max="20" width="12" customWidth="1"/>
  </cols>
  <sheetData>
    <row r="1" spans="1:20" ht="90">
      <c r="A1" s="7" t="s">
        <v>112</v>
      </c>
      <c r="B1" s="65" t="s">
        <v>113</v>
      </c>
      <c r="C1" s="57" t="s">
        <v>114</v>
      </c>
      <c r="D1" s="57" t="s">
        <v>115</v>
      </c>
      <c r="E1" s="57" t="s">
        <v>116</v>
      </c>
      <c r="F1" s="66" t="s">
        <v>117</v>
      </c>
      <c r="G1" s="66" t="s">
        <v>118</v>
      </c>
      <c r="H1" s="66" t="s">
        <v>119</v>
      </c>
      <c r="I1" s="57" t="s">
        <v>120</v>
      </c>
      <c r="J1" s="67" t="s">
        <v>121</v>
      </c>
      <c r="K1" s="66" t="s">
        <v>122</v>
      </c>
      <c r="L1" s="66" t="s">
        <v>100</v>
      </c>
      <c r="M1" s="66" t="s">
        <v>123</v>
      </c>
      <c r="N1" s="68" t="s">
        <v>124</v>
      </c>
      <c r="O1" s="68" t="s">
        <v>125</v>
      </c>
      <c r="P1" s="66" t="s">
        <v>126</v>
      </c>
      <c r="Q1" s="66" t="s">
        <v>127</v>
      </c>
      <c r="R1" s="66" t="s">
        <v>128</v>
      </c>
      <c r="S1" s="66" t="s">
        <v>104</v>
      </c>
      <c r="T1" s="66" t="s">
        <v>105</v>
      </c>
    </row>
    <row r="2" spans="1:20" ht="150">
      <c r="A2" s="74">
        <v>43471</v>
      </c>
      <c r="B2" s="75">
        <v>5.302083333333333E-2</v>
      </c>
      <c r="C2" s="76"/>
      <c r="D2" s="76" t="s">
        <v>241</v>
      </c>
      <c r="E2" s="76">
        <v>25</v>
      </c>
      <c r="F2" s="69" t="s">
        <v>242</v>
      </c>
      <c r="G2" s="69">
        <v>1732</v>
      </c>
      <c r="H2" s="77">
        <v>18</v>
      </c>
      <c r="I2" s="69" t="s">
        <v>243</v>
      </c>
      <c r="J2" s="69" t="s">
        <v>244</v>
      </c>
      <c r="K2" s="76">
        <v>1135</v>
      </c>
      <c r="L2" s="76">
        <f t="shared" ref="L2:L65" si="0">K2*H2</f>
        <v>20430</v>
      </c>
      <c r="M2" s="76"/>
      <c r="N2" s="76" t="s">
        <v>141</v>
      </c>
      <c r="O2" s="76" t="s">
        <v>141</v>
      </c>
      <c r="P2" s="69" t="s">
        <v>245</v>
      </c>
      <c r="Q2" s="74">
        <v>43488</v>
      </c>
      <c r="R2" s="57" t="s">
        <v>143</v>
      </c>
      <c r="S2" s="57"/>
      <c r="T2" s="57"/>
    </row>
    <row r="3" spans="1:20" ht="105">
      <c r="A3" s="79">
        <v>43471</v>
      </c>
      <c r="B3" s="80"/>
      <c r="C3" s="81"/>
      <c r="D3" s="81" t="s">
        <v>129</v>
      </c>
      <c r="E3" s="81">
        <v>13</v>
      </c>
      <c r="F3" s="82" t="s">
        <v>130</v>
      </c>
      <c r="G3" s="82">
        <v>1180</v>
      </c>
      <c r="H3" s="83">
        <v>628</v>
      </c>
      <c r="I3" s="82" t="s">
        <v>246</v>
      </c>
      <c r="J3" s="83" t="s">
        <v>141</v>
      </c>
      <c r="K3" s="81" t="s">
        <v>141</v>
      </c>
      <c r="L3" s="81" t="s">
        <v>141</v>
      </c>
      <c r="M3" s="81" t="s">
        <v>141</v>
      </c>
      <c r="N3" s="57">
        <v>0</v>
      </c>
      <c r="O3" s="89">
        <v>0</v>
      </c>
      <c r="P3" s="82"/>
      <c r="Q3" s="79"/>
      <c r="R3" s="57" t="s">
        <v>240</v>
      </c>
      <c r="S3" s="81">
        <f>313+473</f>
        <v>786</v>
      </c>
      <c r="T3" s="81">
        <f>S3*$H$3</f>
        <v>493608</v>
      </c>
    </row>
    <row r="4" spans="1:20" ht="90">
      <c r="A4" s="74">
        <v>43471</v>
      </c>
      <c r="B4" s="75">
        <v>0.17777777777777778</v>
      </c>
      <c r="C4" s="76"/>
      <c r="D4" s="76" t="s">
        <v>247</v>
      </c>
      <c r="E4" s="76">
        <v>23</v>
      </c>
      <c r="F4" s="69" t="s">
        <v>248</v>
      </c>
      <c r="G4" s="69">
        <v>996</v>
      </c>
      <c r="H4" s="77">
        <f>(8*60)+21</f>
        <v>501</v>
      </c>
      <c r="I4" s="69" t="s">
        <v>249</v>
      </c>
      <c r="J4" s="77" t="s">
        <v>141</v>
      </c>
      <c r="K4" s="76" t="s">
        <v>141</v>
      </c>
      <c r="L4" s="76" t="s">
        <v>141</v>
      </c>
      <c r="M4" s="76" t="s">
        <v>141</v>
      </c>
      <c r="N4" s="57">
        <v>0</v>
      </c>
      <c r="O4" s="89">
        <v>0</v>
      </c>
      <c r="P4" s="69"/>
      <c r="Q4" s="74"/>
      <c r="R4" s="57" t="s">
        <v>240</v>
      </c>
      <c r="S4" s="76">
        <v>713</v>
      </c>
      <c r="T4" s="76">
        <f>S4*$H$4</f>
        <v>357213</v>
      </c>
    </row>
    <row r="5" spans="1:20" ht="180">
      <c r="A5" s="79">
        <v>43471</v>
      </c>
      <c r="B5" s="80">
        <v>8.009259259259259E-2</v>
      </c>
      <c r="C5" s="81"/>
      <c r="D5" s="81" t="s">
        <v>173</v>
      </c>
      <c r="E5" s="81">
        <v>15</v>
      </c>
      <c r="F5" s="82" t="s">
        <v>250</v>
      </c>
      <c r="G5" s="82">
        <v>1369</v>
      </c>
      <c r="H5" s="83"/>
      <c r="I5" s="82" t="s">
        <v>251</v>
      </c>
      <c r="J5" s="83" t="s">
        <v>252</v>
      </c>
      <c r="K5" s="81">
        <v>266</v>
      </c>
      <c r="L5" s="81">
        <f>(7*222)+(44*171)</f>
        <v>9078</v>
      </c>
      <c r="M5" s="81" t="s">
        <v>141</v>
      </c>
      <c r="N5" s="81" t="s">
        <v>141</v>
      </c>
      <c r="O5" s="81" t="s">
        <v>141</v>
      </c>
      <c r="P5" s="82" t="s">
        <v>253</v>
      </c>
      <c r="Q5" s="79"/>
      <c r="R5" s="57" t="s">
        <v>143</v>
      </c>
      <c r="S5" s="57">
        <v>0</v>
      </c>
      <c r="T5" s="57">
        <v>0</v>
      </c>
    </row>
    <row r="6" spans="1:20" ht="285">
      <c r="A6" s="74">
        <v>43500</v>
      </c>
      <c r="B6" s="75">
        <v>0.28888888888888892</v>
      </c>
      <c r="C6" s="76"/>
      <c r="D6" s="76" t="s">
        <v>173</v>
      </c>
      <c r="E6" s="76">
        <v>15</v>
      </c>
      <c r="F6" s="69" t="s">
        <v>174</v>
      </c>
      <c r="G6" s="69">
        <v>1111</v>
      </c>
      <c r="H6" s="77">
        <v>146</v>
      </c>
      <c r="I6" s="69" t="s">
        <v>254</v>
      </c>
      <c r="J6" s="77" t="s">
        <v>141</v>
      </c>
      <c r="K6" s="76" t="s">
        <v>141</v>
      </c>
      <c r="L6" s="76" t="s">
        <v>141</v>
      </c>
      <c r="M6" s="76" t="s">
        <v>141</v>
      </c>
      <c r="N6" s="76">
        <v>597</v>
      </c>
      <c r="O6" s="76">
        <f>H6*N6</f>
        <v>87162</v>
      </c>
      <c r="P6" s="69" t="s">
        <v>255</v>
      </c>
      <c r="Q6" s="74"/>
      <c r="R6" s="57" t="s">
        <v>97</v>
      </c>
      <c r="S6" s="57"/>
      <c r="T6" s="57"/>
    </row>
    <row r="7" spans="1:20">
      <c r="A7" s="7"/>
      <c r="B7" s="65"/>
      <c r="C7" s="57"/>
      <c r="D7" s="57"/>
      <c r="E7" s="57"/>
      <c r="F7" s="57"/>
      <c r="G7" s="66"/>
      <c r="H7" s="70"/>
      <c r="I7" s="66"/>
      <c r="J7" s="71"/>
      <c r="K7" s="57"/>
      <c r="L7" s="57">
        <f t="shared" si="0"/>
        <v>0</v>
      </c>
      <c r="M7" s="57"/>
      <c r="N7" s="57"/>
      <c r="O7" s="57"/>
      <c r="P7" s="66"/>
      <c r="Q7" s="72"/>
      <c r="R7" s="57"/>
      <c r="S7" s="57"/>
      <c r="T7" s="57"/>
    </row>
    <row r="8" spans="1:20">
      <c r="A8" s="7"/>
      <c r="B8" s="71"/>
      <c r="C8" s="57"/>
      <c r="D8" s="57"/>
      <c r="E8" s="57"/>
      <c r="F8" s="57"/>
      <c r="G8" s="57"/>
      <c r="H8" s="57"/>
      <c r="I8" s="66"/>
      <c r="J8" s="57"/>
      <c r="K8" s="57"/>
      <c r="L8" s="57">
        <f t="shared" si="0"/>
        <v>0</v>
      </c>
      <c r="M8" s="57"/>
      <c r="N8" s="57"/>
      <c r="O8" s="57"/>
      <c r="P8" s="73"/>
      <c r="Q8" s="66"/>
      <c r="R8" s="57"/>
      <c r="S8" s="57"/>
      <c r="T8" s="57"/>
    </row>
    <row r="9" spans="1:20">
      <c r="A9" s="7"/>
      <c r="B9" s="65"/>
      <c r="C9" s="57"/>
      <c r="D9" s="57"/>
      <c r="E9" s="57"/>
      <c r="F9" s="57"/>
      <c r="G9" s="66"/>
      <c r="H9" s="70"/>
      <c r="I9" s="66"/>
      <c r="J9" s="71"/>
      <c r="K9" s="57"/>
      <c r="L9" s="57">
        <f t="shared" si="0"/>
        <v>0</v>
      </c>
      <c r="M9" s="57"/>
      <c r="N9" s="57"/>
      <c r="O9" s="7"/>
      <c r="P9" s="65"/>
      <c r="Q9" s="66"/>
      <c r="R9" s="57"/>
      <c r="S9" s="57"/>
      <c r="T9" s="57"/>
    </row>
    <row r="10" spans="1:20">
      <c r="A10" s="74"/>
      <c r="B10" s="75"/>
      <c r="C10" s="76"/>
      <c r="D10" s="76"/>
      <c r="E10" s="76"/>
      <c r="F10" s="76"/>
      <c r="G10" s="69"/>
      <c r="H10" s="77"/>
      <c r="I10" s="69"/>
      <c r="J10" s="77"/>
      <c r="K10" s="76"/>
      <c r="L10" s="76">
        <f t="shared" si="0"/>
        <v>0</v>
      </c>
      <c r="M10" s="76"/>
      <c r="N10" s="76"/>
      <c r="O10" s="76"/>
      <c r="P10" s="69"/>
      <c r="Q10" s="78"/>
      <c r="R10" s="57"/>
      <c r="S10" s="57"/>
      <c r="T10" s="57"/>
    </row>
    <row r="11" spans="1:20">
      <c r="A11" s="79"/>
      <c r="B11" s="80"/>
      <c r="C11" s="81"/>
      <c r="D11" s="81"/>
      <c r="E11" s="81"/>
      <c r="F11" s="81"/>
      <c r="G11" s="82"/>
      <c r="H11" s="83"/>
      <c r="I11" s="82"/>
      <c r="J11" s="83"/>
      <c r="K11" s="81"/>
      <c r="L11" s="81">
        <f t="shared" si="0"/>
        <v>0</v>
      </c>
      <c r="M11" s="81"/>
      <c r="N11" s="81"/>
      <c r="O11" s="81"/>
      <c r="P11" s="82"/>
      <c r="Q11" s="84"/>
      <c r="R11" s="57"/>
      <c r="S11" s="57"/>
      <c r="T11" s="57"/>
    </row>
    <row r="12" spans="1:20">
      <c r="A12" s="74"/>
      <c r="B12" s="75"/>
      <c r="C12" s="76"/>
      <c r="D12" s="76"/>
      <c r="E12" s="76"/>
      <c r="F12" s="76"/>
      <c r="G12" s="69"/>
      <c r="H12" s="77"/>
      <c r="I12" s="69"/>
      <c r="J12" s="77"/>
      <c r="K12" s="76"/>
      <c r="L12" s="76">
        <f t="shared" si="0"/>
        <v>0</v>
      </c>
      <c r="M12" s="76"/>
      <c r="N12" s="76"/>
      <c r="O12" s="76"/>
      <c r="P12" s="69"/>
      <c r="Q12" s="84"/>
      <c r="R12" s="57"/>
      <c r="S12" s="57"/>
      <c r="T12" s="57"/>
    </row>
    <row r="13" spans="1:20" s="86" customFormat="1">
      <c r="A13" s="79"/>
      <c r="B13" s="80"/>
      <c r="C13" s="81"/>
      <c r="D13" s="81"/>
      <c r="E13" s="81"/>
      <c r="F13" s="81"/>
      <c r="G13" s="82"/>
      <c r="H13" s="83"/>
      <c r="I13" s="82"/>
      <c r="J13" s="83"/>
      <c r="K13" s="81"/>
      <c r="L13" s="81">
        <f t="shared" si="0"/>
        <v>0</v>
      </c>
      <c r="M13" s="81"/>
      <c r="N13" s="81"/>
      <c r="O13" s="81"/>
      <c r="P13" s="82"/>
      <c r="Q13" s="84"/>
      <c r="R13" s="85"/>
      <c r="S13" s="85"/>
      <c r="T13" s="85"/>
    </row>
    <row r="14" spans="1:20">
      <c r="B14" s="71"/>
      <c r="C14" s="57"/>
      <c r="D14" s="57"/>
      <c r="E14" s="57"/>
      <c r="F14" s="57"/>
      <c r="G14" s="57"/>
      <c r="H14" s="57"/>
      <c r="I14" s="66"/>
      <c r="J14" s="57"/>
      <c r="K14" s="57"/>
      <c r="L14" s="57">
        <f t="shared" si="0"/>
        <v>0</v>
      </c>
      <c r="M14" s="57"/>
      <c r="N14" s="57"/>
      <c r="O14" s="57"/>
      <c r="P14" s="66"/>
      <c r="Q14" s="73"/>
      <c r="R14" s="57"/>
      <c r="S14" s="57"/>
      <c r="T14" s="57"/>
    </row>
    <row r="15" spans="1:20" s="86" customFormat="1">
      <c r="A15" s="79"/>
      <c r="B15" s="80"/>
      <c r="C15" s="81"/>
      <c r="D15" s="81"/>
      <c r="E15" s="81"/>
      <c r="F15" s="81"/>
      <c r="G15" s="82"/>
      <c r="H15" s="83"/>
      <c r="I15" s="82"/>
      <c r="J15" s="83"/>
      <c r="K15" s="81"/>
      <c r="L15" s="81">
        <f t="shared" si="0"/>
        <v>0</v>
      </c>
      <c r="M15" s="81"/>
      <c r="N15" s="81"/>
      <c r="O15" s="81"/>
      <c r="P15" s="82"/>
      <c r="Q15" s="84"/>
      <c r="R15" s="85"/>
      <c r="S15" s="85"/>
      <c r="T15" s="85"/>
    </row>
    <row r="16" spans="1:20">
      <c r="A16" s="74"/>
      <c r="B16" s="75"/>
      <c r="C16" s="76"/>
      <c r="D16" s="76"/>
      <c r="E16" s="76"/>
      <c r="F16" s="76"/>
      <c r="G16" s="69"/>
      <c r="H16" s="77"/>
      <c r="I16" s="69"/>
      <c r="J16" s="77"/>
      <c r="K16" s="76"/>
      <c r="L16" s="76">
        <f t="shared" si="0"/>
        <v>0</v>
      </c>
      <c r="M16" s="76"/>
      <c r="N16" s="76"/>
      <c r="O16" s="76"/>
      <c r="P16" s="69"/>
      <c r="Q16" s="78"/>
      <c r="R16" s="57"/>
      <c r="S16" s="57"/>
      <c r="T16" s="57"/>
    </row>
    <row r="17" spans="1:20">
      <c r="A17" s="7"/>
      <c r="B17" s="65"/>
      <c r="C17" s="57"/>
      <c r="D17" s="57"/>
      <c r="E17" s="57"/>
      <c r="F17" s="57"/>
      <c r="G17" s="66"/>
      <c r="H17" s="66"/>
      <c r="I17" s="66"/>
      <c r="J17" s="57"/>
      <c r="K17" s="57"/>
      <c r="L17" s="57">
        <f t="shared" si="0"/>
        <v>0</v>
      </c>
      <c r="M17" s="57"/>
      <c r="N17" s="57"/>
      <c r="O17" s="57"/>
      <c r="P17" s="66"/>
      <c r="Q17" s="66"/>
      <c r="R17" s="57"/>
      <c r="S17" s="57"/>
      <c r="T17" s="57"/>
    </row>
    <row r="18" spans="1:20">
      <c r="A18" s="7"/>
      <c r="B18" s="65"/>
      <c r="C18" s="57"/>
      <c r="D18" s="57"/>
      <c r="E18" s="57"/>
      <c r="F18" s="57"/>
      <c r="G18" s="66"/>
      <c r="H18" s="66"/>
      <c r="I18" s="66"/>
      <c r="J18" s="57"/>
      <c r="K18" s="57"/>
      <c r="L18" s="57">
        <f t="shared" si="0"/>
        <v>0</v>
      </c>
      <c r="M18" s="57"/>
      <c r="N18" s="57"/>
      <c r="O18" s="57"/>
      <c r="P18" s="66"/>
      <c r="Q18" s="66"/>
      <c r="R18" s="66"/>
      <c r="S18" s="66"/>
      <c r="T18" s="57"/>
    </row>
    <row r="19" spans="1:20">
      <c r="A19" s="79"/>
      <c r="B19" s="80"/>
      <c r="C19" s="81"/>
      <c r="D19" s="81"/>
      <c r="E19" s="81"/>
      <c r="F19" s="82"/>
      <c r="G19" s="82"/>
      <c r="H19" s="83"/>
      <c r="I19" s="82"/>
      <c r="J19" s="83"/>
      <c r="K19" s="81"/>
      <c r="L19" s="81">
        <f t="shared" si="0"/>
        <v>0</v>
      </c>
      <c r="M19" s="81"/>
      <c r="N19" s="81"/>
      <c r="O19" s="81"/>
      <c r="P19" s="82"/>
      <c r="Q19" s="84"/>
      <c r="R19" s="57"/>
      <c r="S19" s="57"/>
      <c r="T19" s="57"/>
    </row>
    <row r="20" spans="1:20">
      <c r="A20" s="74"/>
      <c r="B20" s="75"/>
      <c r="C20" s="76"/>
      <c r="D20" s="76"/>
      <c r="E20" s="76"/>
      <c r="F20" s="69"/>
      <c r="G20" s="69"/>
      <c r="H20" s="77"/>
      <c r="I20" s="69"/>
      <c r="J20" s="77"/>
      <c r="K20" s="76"/>
      <c r="L20" s="76">
        <f t="shared" si="0"/>
        <v>0</v>
      </c>
      <c r="M20" s="76"/>
      <c r="N20" s="76"/>
      <c r="O20" s="76"/>
      <c r="P20" s="69"/>
      <c r="Q20" s="78"/>
      <c r="R20" s="57"/>
      <c r="S20" s="57"/>
      <c r="T20" s="57"/>
    </row>
    <row r="21" spans="1:20">
      <c r="A21" s="79"/>
      <c r="B21" s="80"/>
      <c r="C21" s="81"/>
      <c r="D21" s="81"/>
      <c r="E21" s="81"/>
      <c r="F21" s="82"/>
      <c r="G21" s="82"/>
      <c r="H21" s="83"/>
      <c r="I21" s="82"/>
      <c r="J21" s="83"/>
      <c r="K21" s="81"/>
      <c r="L21" s="81">
        <f t="shared" si="0"/>
        <v>0</v>
      </c>
      <c r="M21" s="81"/>
      <c r="N21" s="81"/>
      <c r="O21" s="81"/>
      <c r="P21" s="82"/>
      <c r="Q21" s="79"/>
      <c r="R21" s="57"/>
      <c r="S21" s="57"/>
      <c r="T21" s="57"/>
    </row>
    <row r="22" spans="1:20">
      <c r="A22" s="74"/>
      <c r="B22" s="75"/>
      <c r="C22" s="76"/>
      <c r="D22" s="76"/>
      <c r="E22" s="76"/>
      <c r="F22" s="69"/>
      <c r="G22" s="69"/>
      <c r="H22" s="77"/>
      <c r="I22" s="69"/>
      <c r="J22" s="77"/>
      <c r="K22" s="76"/>
      <c r="L22" s="76">
        <f t="shared" si="0"/>
        <v>0</v>
      </c>
      <c r="M22" s="76"/>
      <c r="N22" s="76"/>
      <c r="O22" s="76"/>
      <c r="P22" s="69"/>
      <c r="Q22" s="74"/>
      <c r="R22" s="57"/>
      <c r="S22" s="57"/>
      <c r="T22" s="57"/>
    </row>
    <row r="23" spans="1:20">
      <c r="A23" s="79"/>
      <c r="B23" s="80"/>
      <c r="C23" s="81"/>
      <c r="D23" s="81"/>
      <c r="E23" s="81"/>
      <c r="F23" s="82"/>
      <c r="G23" s="82"/>
      <c r="H23" s="83"/>
      <c r="I23" s="82"/>
      <c r="J23" s="83"/>
      <c r="K23" s="81"/>
      <c r="L23" s="81">
        <f t="shared" si="0"/>
        <v>0</v>
      </c>
      <c r="M23" s="81"/>
      <c r="N23" s="81"/>
      <c r="O23" s="81"/>
      <c r="P23" s="82"/>
      <c r="Q23" s="79"/>
      <c r="R23" s="57"/>
      <c r="S23" s="57"/>
      <c r="T23" s="57"/>
    </row>
    <row r="24" spans="1:20">
      <c r="A24" s="74"/>
      <c r="B24" s="75"/>
      <c r="C24" s="76"/>
      <c r="D24" s="76"/>
      <c r="E24" s="76"/>
      <c r="F24" s="69"/>
      <c r="G24" s="69"/>
      <c r="H24" s="77"/>
      <c r="I24" s="69"/>
      <c r="J24" s="77"/>
      <c r="K24" s="76"/>
      <c r="L24" s="76">
        <f t="shared" si="0"/>
        <v>0</v>
      </c>
      <c r="M24" s="76"/>
      <c r="N24" s="76"/>
      <c r="O24" s="76"/>
      <c r="P24" s="69"/>
      <c r="Q24" s="74"/>
      <c r="R24" s="57"/>
      <c r="S24" s="57"/>
      <c r="T24" s="57"/>
    </row>
    <row r="25" spans="1:20">
      <c r="A25" s="79"/>
      <c r="B25" s="80"/>
      <c r="C25" s="81"/>
      <c r="D25" s="81"/>
      <c r="E25" s="81"/>
      <c r="F25" s="82"/>
      <c r="G25" s="82"/>
      <c r="H25" s="83"/>
      <c r="I25" s="82"/>
      <c r="J25" s="83"/>
      <c r="K25" s="81"/>
      <c r="L25" s="81">
        <f t="shared" si="0"/>
        <v>0</v>
      </c>
      <c r="M25" s="81"/>
      <c r="N25" s="81"/>
      <c r="O25" s="81"/>
      <c r="P25" s="82"/>
      <c r="Q25" s="79"/>
      <c r="R25" s="57"/>
      <c r="S25" s="57"/>
      <c r="T25" s="57"/>
    </row>
    <row r="26" spans="1:20">
      <c r="A26" s="7"/>
      <c r="B26" s="65"/>
      <c r="C26" s="57"/>
      <c r="D26" s="57"/>
      <c r="E26" s="57"/>
      <c r="F26" s="57"/>
      <c r="G26" s="66"/>
      <c r="H26" s="66"/>
      <c r="I26" s="66"/>
      <c r="J26" s="57"/>
      <c r="K26" s="57"/>
      <c r="L26" s="57">
        <f t="shared" si="0"/>
        <v>0</v>
      </c>
      <c r="M26" s="57"/>
      <c r="N26" s="57"/>
      <c r="O26" s="57"/>
      <c r="P26" s="57"/>
      <c r="Q26" s="66"/>
      <c r="R26" s="57"/>
      <c r="S26" s="57"/>
      <c r="T26" s="57"/>
    </row>
    <row r="27" spans="1:20">
      <c r="A27" s="79"/>
      <c r="B27" s="80"/>
      <c r="C27" s="81"/>
      <c r="D27" s="81"/>
      <c r="E27" s="81"/>
      <c r="F27" s="82"/>
      <c r="G27" s="82"/>
      <c r="H27" s="83"/>
      <c r="I27" s="82"/>
      <c r="J27" s="83"/>
      <c r="K27" s="81"/>
      <c r="L27" s="81">
        <f t="shared" si="0"/>
        <v>0</v>
      </c>
      <c r="M27" s="81"/>
      <c r="N27" s="81"/>
      <c r="O27" s="81"/>
      <c r="P27" s="82"/>
      <c r="Q27" s="79"/>
      <c r="R27" s="57"/>
      <c r="S27" s="57"/>
      <c r="T27" s="57"/>
    </row>
    <row r="28" spans="1:20">
      <c r="L28">
        <f t="shared" si="0"/>
        <v>0</v>
      </c>
      <c r="Q28" s="87"/>
    </row>
    <row r="29" spans="1:20">
      <c r="L29">
        <f t="shared" si="0"/>
        <v>0</v>
      </c>
      <c r="Q29" s="87"/>
    </row>
    <row r="30" spans="1:20">
      <c r="L30">
        <f t="shared" si="0"/>
        <v>0</v>
      </c>
      <c r="Q30" s="87"/>
    </row>
    <row r="31" spans="1:20">
      <c r="L31">
        <f t="shared" si="0"/>
        <v>0</v>
      </c>
      <c r="Q31" s="87"/>
    </row>
    <row r="32" spans="1:20">
      <c r="L32">
        <f t="shared" si="0"/>
        <v>0</v>
      </c>
      <c r="Q32" s="87"/>
    </row>
    <row r="33" spans="12:17">
      <c r="L33">
        <f t="shared" si="0"/>
        <v>0</v>
      </c>
      <c r="Q33" s="87"/>
    </row>
    <row r="34" spans="12:17">
      <c r="L34">
        <f t="shared" si="0"/>
        <v>0</v>
      </c>
      <c r="Q34" s="87"/>
    </row>
    <row r="35" spans="12:17">
      <c r="L35">
        <f t="shared" si="0"/>
        <v>0</v>
      </c>
      <c r="Q35" s="87"/>
    </row>
    <row r="36" spans="12:17">
      <c r="L36">
        <f t="shared" si="0"/>
        <v>0</v>
      </c>
      <c r="Q36" s="87"/>
    </row>
    <row r="37" spans="12:17">
      <c r="L37">
        <f t="shared" si="0"/>
        <v>0</v>
      </c>
      <c r="Q37" s="87"/>
    </row>
    <row r="38" spans="12:17">
      <c r="L38">
        <f t="shared" si="0"/>
        <v>0</v>
      </c>
      <c r="Q38" s="87"/>
    </row>
    <row r="39" spans="12:17">
      <c r="L39">
        <f t="shared" si="0"/>
        <v>0</v>
      </c>
      <c r="Q39" s="87"/>
    </row>
    <row r="40" spans="12:17">
      <c r="L40">
        <f t="shared" si="0"/>
        <v>0</v>
      </c>
      <c r="Q40" s="87"/>
    </row>
    <row r="41" spans="12:17">
      <c r="L41">
        <f t="shared" si="0"/>
        <v>0</v>
      </c>
      <c r="Q41" s="87"/>
    </row>
    <row r="42" spans="12:17">
      <c r="L42">
        <f t="shared" si="0"/>
        <v>0</v>
      </c>
      <c r="Q42" s="87"/>
    </row>
    <row r="43" spans="12:17">
      <c r="L43">
        <f t="shared" si="0"/>
        <v>0</v>
      </c>
      <c r="Q43" s="87"/>
    </row>
    <row r="44" spans="12:17">
      <c r="L44">
        <f t="shared" si="0"/>
        <v>0</v>
      </c>
      <c r="Q44" s="87"/>
    </row>
    <row r="45" spans="12:17">
      <c r="L45">
        <f t="shared" si="0"/>
        <v>0</v>
      </c>
      <c r="Q45" s="87"/>
    </row>
    <row r="46" spans="12:17">
      <c r="L46">
        <f t="shared" si="0"/>
        <v>0</v>
      </c>
      <c r="Q46" s="87"/>
    </row>
    <row r="47" spans="12:17">
      <c r="L47">
        <f t="shared" si="0"/>
        <v>0</v>
      </c>
      <c r="Q47" s="87"/>
    </row>
    <row r="48" spans="12:17">
      <c r="L48">
        <f t="shared" si="0"/>
        <v>0</v>
      </c>
      <c r="Q48" s="87"/>
    </row>
    <row r="49" spans="12:17">
      <c r="L49">
        <f t="shared" si="0"/>
        <v>0</v>
      </c>
      <c r="Q49" s="87"/>
    </row>
    <row r="50" spans="12:17">
      <c r="L50">
        <f t="shared" si="0"/>
        <v>0</v>
      </c>
      <c r="Q50" s="87"/>
    </row>
    <row r="51" spans="12:17">
      <c r="L51">
        <f t="shared" si="0"/>
        <v>0</v>
      </c>
      <c r="Q51" s="87"/>
    </row>
    <row r="52" spans="12:17">
      <c r="L52">
        <f t="shared" si="0"/>
        <v>0</v>
      </c>
      <c r="Q52" s="87"/>
    </row>
    <row r="53" spans="12:17">
      <c r="L53">
        <f t="shared" si="0"/>
        <v>0</v>
      </c>
      <c r="Q53" s="87"/>
    </row>
    <row r="54" spans="12:17">
      <c r="L54">
        <f t="shared" si="0"/>
        <v>0</v>
      </c>
      <c r="Q54" s="87"/>
    </row>
    <row r="55" spans="12:17">
      <c r="L55">
        <f t="shared" si="0"/>
        <v>0</v>
      </c>
      <c r="Q55" s="87"/>
    </row>
    <row r="56" spans="12:17">
      <c r="L56">
        <f t="shared" si="0"/>
        <v>0</v>
      </c>
      <c r="Q56" s="87"/>
    </row>
    <row r="57" spans="12:17">
      <c r="L57">
        <f t="shared" si="0"/>
        <v>0</v>
      </c>
      <c r="Q57" s="87"/>
    </row>
    <row r="58" spans="12:17">
      <c r="L58">
        <f t="shared" si="0"/>
        <v>0</v>
      </c>
      <c r="Q58" s="87"/>
    </row>
    <row r="59" spans="12:17">
      <c r="L59">
        <f t="shared" si="0"/>
        <v>0</v>
      </c>
      <c r="Q59" s="87"/>
    </row>
    <row r="60" spans="12:17">
      <c r="L60">
        <f t="shared" si="0"/>
        <v>0</v>
      </c>
      <c r="Q60" s="87"/>
    </row>
    <row r="61" spans="12:17">
      <c r="L61">
        <f t="shared" si="0"/>
        <v>0</v>
      </c>
      <c r="Q61" s="87"/>
    </row>
    <row r="62" spans="12:17">
      <c r="L62">
        <f t="shared" si="0"/>
        <v>0</v>
      </c>
      <c r="Q62" s="87"/>
    </row>
    <row r="63" spans="12:17">
      <c r="L63">
        <f t="shared" si="0"/>
        <v>0</v>
      </c>
      <c r="Q63" s="87"/>
    </row>
    <row r="64" spans="12:17">
      <c r="L64">
        <f t="shared" si="0"/>
        <v>0</v>
      </c>
      <c r="Q64" s="87"/>
    </row>
    <row r="65" spans="12:17">
      <c r="L65">
        <f t="shared" si="0"/>
        <v>0</v>
      </c>
      <c r="Q65" s="87"/>
    </row>
    <row r="66" spans="12:17">
      <c r="L66">
        <f t="shared" ref="L66:L100" si="1">K66*H66</f>
        <v>0</v>
      </c>
      <c r="Q66" s="87"/>
    </row>
    <row r="67" spans="12:17">
      <c r="L67">
        <f t="shared" si="1"/>
        <v>0</v>
      </c>
      <c r="Q67" s="87"/>
    </row>
    <row r="68" spans="12:17">
      <c r="L68">
        <f t="shared" si="1"/>
        <v>0</v>
      </c>
      <c r="Q68" s="87"/>
    </row>
    <row r="69" spans="12:17">
      <c r="L69">
        <f t="shared" si="1"/>
        <v>0</v>
      </c>
      <c r="Q69" s="87"/>
    </row>
    <row r="70" spans="12:17">
      <c r="L70">
        <f t="shared" si="1"/>
        <v>0</v>
      </c>
      <c r="Q70" s="87"/>
    </row>
    <row r="71" spans="12:17">
      <c r="L71">
        <f t="shared" si="1"/>
        <v>0</v>
      </c>
      <c r="Q71" s="87"/>
    </row>
    <row r="72" spans="12:17">
      <c r="L72">
        <f t="shared" si="1"/>
        <v>0</v>
      </c>
      <c r="Q72" s="87"/>
    </row>
    <row r="73" spans="12:17">
      <c r="L73">
        <f t="shared" si="1"/>
        <v>0</v>
      </c>
      <c r="Q73" s="87"/>
    </row>
    <row r="74" spans="12:17">
      <c r="L74">
        <f t="shared" si="1"/>
        <v>0</v>
      </c>
      <c r="Q74" s="87"/>
    </row>
    <row r="75" spans="12:17">
      <c r="L75">
        <f t="shared" si="1"/>
        <v>0</v>
      </c>
      <c r="Q75" s="87"/>
    </row>
    <row r="76" spans="12:17">
      <c r="L76">
        <f t="shared" si="1"/>
        <v>0</v>
      </c>
      <c r="Q76" s="87"/>
    </row>
    <row r="77" spans="12:17">
      <c r="L77">
        <f t="shared" si="1"/>
        <v>0</v>
      </c>
      <c r="Q77" s="87"/>
    </row>
    <row r="78" spans="12:17">
      <c r="L78">
        <f t="shared" si="1"/>
        <v>0</v>
      </c>
      <c r="Q78" s="87"/>
    </row>
    <row r="79" spans="12:17">
      <c r="L79">
        <f t="shared" si="1"/>
        <v>0</v>
      </c>
      <c r="Q79" s="87"/>
    </row>
    <row r="80" spans="12:17">
      <c r="L80">
        <f t="shared" si="1"/>
        <v>0</v>
      </c>
      <c r="Q80" s="87"/>
    </row>
    <row r="81" spans="12:17">
      <c r="L81">
        <f t="shared" si="1"/>
        <v>0</v>
      </c>
      <c r="Q81" s="87"/>
    </row>
    <row r="82" spans="12:17">
      <c r="L82">
        <f t="shared" si="1"/>
        <v>0</v>
      </c>
      <c r="Q82" s="87"/>
    </row>
    <row r="83" spans="12:17">
      <c r="L83">
        <f t="shared" si="1"/>
        <v>0</v>
      </c>
      <c r="Q83" s="87"/>
    </row>
    <row r="84" spans="12:17">
      <c r="L84">
        <f t="shared" si="1"/>
        <v>0</v>
      </c>
      <c r="Q84" s="87"/>
    </row>
    <row r="85" spans="12:17">
      <c r="L85">
        <f t="shared" si="1"/>
        <v>0</v>
      </c>
      <c r="Q85" s="87"/>
    </row>
    <row r="86" spans="12:17">
      <c r="L86">
        <f t="shared" si="1"/>
        <v>0</v>
      </c>
      <c r="Q86" s="87"/>
    </row>
    <row r="87" spans="12:17">
      <c r="L87">
        <f t="shared" si="1"/>
        <v>0</v>
      </c>
      <c r="Q87" s="87"/>
    </row>
    <row r="88" spans="12:17">
      <c r="L88">
        <f t="shared" si="1"/>
        <v>0</v>
      </c>
      <c r="Q88" s="87"/>
    </row>
    <row r="89" spans="12:17">
      <c r="L89">
        <f t="shared" si="1"/>
        <v>0</v>
      </c>
      <c r="Q89" s="87"/>
    </row>
    <row r="90" spans="12:17">
      <c r="L90">
        <f t="shared" si="1"/>
        <v>0</v>
      </c>
      <c r="Q90" s="87"/>
    </row>
    <row r="91" spans="12:17">
      <c r="L91">
        <f t="shared" si="1"/>
        <v>0</v>
      </c>
      <c r="Q91" s="87"/>
    </row>
    <row r="92" spans="12:17">
      <c r="L92">
        <f t="shared" si="1"/>
        <v>0</v>
      </c>
      <c r="Q92" s="87"/>
    </row>
    <row r="93" spans="12:17">
      <c r="L93">
        <f t="shared" si="1"/>
        <v>0</v>
      </c>
      <c r="Q93" s="87"/>
    </row>
    <row r="94" spans="12:17">
      <c r="L94">
        <f t="shared" si="1"/>
        <v>0</v>
      </c>
      <c r="Q94" s="87"/>
    </row>
    <row r="95" spans="12:17">
      <c r="L95">
        <f t="shared" si="1"/>
        <v>0</v>
      </c>
      <c r="Q95" s="87"/>
    </row>
    <row r="96" spans="12:17">
      <c r="L96">
        <f t="shared" si="1"/>
        <v>0</v>
      </c>
      <c r="Q96" s="87"/>
    </row>
    <row r="97" spans="12:17">
      <c r="L97">
        <f t="shared" si="1"/>
        <v>0</v>
      </c>
      <c r="Q97" s="87"/>
    </row>
    <row r="98" spans="12:17">
      <c r="L98">
        <f t="shared" si="1"/>
        <v>0</v>
      </c>
      <c r="Q98" s="87"/>
    </row>
    <row r="99" spans="12:17">
      <c r="L99">
        <f t="shared" si="1"/>
        <v>0</v>
      </c>
      <c r="Q99" s="87"/>
    </row>
    <row r="100" spans="12:17">
      <c r="L100">
        <f t="shared" si="1"/>
        <v>0</v>
      </c>
      <c r="Q100" s="87"/>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85" workbookViewId="0">
      <selection activeCell="E20" sqref="E20"/>
    </sheetView>
  </sheetViews>
  <sheetFormatPr defaultColWidth="9.140625" defaultRowHeight="15"/>
  <cols>
    <col min="1" max="1" width="8.5703125" style="121" bestFit="1" customWidth="1"/>
    <col min="2" max="8" width="12" style="121" bestFit="1" customWidth="1"/>
    <col min="9" max="9" width="17.28515625" style="120" customWidth="1"/>
    <col min="10" max="12" width="9.140625" style="121"/>
    <col min="13" max="13" width="70.28515625" style="123" customWidth="1"/>
    <col min="14" max="16384" width="9.140625" style="121"/>
  </cols>
  <sheetData>
    <row r="1" spans="1:13" ht="15.75">
      <c r="A1" s="193" t="s">
        <v>336</v>
      </c>
      <c r="B1" s="193"/>
      <c r="C1" s="193"/>
      <c r="D1" s="193"/>
      <c r="E1" s="193"/>
      <c r="F1" s="194"/>
      <c r="G1" s="119" t="s">
        <v>337</v>
      </c>
      <c r="H1" s="119" t="s">
        <v>337</v>
      </c>
      <c r="M1" s="111"/>
    </row>
    <row r="2" spans="1:13" ht="39.950000000000003" customHeight="1">
      <c r="A2" s="265" t="s">
        <v>338</v>
      </c>
      <c r="B2" s="265"/>
      <c r="C2" s="265"/>
      <c r="D2" s="265"/>
      <c r="E2" s="265"/>
      <c r="F2" s="265"/>
      <c r="G2" s="265"/>
      <c r="H2" s="265"/>
      <c r="M2" s="113"/>
    </row>
    <row r="3" spans="1:13" ht="30">
      <c r="A3" s="203" t="s">
        <v>331</v>
      </c>
      <c r="B3" s="204" t="s">
        <v>339</v>
      </c>
      <c r="C3" s="204" t="s">
        <v>340</v>
      </c>
      <c r="D3" s="204" t="s">
        <v>341</v>
      </c>
      <c r="E3" s="204" t="s">
        <v>342</v>
      </c>
      <c r="F3" s="204" t="s">
        <v>343</v>
      </c>
      <c r="G3" s="204" t="s">
        <v>107</v>
      </c>
      <c r="H3" s="122" t="s">
        <v>333</v>
      </c>
    </row>
    <row r="4" spans="1:13">
      <c r="A4" s="124">
        <v>2007</v>
      </c>
      <c r="B4" s="125">
        <v>123949916</v>
      </c>
      <c r="C4" s="125">
        <v>17377219</v>
      </c>
      <c r="D4" s="125">
        <v>793767</v>
      </c>
      <c r="E4" s="125">
        <v>750</v>
      </c>
      <c r="F4" s="125" t="s">
        <v>141</v>
      </c>
      <c r="G4" s="125">
        <v>142121652</v>
      </c>
    </row>
    <row r="5" spans="1:13">
      <c r="A5" s="124">
        <v>2008</v>
      </c>
      <c r="B5" s="125">
        <v>125037837</v>
      </c>
      <c r="C5" s="125">
        <v>17582382</v>
      </c>
      <c r="D5" s="125">
        <v>774808</v>
      </c>
      <c r="E5" s="125">
        <v>726</v>
      </c>
      <c r="F5" s="125" t="s">
        <v>141</v>
      </c>
      <c r="G5" s="125">
        <v>143395753</v>
      </c>
      <c r="H5" s="126">
        <f t="shared" ref="H5:H14" si="0">G5/G4-1</f>
        <v>8.9648620183502281E-3</v>
      </c>
    </row>
    <row r="6" spans="1:13">
      <c r="A6" s="266">
        <v>2009</v>
      </c>
      <c r="B6" s="267">
        <v>125208829</v>
      </c>
      <c r="C6" s="267">
        <v>17562235</v>
      </c>
      <c r="D6" s="267">
        <v>757537</v>
      </c>
      <c r="E6" s="267">
        <v>704</v>
      </c>
      <c r="F6" s="267" t="s">
        <v>141</v>
      </c>
      <c r="G6" s="267">
        <v>143529305</v>
      </c>
      <c r="H6" s="126">
        <f t="shared" si="0"/>
        <v>9.3135254849552318E-4</v>
      </c>
    </row>
    <row r="7" spans="1:13">
      <c r="A7" s="266">
        <v>2010</v>
      </c>
      <c r="B7" s="267">
        <v>125717935</v>
      </c>
      <c r="C7" s="267">
        <v>17674338</v>
      </c>
      <c r="D7" s="267">
        <v>747747</v>
      </c>
      <c r="E7" s="267">
        <v>239</v>
      </c>
      <c r="F7" s="267" t="s">
        <v>141</v>
      </c>
      <c r="G7" s="267">
        <v>144140259</v>
      </c>
      <c r="H7" s="126">
        <f t="shared" si="0"/>
        <v>4.2566498876308589E-3</v>
      </c>
    </row>
    <row r="8" spans="1:13">
      <c r="A8" s="266">
        <v>2011</v>
      </c>
      <c r="B8" s="267">
        <v>126143072</v>
      </c>
      <c r="C8" s="267">
        <v>17638062</v>
      </c>
      <c r="D8" s="267">
        <v>727920</v>
      </c>
      <c r="E8" s="267">
        <v>92</v>
      </c>
      <c r="F8" s="267" t="s">
        <v>141</v>
      </c>
      <c r="G8" s="267">
        <v>144509146</v>
      </c>
      <c r="H8" s="126">
        <f t="shared" si="0"/>
        <v>2.5592225417050418E-3</v>
      </c>
    </row>
    <row r="9" spans="1:13">
      <c r="A9" s="266">
        <v>2012</v>
      </c>
      <c r="B9" s="267">
        <v>126832343</v>
      </c>
      <c r="C9" s="267">
        <v>17729029</v>
      </c>
      <c r="D9" s="267">
        <v>732385</v>
      </c>
      <c r="E9" s="267">
        <v>83</v>
      </c>
      <c r="F9" s="267" t="s">
        <v>141</v>
      </c>
      <c r="G9" s="267">
        <v>145293840</v>
      </c>
      <c r="H9" s="126">
        <f t="shared" si="0"/>
        <v>5.4300646133498276E-3</v>
      </c>
    </row>
    <row r="10" spans="1:13">
      <c r="A10" s="127">
        <v>2013</v>
      </c>
      <c r="B10" s="128">
        <v>127777153</v>
      </c>
      <c r="C10" s="128">
        <v>17679562</v>
      </c>
      <c r="D10" s="128">
        <v>831790</v>
      </c>
      <c r="E10" s="128">
        <v>75</v>
      </c>
      <c r="F10" s="128" t="s">
        <v>141</v>
      </c>
      <c r="G10" s="128">
        <v>146288580</v>
      </c>
      <c r="H10" s="126">
        <f t="shared" si="0"/>
        <v>6.8464017469700433E-3</v>
      </c>
    </row>
    <row r="11" spans="1:13">
      <c r="A11" s="127">
        <v>2014</v>
      </c>
      <c r="B11" s="128">
        <v>128680416</v>
      </c>
      <c r="C11" s="128">
        <v>17853995</v>
      </c>
      <c r="D11" s="128">
        <v>839212</v>
      </c>
      <c r="E11" s="128">
        <v>79</v>
      </c>
      <c r="F11" s="128" t="s">
        <v>141</v>
      </c>
      <c r="G11" s="128">
        <v>147373702</v>
      </c>
      <c r="H11" s="126">
        <f t="shared" si="0"/>
        <v>7.417680860665854E-3</v>
      </c>
    </row>
    <row r="12" spans="1:13">
      <c r="A12" s="127">
        <v>2015</v>
      </c>
      <c r="B12" s="128">
        <v>129811718</v>
      </c>
      <c r="C12" s="128">
        <v>17985690</v>
      </c>
      <c r="D12" s="128">
        <v>835536</v>
      </c>
      <c r="E12" s="128">
        <v>78</v>
      </c>
      <c r="F12" s="128" t="s">
        <v>141</v>
      </c>
      <c r="G12" s="128">
        <v>148633022</v>
      </c>
      <c r="H12" s="126">
        <f t="shared" si="0"/>
        <v>8.5450795013617409E-3</v>
      </c>
    </row>
    <row r="13" spans="1:13">
      <c r="A13" s="127">
        <v>2016</v>
      </c>
      <c r="B13" s="128">
        <v>131068760</v>
      </c>
      <c r="C13" s="128">
        <v>18148353</v>
      </c>
      <c r="D13" s="128">
        <v>838059</v>
      </c>
      <c r="E13" s="128">
        <v>86</v>
      </c>
      <c r="F13" s="128" t="s">
        <v>141</v>
      </c>
      <c r="G13" s="128">
        <v>150055258</v>
      </c>
      <c r="H13" s="126">
        <f t="shared" si="0"/>
        <v>9.5687753694464472E-3</v>
      </c>
    </row>
    <row r="14" spans="1:13">
      <c r="A14" s="127">
        <v>2017</v>
      </c>
      <c r="B14" s="128">
        <v>132579747</v>
      </c>
      <c r="C14" s="128">
        <v>18359427</v>
      </c>
      <c r="D14" s="128">
        <v>840329</v>
      </c>
      <c r="E14" s="128">
        <v>86</v>
      </c>
      <c r="F14" s="128" t="s">
        <v>141</v>
      </c>
      <c r="G14" s="128">
        <v>151779589</v>
      </c>
      <c r="H14" s="126">
        <f t="shared" si="0"/>
        <v>1.1491306755808672E-2</v>
      </c>
      <c r="I14" s="129"/>
      <c r="J14" s="126"/>
    </row>
    <row r="15" spans="1:13">
      <c r="A15" s="130"/>
      <c r="B15" s="131"/>
      <c r="C15" s="131"/>
      <c r="D15" s="131"/>
      <c r="E15" s="131"/>
      <c r="F15" s="131"/>
      <c r="G15" s="131"/>
      <c r="H15" s="126"/>
      <c r="I15" s="129"/>
      <c r="J15" s="126"/>
    </row>
    <row r="16" spans="1:13">
      <c r="A16" s="130"/>
      <c r="B16" s="131"/>
      <c r="C16" s="131"/>
      <c r="D16" s="131"/>
      <c r="E16" s="131"/>
      <c r="G16" s="132" t="s">
        <v>344</v>
      </c>
      <c r="H16" s="126">
        <f>G14/G10-1</f>
        <v>3.7535459022160156E-2</v>
      </c>
      <c r="I16" s="129"/>
      <c r="J16" s="126"/>
    </row>
    <row r="17" spans="1:8" ht="20.100000000000001" customHeight="1">
      <c r="A17" s="133" t="s">
        <v>345</v>
      </c>
      <c r="B17" s="133"/>
      <c r="C17" s="133"/>
      <c r="D17" s="133"/>
      <c r="E17" s="133"/>
      <c r="G17" s="132" t="s">
        <v>346</v>
      </c>
      <c r="H17" s="205">
        <f>AVERAGE(H11:H14)</f>
        <v>9.2557106218206786E-3</v>
      </c>
    </row>
  </sheetData>
  <mergeCells count="2">
    <mergeCell ref="A1:F1"/>
    <mergeCell ref="A2:H2"/>
  </mergeCells>
  <pageMargins left="0.75" right="0.75" top="1" bottom="1" header="0.5" footer="0.5"/>
  <pageSetup scale="75"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7"/>
  <sheetViews>
    <sheetView zoomScaleNormal="100" zoomScaleSheetLayoutView="130" workbookViewId="0">
      <selection activeCell="D21" sqref="D21"/>
    </sheetView>
  </sheetViews>
  <sheetFormatPr defaultRowHeight="12.75"/>
  <cols>
    <col min="1" max="1" width="6.7109375" style="33" customWidth="1"/>
    <col min="2" max="2" width="32.7109375" style="33" customWidth="1"/>
    <col min="3" max="3" width="8.7109375" style="33" customWidth="1"/>
    <col min="4" max="4" width="9.28515625" style="33" customWidth="1"/>
    <col min="5" max="5" width="8.7109375" style="33" customWidth="1"/>
    <col min="6" max="16384" width="9.140625" style="33"/>
  </cols>
  <sheetData>
    <row r="1" spans="2:6" ht="29.45" customHeight="1">
      <c r="B1" s="195" t="s">
        <v>79</v>
      </c>
      <c r="C1" s="195"/>
      <c r="D1" s="195"/>
      <c r="E1" s="195"/>
      <c r="F1" s="195"/>
    </row>
    <row r="2" spans="2:6" ht="57.6" customHeight="1">
      <c r="B2" s="34"/>
      <c r="C2" s="35">
        <v>2015</v>
      </c>
      <c r="D2" s="35">
        <v>2016</v>
      </c>
      <c r="E2" s="35">
        <v>2017</v>
      </c>
      <c r="F2" s="36">
        <v>2018</v>
      </c>
    </row>
    <row r="3" spans="2:6">
      <c r="B3" s="37" t="s">
        <v>80</v>
      </c>
      <c r="C3" s="38"/>
      <c r="D3" s="38"/>
      <c r="E3" s="38"/>
      <c r="F3" s="39"/>
    </row>
    <row r="4" spans="2:6">
      <c r="B4" s="40" t="s">
        <v>81</v>
      </c>
      <c r="C4" s="41">
        <v>1020</v>
      </c>
      <c r="D4" s="41">
        <v>1011</v>
      </c>
      <c r="E4" s="42">
        <v>976</v>
      </c>
      <c r="F4" s="43">
        <v>1035</v>
      </c>
    </row>
    <row r="5" spans="2:6">
      <c r="B5" s="40" t="s">
        <v>82</v>
      </c>
      <c r="C5" s="41">
        <v>330</v>
      </c>
      <c r="D5" s="41">
        <v>311</v>
      </c>
      <c r="E5" s="42">
        <v>318</v>
      </c>
      <c r="F5" s="43">
        <v>293</v>
      </c>
    </row>
    <row r="6" spans="2:6">
      <c r="B6" s="44" t="s">
        <v>83</v>
      </c>
      <c r="C6" s="41">
        <f>SUM(C4:C5)</f>
        <v>1350</v>
      </c>
      <c r="D6" s="41">
        <f>SUM(D4:D5)</f>
        <v>1322</v>
      </c>
      <c r="E6" s="42">
        <f>SUM(E4:E5)</f>
        <v>1294</v>
      </c>
      <c r="F6" s="43">
        <f>SUM(F4:F5)</f>
        <v>1328</v>
      </c>
    </row>
    <row r="7" spans="2:6" ht="21.6" customHeight="1">
      <c r="B7" s="45"/>
      <c r="C7" s="46"/>
      <c r="D7" s="46"/>
      <c r="E7" s="46"/>
      <c r="F7" s="47"/>
    </row>
    <row r="8" spans="2:6">
      <c r="B8" s="48" t="s">
        <v>84</v>
      </c>
      <c r="C8" s="41"/>
      <c r="D8" s="41"/>
      <c r="E8" s="41"/>
      <c r="F8" s="43"/>
    </row>
    <row r="9" spans="2:6">
      <c r="B9" s="49" t="s">
        <v>85</v>
      </c>
      <c r="C9" s="50">
        <v>169879</v>
      </c>
      <c r="D9" s="50">
        <v>185497</v>
      </c>
      <c r="E9" s="50">
        <v>256325</v>
      </c>
      <c r="F9" s="51">
        <v>302118</v>
      </c>
    </row>
    <row r="10" spans="2:6">
      <c r="B10" s="52" t="s">
        <v>86</v>
      </c>
      <c r="C10" s="43">
        <v>298298</v>
      </c>
      <c r="D10" s="43">
        <v>329950</v>
      </c>
      <c r="E10" s="43">
        <v>444044</v>
      </c>
      <c r="F10" s="43">
        <v>514048</v>
      </c>
    </row>
    <row r="11" spans="2:6" ht="21.6" customHeight="1">
      <c r="B11" s="52"/>
      <c r="C11" s="53"/>
      <c r="D11" s="53"/>
      <c r="E11" s="53"/>
      <c r="F11" s="53"/>
    </row>
    <row r="12" spans="2:6">
      <c r="B12" s="48" t="s">
        <v>87</v>
      </c>
      <c r="C12" s="43"/>
      <c r="D12" s="43"/>
      <c r="E12" s="43"/>
      <c r="F12" s="43"/>
    </row>
    <row r="13" spans="2:6" ht="25.5">
      <c r="B13" s="54" t="s">
        <v>88</v>
      </c>
      <c r="C13" s="55">
        <f>C4/C9*1000</f>
        <v>6.0042736300543327</v>
      </c>
      <c r="D13" s="55">
        <f>D4/D9*1000</f>
        <v>5.450222914656301</v>
      </c>
      <c r="E13" s="55">
        <f>E4/E9*1000</f>
        <v>3.8076660489612797</v>
      </c>
      <c r="F13" s="55">
        <f>(F4/F9)*1000</f>
        <v>3.4258137548904735</v>
      </c>
    </row>
    <row r="14" spans="2:6" ht="25.5">
      <c r="B14" s="56" t="s">
        <v>89</v>
      </c>
      <c r="C14" s="206">
        <f>(C6/C10)*1000</f>
        <v>4.525675666615264</v>
      </c>
      <c r="D14" s="55">
        <f>(D6/D10)*1000</f>
        <v>4.0066676769207454</v>
      </c>
      <c r="E14" s="55">
        <f>(E6/E10)*1000</f>
        <v>2.9141256271900979</v>
      </c>
      <c r="F14" s="206">
        <f>(F6/F10)*1000</f>
        <v>2.5834163346613543</v>
      </c>
    </row>
    <row r="16" spans="2:6">
      <c r="E16" s="134" t="s">
        <v>347</v>
      </c>
      <c r="F16" s="207">
        <f>F14/C14-1</f>
        <v>-0.42916449940976842</v>
      </c>
    </row>
    <row r="17" spans="4:4">
      <c r="D17" s="33" t="s">
        <v>90</v>
      </c>
    </row>
  </sheetData>
  <mergeCells count="1">
    <mergeCell ref="B1:F1"/>
  </mergeCells>
  <pageMargins left="1" right="0.7" top="1.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H36"/>
  <sheetViews>
    <sheetView workbookViewId="0">
      <selection activeCell="I18" sqref="I18"/>
    </sheetView>
  </sheetViews>
  <sheetFormatPr defaultRowHeight="15"/>
  <cols>
    <col min="1" max="1" width="5" bestFit="1" customWidth="1"/>
    <col min="2" max="2" width="15.140625" bestFit="1" customWidth="1"/>
    <col min="3" max="3" width="13.28515625" bestFit="1" customWidth="1"/>
    <col min="4" max="4" width="12.42578125" bestFit="1" customWidth="1"/>
    <col min="5" max="5" width="19.85546875" bestFit="1" customWidth="1"/>
    <col min="6" max="6" width="14.42578125" bestFit="1" customWidth="1"/>
  </cols>
  <sheetData>
    <row r="3" spans="1:34" ht="15.75" thickBot="1"/>
    <row r="4" spans="1:34">
      <c r="A4" s="135" t="s">
        <v>331</v>
      </c>
      <c r="B4" s="136" t="s">
        <v>348</v>
      </c>
      <c r="C4" s="136" t="s">
        <v>349</v>
      </c>
      <c r="D4" s="137" t="s">
        <v>350</v>
      </c>
      <c r="E4" s="136" t="s">
        <v>351</v>
      </c>
      <c r="F4" t="s">
        <v>352</v>
      </c>
      <c r="H4" s="138"/>
      <c r="I4" s="139"/>
      <c r="J4" s="139"/>
      <c r="K4" s="139"/>
      <c r="L4" s="139"/>
      <c r="M4" s="139"/>
      <c r="N4" s="139"/>
      <c r="O4" s="139"/>
      <c r="P4" s="139"/>
      <c r="Q4" s="139"/>
      <c r="R4" s="139"/>
      <c r="S4" s="139"/>
      <c r="T4" s="139"/>
      <c r="U4" s="139"/>
      <c r="V4" s="138"/>
      <c r="W4" s="138"/>
      <c r="X4" s="140"/>
      <c r="Y4" s="138"/>
      <c r="Z4" s="138"/>
      <c r="AA4" s="141"/>
      <c r="AB4" s="141"/>
      <c r="AC4" s="141"/>
      <c r="AD4" s="141"/>
      <c r="AE4" s="141"/>
      <c r="AF4" s="141"/>
      <c r="AG4" s="142"/>
      <c r="AH4" s="141"/>
    </row>
    <row r="5" spans="1:34">
      <c r="A5" s="143">
        <v>1990</v>
      </c>
      <c r="B5" s="143">
        <v>37</v>
      </c>
      <c r="C5" s="144">
        <v>0</v>
      </c>
      <c r="D5" s="144">
        <v>0</v>
      </c>
      <c r="E5" s="143">
        <v>37</v>
      </c>
      <c r="F5" s="143">
        <v>1094</v>
      </c>
      <c r="G5" s="139"/>
      <c r="H5" s="139"/>
      <c r="I5" s="139"/>
      <c r="J5" s="139"/>
      <c r="K5" s="139"/>
      <c r="L5" s="139"/>
      <c r="M5" s="139"/>
      <c r="N5" s="139"/>
      <c r="O5" s="139"/>
      <c r="P5" s="139"/>
      <c r="Q5" s="139"/>
      <c r="R5" s="139"/>
      <c r="S5" s="139"/>
      <c r="T5" s="138"/>
      <c r="U5" s="138"/>
    </row>
    <row r="6" spans="1:34">
      <c r="A6" s="143">
        <v>1991</v>
      </c>
      <c r="B6" s="143">
        <v>53</v>
      </c>
      <c r="C6" s="144">
        <v>2</v>
      </c>
      <c r="D6" s="143">
        <v>26</v>
      </c>
      <c r="E6" s="143">
        <v>53</v>
      </c>
      <c r="F6" s="145">
        <v>1113</v>
      </c>
    </row>
    <row r="7" spans="1:34">
      <c r="A7" s="143">
        <v>1992</v>
      </c>
      <c r="B7" s="143">
        <v>82</v>
      </c>
      <c r="C7" s="144">
        <v>4</v>
      </c>
      <c r="D7" s="146">
        <v>52.148148148148145</v>
      </c>
      <c r="E7" s="143">
        <v>82</v>
      </c>
      <c r="F7" s="145">
        <v>1469</v>
      </c>
    </row>
    <row r="8" spans="1:34">
      <c r="A8" s="143">
        <v>1993</v>
      </c>
      <c r="B8" s="143">
        <v>152</v>
      </c>
      <c r="C8" s="144">
        <v>0</v>
      </c>
      <c r="D8" s="146">
        <v>0</v>
      </c>
      <c r="E8" s="143">
        <v>152</v>
      </c>
      <c r="F8" s="145">
        <v>1263</v>
      </c>
    </row>
    <row r="9" spans="1:34">
      <c r="A9" s="143">
        <v>1994</v>
      </c>
      <c r="B9" s="143">
        <v>157</v>
      </c>
      <c r="C9" s="144">
        <v>0</v>
      </c>
      <c r="D9" s="146">
        <v>0</v>
      </c>
      <c r="E9" s="143">
        <v>157</v>
      </c>
      <c r="F9" s="145">
        <v>1380</v>
      </c>
    </row>
    <row r="10" spans="1:34">
      <c r="A10" s="143">
        <v>1995</v>
      </c>
      <c r="B10" s="143">
        <v>119</v>
      </c>
      <c r="C10" s="144">
        <v>1</v>
      </c>
      <c r="D10" s="146">
        <v>13.037037037037036</v>
      </c>
      <c r="E10" s="143">
        <v>140</v>
      </c>
      <c r="F10" s="145">
        <v>1464</v>
      </c>
    </row>
    <row r="11" spans="1:34">
      <c r="A11" s="143">
        <v>1996</v>
      </c>
      <c r="B11" s="143">
        <v>183</v>
      </c>
      <c r="C11" s="144">
        <v>12</v>
      </c>
      <c r="D11" s="146">
        <v>156.44444444444446</v>
      </c>
      <c r="E11" s="143">
        <v>185</v>
      </c>
      <c r="F11" s="145">
        <v>1397</v>
      </c>
    </row>
    <row r="12" spans="1:34">
      <c r="A12" s="143">
        <v>1997</v>
      </c>
      <c r="B12" s="143">
        <v>123</v>
      </c>
      <c r="C12" s="144">
        <v>23</v>
      </c>
      <c r="D12" s="146">
        <v>299.85185185185185</v>
      </c>
      <c r="E12" s="143">
        <v>146</v>
      </c>
      <c r="F12" s="145">
        <v>1279</v>
      </c>
    </row>
    <row r="13" spans="1:34">
      <c r="A13" s="143">
        <v>1998</v>
      </c>
      <c r="B13" s="143">
        <v>128</v>
      </c>
      <c r="C13" s="144">
        <v>5</v>
      </c>
      <c r="D13" s="146">
        <v>65.185185185185176</v>
      </c>
      <c r="E13" s="147">
        <v>133</v>
      </c>
      <c r="F13" s="145">
        <v>1139</v>
      </c>
    </row>
    <row r="14" spans="1:34">
      <c r="A14" s="143">
        <v>1999</v>
      </c>
      <c r="B14" s="143">
        <v>95</v>
      </c>
      <c r="C14" s="144">
        <v>3</v>
      </c>
      <c r="D14" s="146">
        <v>39.111111111111114</v>
      </c>
      <c r="E14" s="147">
        <v>98</v>
      </c>
      <c r="F14" s="145">
        <v>1129</v>
      </c>
    </row>
    <row r="15" spans="1:34">
      <c r="A15" s="143">
        <v>2000</v>
      </c>
      <c r="B15" s="143">
        <v>56</v>
      </c>
      <c r="C15" s="144">
        <v>42</v>
      </c>
      <c r="D15" s="146">
        <v>547.55555555555554</v>
      </c>
      <c r="E15" s="147">
        <v>98</v>
      </c>
      <c r="F15" s="145">
        <v>1086</v>
      </c>
    </row>
    <row r="16" spans="1:34">
      <c r="A16" s="143">
        <v>2001</v>
      </c>
      <c r="B16" s="143">
        <v>47</v>
      </c>
      <c r="C16" s="144">
        <v>41</v>
      </c>
      <c r="D16" s="146">
        <v>534.51851851851848</v>
      </c>
      <c r="E16" s="147">
        <v>88</v>
      </c>
      <c r="F16" s="145">
        <v>1076</v>
      </c>
    </row>
    <row r="17" spans="1:6">
      <c r="A17" s="143">
        <v>2002</v>
      </c>
      <c r="B17" s="143">
        <v>15</v>
      </c>
      <c r="C17" s="144">
        <v>61</v>
      </c>
      <c r="D17" s="146">
        <v>795.25925925925935</v>
      </c>
      <c r="E17" s="143">
        <v>76</v>
      </c>
      <c r="F17" s="145">
        <v>1156</v>
      </c>
    </row>
    <row r="18" spans="1:6">
      <c r="A18" s="143">
        <v>2003</v>
      </c>
      <c r="B18" s="143">
        <v>19</v>
      </c>
      <c r="C18" s="144">
        <v>59</v>
      </c>
      <c r="D18" s="146">
        <v>769.18518518518522</v>
      </c>
      <c r="E18" s="143">
        <v>78</v>
      </c>
      <c r="F18" s="145">
        <v>1383</v>
      </c>
    </row>
    <row r="19" spans="1:6">
      <c r="A19" s="143">
        <v>2004</v>
      </c>
      <c r="B19" s="143">
        <v>78</v>
      </c>
      <c r="C19" s="144">
        <v>106</v>
      </c>
      <c r="D19" s="146">
        <v>1381.9259259259259</v>
      </c>
      <c r="E19" s="143">
        <v>184</v>
      </c>
      <c r="F19" s="143">
        <v>1333</v>
      </c>
    </row>
    <row r="20" spans="1:6">
      <c r="A20" s="143">
        <v>2005</v>
      </c>
      <c r="B20" s="143">
        <v>47</v>
      </c>
      <c r="C20" s="144">
        <v>77</v>
      </c>
      <c r="D20" s="146">
        <v>1003.8518518518518</v>
      </c>
      <c r="E20" s="143">
        <v>124</v>
      </c>
      <c r="F20" s="143">
        <v>1139</v>
      </c>
    </row>
    <row r="21" spans="1:6">
      <c r="A21" s="143">
        <v>2006</v>
      </c>
      <c r="B21" s="143">
        <v>56</v>
      </c>
      <c r="C21" s="144">
        <v>40</v>
      </c>
      <c r="D21" s="146">
        <v>521.48148148148141</v>
      </c>
      <c r="E21" s="144">
        <v>96</v>
      </c>
      <c r="F21" s="144">
        <v>1094</v>
      </c>
    </row>
    <row r="22" spans="1:6">
      <c r="A22" s="143">
        <v>2007</v>
      </c>
      <c r="B22" s="144">
        <v>55</v>
      </c>
      <c r="C22" s="144">
        <v>5</v>
      </c>
      <c r="D22" s="146">
        <v>65.185185185185176</v>
      </c>
      <c r="E22" s="144">
        <v>60</v>
      </c>
      <c r="F22" s="143">
        <v>1065</v>
      </c>
    </row>
    <row r="23" spans="1:6">
      <c r="A23" s="143">
        <v>2008</v>
      </c>
      <c r="B23" s="144">
        <v>90</v>
      </c>
      <c r="C23" s="144">
        <v>0</v>
      </c>
      <c r="E23" s="144">
        <v>90</v>
      </c>
      <c r="F23" s="143">
        <v>948</v>
      </c>
    </row>
    <row r="24" spans="1:6">
      <c r="A24" s="143">
        <v>2009</v>
      </c>
      <c r="B24" s="148">
        <v>92.12</v>
      </c>
      <c r="C24" s="144">
        <v>0</v>
      </c>
      <c r="E24" s="148">
        <v>92.12</v>
      </c>
      <c r="F24" s="143">
        <v>994</v>
      </c>
    </row>
    <row r="25" spans="1:6">
      <c r="A25" s="143">
        <v>2010</v>
      </c>
      <c r="B25" s="144">
        <v>57.6</v>
      </c>
      <c r="C25" s="144">
        <v>0</v>
      </c>
      <c r="E25" s="144">
        <v>57.6</v>
      </c>
      <c r="F25" s="143">
        <v>888</v>
      </c>
    </row>
    <row r="26" spans="1:6">
      <c r="A26" s="143">
        <v>2011</v>
      </c>
      <c r="B26" s="144">
        <v>75</v>
      </c>
      <c r="C26" s="144">
        <v>0</v>
      </c>
      <c r="E26" s="144">
        <v>75</v>
      </c>
      <c r="F26" s="143">
        <v>895</v>
      </c>
    </row>
    <row r="27" spans="1:6">
      <c r="A27" s="143">
        <v>2012</v>
      </c>
      <c r="B27" s="144">
        <v>25.7</v>
      </c>
      <c r="C27" s="144">
        <v>0</v>
      </c>
      <c r="E27" s="144">
        <v>25.7</v>
      </c>
      <c r="F27" s="143">
        <v>974</v>
      </c>
    </row>
    <row r="28" spans="1:6">
      <c r="A28" s="143">
        <v>2013</v>
      </c>
      <c r="B28" s="144">
        <v>27</v>
      </c>
      <c r="C28" s="144">
        <v>0</v>
      </c>
      <c r="E28" s="144">
        <v>27</v>
      </c>
      <c r="F28" s="143">
        <v>994</v>
      </c>
    </row>
    <row r="29" spans="1:6">
      <c r="A29" s="143">
        <v>2014</v>
      </c>
      <c r="B29" s="144">
        <v>47.9</v>
      </c>
      <c r="C29" s="144">
        <v>0</v>
      </c>
      <c r="E29" s="144">
        <v>47.9</v>
      </c>
      <c r="F29" s="143">
        <v>1086</v>
      </c>
    </row>
    <row r="30" spans="1:6">
      <c r="A30" s="143">
        <v>2015</v>
      </c>
      <c r="B30" s="144">
        <v>70</v>
      </c>
      <c r="C30" s="144">
        <v>0</v>
      </c>
      <c r="E30" s="144">
        <v>70</v>
      </c>
      <c r="F30" s="208">
        <v>1243</v>
      </c>
    </row>
    <row r="31" spans="1:6">
      <c r="A31" s="143">
        <v>2016</v>
      </c>
      <c r="B31" s="148">
        <v>128.44036697247705</v>
      </c>
      <c r="C31" s="144">
        <v>0</v>
      </c>
      <c r="E31" s="148">
        <v>128.44036697247705</v>
      </c>
      <c r="F31" s="143">
        <v>1063</v>
      </c>
    </row>
    <row r="32" spans="1:6">
      <c r="A32" s="144">
        <v>2017</v>
      </c>
      <c r="B32" s="144">
        <v>144</v>
      </c>
      <c r="C32" s="144">
        <v>0</v>
      </c>
      <c r="E32" s="144">
        <v>118.6</v>
      </c>
      <c r="F32" s="144">
        <v>813</v>
      </c>
    </row>
    <row r="33" spans="1:6">
      <c r="A33" s="144">
        <v>2018</v>
      </c>
      <c r="B33" s="144">
        <v>163</v>
      </c>
      <c r="C33" s="144">
        <v>0</v>
      </c>
      <c r="E33" s="144">
        <v>151</v>
      </c>
      <c r="F33" s="208">
        <v>773</v>
      </c>
    </row>
    <row r="36" spans="1:6">
      <c r="E36" s="118" t="s">
        <v>353</v>
      </c>
      <c r="F36" s="209">
        <f>F33/F30-1</f>
        <v>-0.3781174577634755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3"/>
  <sheetViews>
    <sheetView topLeftCell="A25" zoomScale="80" zoomScaleNormal="80" workbookViewId="0">
      <selection activeCell="AA50" sqref="AA50"/>
    </sheetView>
  </sheetViews>
  <sheetFormatPr defaultRowHeight="15"/>
  <cols>
    <col min="2" max="2" width="15.7109375" customWidth="1"/>
  </cols>
  <sheetData>
    <row r="1" spans="1:24" ht="15.75" thickBot="1">
      <c r="A1" t="s">
        <v>354</v>
      </c>
      <c r="C1" t="s">
        <v>256</v>
      </c>
      <c r="N1" t="s">
        <v>257</v>
      </c>
    </row>
    <row r="2" spans="1:24" ht="15.75" thickBot="1">
      <c r="A2" s="213"/>
      <c r="B2" s="214" t="s">
        <v>258</v>
      </c>
      <c r="C2" s="214" t="s">
        <v>355</v>
      </c>
      <c r="D2" s="214" t="s">
        <v>355</v>
      </c>
      <c r="E2" s="214" t="s">
        <v>355</v>
      </c>
      <c r="F2" s="214" t="s">
        <v>355</v>
      </c>
      <c r="G2" s="214" t="s">
        <v>355</v>
      </c>
      <c r="H2" s="214" t="s">
        <v>355</v>
      </c>
      <c r="I2" s="214" t="s">
        <v>355</v>
      </c>
      <c r="J2" s="214" t="s">
        <v>355</v>
      </c>
      <c r="K2" s="214" t="s">
        <v>355</v>
      </c>
      <c r="L2" s="214" t="s">
        <v>355</v>
      </c>
      <c r="M2" s="214" t="s">
        <v>355</v>
      </c>
      <c r="N2" s="214" t="s">
        <v>355</v>
      </c>
      <c r="O2" s="214" t="s">
        <v>355</v>
      </c>
      <c r="P2" s="214" t="s">
        <v>355</v>
      </c>
      <c r="Q2" s="214" t="s">
        <v>355</v>
      </c>
      <c r="R2" s="214" t="s">
        <v>355</v>
      </c>
      <c r="S2" s="214" t="s">
        <v>355</v>
      </c>
      <c r="T2" s="214" t="s">
        <v>355</v>
      </c>
      <c r="U2" s="214" t="s">
        <v>355</v>
      </c>
      <c r="V2" s="214" t="s">
        <v>355</v>
      </c>
      <c r="W2" s="214" t="s">
        <v>355</v>
      </c>
      <c r="X2" s="214" t="s">
        <v>355</v>
      </c>
    </row>
    <row r="3" spans="1:24" ht="23.25" thickBot="1">
      <c r="A3" s="215" t="s">
        <v>261</v>
      </c>
      <c r="B3" s="214" t="s">
        <v>262</v>
      </c>
      <c r="C3" s="214" t="s">
        <v>264</v>
      </c>
      <c r="D3" s="214" t="s">
        <v>265</v>
      </c>
      <c r="E3" s="214" t="s">
        <v>266</v>
      </c>
      <c r="F3" s="214" t="s">
        <v>267</v>
      </c>
      <c r="G3" s="214" t="s">
        <v>268</v>
      </c>
      <c r="H3" s="214" t="s">
        <v>271</v>
      </c>
      <c r="I3" s="214" t="s">
        <v>273</v>
      </c>
      <c r="J3" s="214" t="s">
        <v>274</v>
      </c>
      <c r="K3" s="214" t="s">
        <v>356</v>
      </c>
      <c r="L3" s="214" t="s">
        <v>276</v>
      </c>
      <c r="M3" s="214" t="s">
        <v>277</v>
      </c>
      <c r="N3" s="214" t="s">
        <v>264</v>
      </c>
      <c r="O3" s="214" t="s">
        <v>265</v>
      </c>
      <c r="P3" s="214" t="s">
        <v>266</v>
      </c>
      <c r="Q3" s="214" t="s">
        <v>267</v>
      </c>
      <c r="R3" s="214" t="s">
        <v>268</v>
      </c>
      <c r="S3" s="214" t="s">
        <v>271</v>
      </c>
      <c r="T3" s="214" t="s">
        <v>273</v>
      </c>
      <c r="U3" s="214" t="s">
        <v>274</v>
      </c>
      <c r="V3" s="214" t="s">
        <v>356</v>
      </c>
      <c r="W3" s="214" t="s">
        <v>276</v>
      </c>
      <c r="X3" s="214" t="s">
        <v>277</v>
      </c>
    </row>
    <row r="4" spans="1:24" ht="15.75" thickBot="1">
      <c r="A4" s="214" t="s">
        <v>278</v>
      </c>
      <c r="B4" s="214" t="s">
        <v>256</v>
      </c>
      <c r="C4" s="210">
        <v>454066</v>
      </c>
      <c r="D4" s="210">
        <v>1</v>
      </c>
      <c r="E4" s="210">
        <v>1486</v>
      </c>
      <c r="F4" s="210">
        <v>4252</v>
      </c>
      <c r="G4" s="210">
        <v>153397</v>
      </c>
      <c r="H4" s="210">
        <v>136245</v>
      </c>
      <c r="I4" s="210">
        <v>50658</v>
      </c>
      <c r="J4" s="211"/>
      <c r="K4" s="210">
        <f>SUM(C4:J4)</f>
        <v>800105</v>
      </c>
      <c r="L4" s="210">
        <v>221</v>
      </c>
      <c r="M4" s="212">
        <v>800326</v>
      </c>
      <c r="N4" s="210"/>
      <c r="O4" s="210"/>
      <c r="P4" s="210"/>
      <c r="Q4" s="210"/>
      <c r="R4" s="210"/>
      <c r="S4" s="210"/>
      <c r="T4" s="210"/>
      <c r="U4" s="211"/>
      <c r="V4" s="210"/>
      <c r="W4" s="210"/>
      <c r="X4" s="212"/>
    </row>
    <row r="5" spans="1:24" ht="15.75" thickBot="1">
      <c r="A5" s="214" t="s">
        <v>279</v>
      </c>
      <c r="B5" s="214" t="s">
        <v>256</v>
      </c>
      <c r="C5" s="210">
        <v>454933</v>
      </c>
      <c r="D5" s="210">
        <v>1</v>
      </c>
      <c r="E5" s="210">
        <v>1495</v>
      </c>
      <c r="F5" s="210">
        <v>4269</v>
      </c>
      <c r="G5" s="210">
        <v>153789</v>
      </c>
      <c r="H5" s="210">
        <v>136583</v>
      </c>
      <c r="I5" s="210">
        <v>50730</v>
      </c>
      <c r="J5" s="211"/>
      <c r="K5" s="210">
        <f t="shared" ref="K5:K40" si="0">SUM(C5:J5)</f>
        <v>801800</v>
      </c>
      <c r="L5" s="210">
        <v>221</v>
      </c>
      <c r="M5" s="212">
        <v>802021</v>
      </c>
      <c r="N5" s="210">
        <f>C5-C4</f>
        <v>867</v>
      </c>
      <c r="O5" s="210">
        <f t="shared" ref="O5:X20" si="1">D5-D4</f>
        <v>0</v>
      </c>
      <c r="P5" s="210">
        <f t="shared" si="1"/>
        <v>9</v>
      </c>
      <c r="Q5" s="210">
        <f t="shared" si="1"/>
        <v>17</v>
      </c>
      <c r="R5" s="210">
        <f t="shared" si="1"/>
        <v>392</v>
      </c>
      <c r="S5" s="210">
        <f t="shared" si="1"/>
        <v>338</v>
      </c>
      <c r="T5" s="210">
        <f t="shared" si="1"/>
        <v>72</v>
      </c>
      <c r="U5" s="210">
        <f t="shared" si="1"/>
        <v>0</v>
      </c>
      <c r="V5" s="210">
        <f t="shared" si="1"/>
        <v>1695</v>
      </c>
      <c r="W5" s="210">
        <f t="shared" si="1"/>
        <v>0</v>
      </c>
      <c r="X5" s="212">
        <f t="shared" si="1"/>
        <v>1695</v>
      </c>
    </row>
    <row r="6" spans="1:24" ht="15.75" thickBot="1">
      <c r="A6" s="214" t="s">
        <v>280</v>
      </c>
      <c r="B6" s="214" t="s">
        <v>256</v>
      </c>
      <c r="C6" s="210">
        <v>455360</v>
      </c>
      <c r="D6" s="210">
        <v>1</v>
      </c>
      <c r="E6" s="210">
        <v>1506</v>
      </c>
      <c r="F6" s="210">
        <v>4271</v>
      </c>
      <c r="G6" s="210">
        <v>154004</v>
      </c>
      <c r="H6" s="210">
        <v>136789</v>
      </c>
      <c r="I6" s="210">
        <v>50770</v>
      </c>
      <c r="J6" s="211"/>
      <c r="K6" s="210">
        <f t="shared" si="0"/>
        <v>802701</v>
      </c>
      <c r="L6" s="210">
        <v>224</v>
      </c>
      <c r="M6" s="212">
        <v>802925</v>
      </c>
      <c r="N6" s="210">
        <f t="shared" ref="N6:X40" si="2">C6-C5</f>
        <v>427</v>
      </c>
      <c r="O6" s="210">
        <f t="shared" si="1"/>
        <v>0</v>
      </c>
      <c r="P6" s="210">
        <f t="shared" si="1"/>
        <v>11</v>
      </c>
      <c r="Q6" s="210">
        <f t="shared" si="1"/>
        <v>2</v>
      </c>
      <c r="R6" s="210">
        <f t="shared" si="1"/>
        <v>215</v>
      </c>
      <c r="S6" s="210">
        <f t="shared" si="1"/>
        <v>206</v>
      </c>
      <c r="T6" s="210">
        <f t="shared" si="1"/>
        <v>40</v>
      </c>
      <c r="U6" s="210">
        <f t="shared" si="1"/>
        <v>0</v>
      </c>
      <c r="V6" s="210">
        <f t="shared" si="1"/>
        <v>901</v>
      </c>
      <c r="W6" s="210">
        <f t="shared" si="1"/>
        <v>3</v>
      </c>
      <c r="X6" s="212">
        <f t="shared" si="1"/>
        <v>904</v>
      </c>
    </row>
    <row r="7" spans="1:24" ht="15.75" thickBot="1">
      <c r="A7" s="214" t="s">
        <v>281</v>
      </c>
      <c r="B7" s="214" t="s">
        <v>256</v>
      </c>
      <c r="C7" s="210">
        <v>455819</v>
      </c>
      <c r="D7" s="210">
        <v>1</v>
      </c>
      <c r="E7" s="210">
        <v>1504</v>
      </c>
      <c r="F7" s="210">
        <v>4290</v>
      </c>
      <c r="G7" s="210">
        <v>154253</v>
      </c>
      <c r="H7" s="210">
        <v>136954</v>
      </c>
      <c r="I7" s="210">
        <v>50861</v>
      </c>
      <c r="J7" s="211"/>
      <c r="K7" s="210">
        <f t="shared" si="0"/>
        <v>803682</v>
      </c>
      <c r="L7" s="210">
        <v>227</v>
      </c>
      <c r="M7" s="212">
        <v>803909</v>
      </c>
      <c r="N7" s="210">
        <f t="shared" si="2"/>
        <v>459</v>
      </c>
      <c r="O7" s="210">
        <f t="shared" si="1"/>
        <v>0</v>
      </c>
      <c r="P7" s="210">
        <f t="shared" si="1"/>
        <v>-2</v>
      </c>
      <c r="Q7" s="210">
        <f t="shared" si="1"/>
        <v>19</v>
      </c>
      <c r="R7" s="210">
        <f t="shared" si="1"/>
        <v>249</v>
      </c>
      <c r="S7" s="210">
        <f t="shared" si="1"/>
        <v>165</v>
      </c>
      <c r="T7" s="210">
        <f t="shared" si="1"/>
        <v>91</v>
      </c>
      <c r="U7" s="210">
        <f t="shared" si="1"/>
        <v>0</v>
      </c>
      <c r="V7" s="210">
        <f t="shared" si="1"/>
        <v>981</v>
      </c>
      <c r="W7" s="210">
        <f t="shared" si="1"/>
        <v>3</v>
      </c>
      <c r="X7" s="212">
        <f t="shared" si="1"/>
        <v>984</v>
      </c>
    </row>
    <row r="8" spans="1:24" ht="15.75" thickBot="1">
      <c r="A8" s="214" t="s">
        <v>282</v>
      </c>
      <c r="B8" s="214" t="s">
        <v>256</v>
      </c>
      <c r="C8" s="210">
        <v>455911</v>
      </c>
      <c r="D8" s="210">
        <v>1</v>
      </c>
      <c r="E8" s="210">
        <v>1511</v>
      </c>
      <c r="F8" s="210">
        <v>4283</v>
      </c>
      <c r="G8" s="210">
        <v>154260</v>
      </c>
      <c r="H8" s="210">
        <v>136911</v>
      </c>
      <c r="I8" s="210">
        <v>50918</v>
      </c>
      <c r="J8" s="211"/>
      <c r="K8" s="210">
        <f t="shared" si="0"/>
        <v>803795</v>
      </c>
      <c r="L8" s="210">
        <v>200</v>
      </c>
      <c r="M8" s="212">
        <v>803995</v>
      </c>
      <c r="N8" s="210">
        <f t="shared" si="2"/>
        <v>92</v>
      </c>
      <c r="O8" s="210">
        <f t="shared" si="1"/>
        <v>0</v>
      </c>
      <c r="P8" s="210">
        <f t="shared" si="1"/>
        <v>7</v>
      </c>
      <c r="Q8" s="210">
        <f t="shared" si="1"/>
        <v>-7</v>
      </c>
      <c r="R8" s="210">
        <f t="shared" si="1"/>
        <v>7</v>
      </c>
      <c r="S8" s="210">
        <f t="shared" si="1"/>
        <v>-43</v>
      </c>
      <c r="T8" s="210">
        <f t="shared" si="1"/>
        <v>57</v>
      </c>
      <c r="U8" s="210">
        <f t="shared" si="1"/>
        <v>0</v>
      </c>
      <c r="V8" s="210">
        <f t="shared" si="1"/>
        <v>113</v>
      </c>
      <c r="W8" s="210">
        <f t="shared" si="1"/>
        <v>-27</v>
      </c>
      <c r="X8" s="212">
        <f t="shared" si="1"/>
        <v>86</v>
      </c>
    </row>
    <row r="9" spans="1:24" ht="15.75" thickBot="1">
      <c r="A9" s="214" t="s">
        <v>283</v>
      </c>
      <c r="B9" s="214" t="s">
        <v>256</v>
      </c>
      <c r="C9" s="210">
        <v>457245</v>
      </c>
      <c r="D9" s="210">
        <v>1</v>
      </c>
      <c r="E9" s="210">
        <v>1530</v>
      </c>
      <c r="F9" s="210">
        <v>4276</v>
      </c>
      <c r="G9" s="210">
        <v>154682</v>
      </c>
      <c r="H9" s="210">
        <v>137456</v>
      </c>
      <c r="I9" s="210">
        <v>51060</v>
      </c>
      <c r="J9" s="210">
        <v>1</v>
      </c>
      <c r="K9" s="210">
        <f t="shared" si="0"/>
        <v>806251</v>
      </c>
      <c r="L9" s="210">
        <v>209</v>
      </c>
      <c r="M9" s="212">
        <v>806460</v>
      </c>
      <c r="N9" s="210">
        <f t="shared" si="2"/>
        <v>1334</v>
      </c>
      <c r="O9" s="210">
        <f t="shared" si="1"/>
        <v>0</v>
      </c>
      <c r="P9" s="210">
        <f t="shared" si="1"/>
        <v>19</v>
      </c>
      <c r="Q9" s="210">
        <f t="shared" si="1"/>
        <v>-7</v>
      </c>
      <c r="R9" s="210">
        <f t="shared" si="1"/>
        <v>422</v>
      </c>
      <c r="S9" s="210">
        <f t="shared" si="1"/>
        <v>545</v>
      </c>
      <c r="T9" s="210">
        <f t="shared" si="1"/>
        <v>142</v>
      </c>
      <c r="U9" s="210">
        <f t="shared" si="1"/>
        <v>1</v>
      </c>
      <c r="V9" s="210">
        <f t="shared" si="1"/>
        <v>2456</v>
      </c>
      <c r="W9" s="210">
        <f t="shared" si="1"/>
        <v>9</v>
      </c>
      <c r="X9" s="212">
        <f t="shared" si="1"/>
        <v>2465</v>
      </c>
    </row>
    <row r="10" spans="1:24" ht="15.75" thickBot="1">
      <c r="A10" s="214" t="s">
        <v>284</v>
      </c>
      <c r="B10" s="214" t="s">
        <v>256</v>
      </c>
      <c r="C10" s="210">
        <v>457828</v>
      </c>
      <c r="D10" s="210">
        <v>1</v>
      </c>
      <c r="E10" s="210">
        <v>1539</v>
      </c>
      <c r="F10" s="210">
        <v>4280</v>
      </c>
      <c r="G10" s="210">
        <v>154852</v>
      </c>
      <c r="H10" s="210">
        <v>137668</v>
      </c>
      <c r="I10" s="210">
        <v>51165</v>
      </c>
      <c r="J10" s="210">
        <v>1</v>
      </c>
      <c r="K10" s="210">
        <f t="shared" si="0"/>
        <v>807334</v>
      </c>
      <c r="L10" s="210">
        <v>214</v>
      </c>
      <c r="M10" s="212">
        <v>807548</v>
      </c>
      <c r="N10" s="210">
        <f t="shared" si="2"/>
        <v>583</v>
      </c>
      <c r="O10" s="210">
        <f t="shared" si="1"/>
        <v>0</v>
      </c>
      <c r="P10" s="210">
        <f t="shared" si="1"/>
        <v>9</v>
      </c>
      <c r="Q10" s="210">
        <f t="shared" si="1"/>
        <v>4</v>
      </c>
      <c r="R10" s="210">
        <f t="shared" si="1"/>
        <v>170</v>
      </c>
      <c r="S10" s="210">
        <f t="shared" si="1"/>
        <v>212</v>
      </c>
      <c r="T10" s="210">
        <f t="shared" si="1"/>
        <v>105</v>
      </c>
      <c r="U10" s="210">
        <f t="shared" si="1"/>
        <v>0</v>
      </c>
      <c r="V10" s="210">
        <f t="shared" si="1"/>
        <v>1083</v>
      </c>
      <c r="W10" s="210">
        <f t="shared" si="1"/>
        <v>5</v>
      </c>
      <c r="X10" s="212">
        <f t="shared" si="1"/>
        <v>1088</v>
      </c>
    </row>
    <row r="11" spans="1:24" ht="15.75" thickBot="1">
      <c r="A11" s="214" t="s">
        <v>285</v>
      </c>
      <c r="B11" s="214" t="s">
        <v>256</v>
      </c>
      <c r="C11" s="210">
        <v>457895</v>
      </c>
      <c r="D11" s="210">
        <v>1</v>
      </c>
      <c r="E11" s="210">
        <v>1543</v>
      </c>
      <c r="F11" s="210">
        <v>4265</v>
      </c>
      <c r="G11" s="210">
        <v>154909</v>
      </c>
      <c r="H11" s="210">
        <v>137757</v>
      </c>
      <c r="I11" s="210">
        <v>51210</v>
      </c>
      <c r="J11" s="210">
        <v>1</v>
      </c>
      <c r="K11" s="210">
        <f t="shared" si="0"/>
        <v>807581</v>
      </c>
      <c r="L11" s="210">
        <v>214</v>
      </c>
      <c r="M11" s="212">
        <v>807795</v>
      </c>
      <c r="N11" s="210">
        <f t="shared" si="2"/>
        <v>67</v>
      </c>
      <c r="O11" s="210">
        <f t="shared" si="1"/>
        <v>0</v>
      </c>
      <c r="P11" s="210">
        <f t="shared" si="1"/>
        <v>4</v>
      </c>
      <c r="Q11" s="210">
        <f t="shared" si="1"/>
        <v>-15</v>
      </c>
      <c r="R11" s="210">
        <f t="shared" si="1"/>
        <v>57</v>
      </c>
      <c r="S11" s="210">
        <f t="shared" si="1"/>
        <v>89</v>
      </c>
      <c r="T11" s="210">
        <f t="shared" si="1"/>
        <v>45</v>
      </c>
      <c r="U11" s="210">
        <f t="shared" si="1"/>
        <v>0</v>
      </c>
      <c r="V11" s="210">
        <f t="shared" si="1"/>
        <v>247</v>
      </c>
      <c r="W11" s="210">
        <f t="shared" si="1"/>
        <v>0</v>
      </c>
      <c r="X11" s="212">
        <f t="shared" si="1"/>
        <v>247</v>
      </c>
    </row>
    <row r="12" spans="1:24" ht="15.75" thickBot="1">
      <c r="A12" s="214" t="s">
        <v>286</v>
      </c>
      <c r="B12" s="214" t="s">
        <v>256</v>
      </c>
      <c r="C12" s="210">
        <v>458199</v>
      </c>
      <c r="D12" s="210">
        <v>1</v>
      </c>
      <c r="E12" s="210">
        <v>1541</v>
      </c>
      <c r="F12" s="210">
        <v>4250</v>
      </c>
      <c r="G12" s="210">
        <v>155031</v>
      </c>
      <c r="H12" s="210">
        <v>137910</v>
      </c>
      <c r="I12" s="210">
        <v>51325</v>
      </c>
      <c r="J12" s="211"/>
      <c r="K12" s="210">
        <f t="shared" si="0"/>
        <v>808257</v>
      </c>
      <c r="L12" s="210">
        <v>222</v>
      </c>
      <c r="M12" s="212">
        <v>808479</v>
      </c>
      <c r="N12" s="210">
        <f t="shared" si="2"/>
        <v>304</v>
      </c>
      <c r="O12" s="210">
        <f t="shared" si="1"/>
        <v>0</v>
      </c>
      <c r="P12" s="210">
        <f t="shared" si="1"/>
        <v>-2</v>
      </c>
      <c r="Q12" s="210">
        <f t="shared" si="1"/>
        <v>-15</v>
      </c>
      <c r="R12" s="210">
        <f t="shared" si="1"/>
        <v>122</v>
      </c>
      <c r="S12" s="210">
        <f t="shared" si="1"/>
        <v>153</v>
      </c>
      <c r="T12" s="210">
        <f t="shared" si="1"/>
        <v>115</v>
      </c>
      <c r="U12" s="210">
        <f t="shared" si="1"/>
        <v>-1</v>
      </c>
      <c r="V12" s="210">
        <f t="shared" si="1"/>
        <v>676</v>
      </c>
      <c r="W12" s="210">
        <f t="shared" si="1"/>
        <v>8</v>
      </c>
      <c r="X12" s="212">
        <f t="shared" si="1"/>
        <v>684</v>
      </c>
    </row>
    <row r="13" spans="1:24" ht="15.75" thickBot="1">
      <c r="A13" s="214" t="s">
        <v>287</v>
      </c>
      <c r="B13" s="214" t="s">
        <v>256</v>
      </c>
      <c r="C13" s="210">
        <v>458620</v>
      </c>
      <c r="D13" s="210">
        <v>1</v>
      </c>
      <c r="E13" s="210">
        <v>1551</v>
      </c>
      <c r="F13" s="210">
        <v>4244</v>
      </c>
      <c r="G13" s="210">
        <v>155266</v>
      </c>
      <c r="H13" s="210">
        <v>138185</v>
      </c>
      <c r="I13" s="210">
        <v>51447</v>
      </c>
      <c r="J13" s="211"/>
      <c r="K13" s="210">
        <f t="shared" si="0"/>
        <v>809314</v>
      </c>
      <c r="L13" s="210">
        <v>224</v>
      </c>
      <c r="M13" s="212">
        <v>809538</v>
      </c>
      <c r="N13" s="210">
        <f t="shared" si="2"/>
        <v>421</v>
      </c>
      <c r="O13" s="210">
        <f t="shared" si="1"/>
        <v>0</v>
      </c>
      <c r="P13" s="210">
        <f t="shared" si="1"/>
        <v>10</v>
      </c>
      <c r="Q13" s="210">
        <f t="shared" si="1"/>
        <v>-6</v>
      </c>
      <c r="R13" s="210">
        <f t="shared" si="1"/>
        <v>235</v>
      </c>
      <c r="S13" s="210">
        <f t="shared" si="1"/>
        <v>275</v>
      </c>
      <c r="T13" s="210">
        <f t="shared" si="1"/>
        <v>122</v>
      </c>
      <c r="U13" s="210">
        <f t="shared" si="1"/>
        <v>0</v>
      </c>
      <c r="V13" s="210">
        <f t="shared" si="1"/>
        <v>1057</v>
      </c>
      <c r="W13" s="210">
        <f t="shared" si="1"/>
        <v>2</v>
      </c>
      <c r="X13" s="212">
        <f t="shared" si="1"/>
        <v>1059</v>
      </c>
    </row>
    <row r="14" spans="1:24" ht="15.75" thickBot="1">
      <c r="A14" s="214" t="s">
        <v>288</v>
      </c>
      <c r="B14" s="214" t="s">
        <v>256</v>
      </c>
      <c r="C14" s="210">
        <v>459363</v>
      </c>
      <c r="D14" s="210">
        <v>1</v>
      </c>
      <c r="E14" s="210">
        <v>1559</v>
      </c>
      <c r="F14" s="210">
        <v>4264</v>
      </c>
      <c r="G14" s="210">
        <v>155564</v>
      </c>
      <c r="H14" s="210">
        <v>138498</v>
      </c>
      <c r="I14" s="210">
        <v>51555</v>
      </c>
      <c r="J14" s="211"/>
      <c r="K14" s="210">
        <f t="shared" si="0"/>
        <v>810804</v>
      </c>
      <c r="L14" s="210">
        <v>225</v>
      </c>
      <c r="M14" s="212">
        <v>811029</v>
      </c>
      <c r="N14" s="210">
        <f t="shared" si="2"/>
        <v>743</v>
      </c>
      <c r="O14" s="210">
        <f t="shared" si="1"/>
        <v>0</v>
      </c>
      <c r="P14" s="210">
        <f t="shared" si="1"/>
        <v>8</v>
      </c>
      <c r="Q14" s="210">
        <f t="shared" si="1"/>
        <v>20</v>
      </c>
      <c r="R14" s="210">
        <f t="shared" si="1"/>
        <v>298</v>
      </c>
      <c r="S14" s="210">
        <f t="shared" si="1"/>
        <v>313</v>
      </c>
      <c r="T14" s="210">
        <f t="shared" si="1"/>
        <v>108</v>
      </c>
      <c r="U14" s="210">
        <f t="shared" si="1"/>
        <v>0</v>
      </c>
      <c r="V14" s="210">
        <f t="shared" si="1"/>
        <v>1490</v>
      </c>
      <c r="W14" s="210">
        <f t="shared" si="1"/>
        <v>1</v>
      </c>
      <c r="X14" s="212">
        <f t="shared" si="1"/>
        <v>1491</v>
      </c>
    </row>
    <row r="15" spans="1:24" ht="15.75" thickBot="1">
      <c r="A15" s="214" t="s">
        <v>289</v>
      </c>
      <c r="B15" s="214" t="s">
        <v>256</v>
      </c>
      <c r="C15" s="210">
        <v>460183</v>
      </c>
      <c r="D15" s="210">
        <v>1</v>
      </c>
      <c r="E15" s="210">
        <v>1570</v>
      </c>
      <c r="F15" s="210">
        <v>4270</v>
      </c>
      <c r="G15" s="210">
        <v>155916</v>
      </c>
      <c r="H15" s="210">
        <v>138867</v>
      </c>
      <c r="I15" s="210">
        <v>51693</v>
      </c>
      <c r="J15" s="211"/>
      <c r="K15" s="210">
        <f t="shared" si="0"/>
        <v>812500</v>
      </c>
      <c r="L15" s="210">
        <v>225</v>
      </c>
      <c r="M15" s="212">
        <v>812725</v>
      </c>
      <c r="N15" s="210">
        <f t="shared" si="2"/>
        <v>820</v>
      </c>
      <c r="O15" s="210">
        <f t="shared" si="1"/>
        <v>0</v>
      </c>
      <c r="P15" s="210">
        <f t="shared" si="1"/>
        <v>11</v>
      </c>
      <c r="Q15" s="210">
        <f t="shared" si="1"/>
        <v>6</v>
      </c>
      <c r="R15" s="210">
        <f t="shared" si="1"/>
        <v>352</v>
      </c>
      <c r="S15" s="210">
        <f t="shared" si="1"/>
        <v>369</v>
      </c>
      <c r="T15" s="210">
        <f t="shared" si="1"/>
        <v>138</v>
      </c>
      <c r="U15" s="210">
        <f t="shared" si="1"/>
        <v>0</v>
      </c>
      <c r="V15" s="210">
        <f t="shared" si="1"/>
        <v>1696</v>
      </c>
      <c r="W15" s="210">
        <f t="shared" si="1"/>
        <v>0</v>
      </c>
      <c r="X15" s="212">
        <f t="shared" si="1"/>
        <v>1696</v>
      </c>
    </row>
    <row r="16" spans="1:24" ht="15.75" thickBot="1">
      <c r="A16" s="214" t="s">
        <v>290</v>
      </c>
      <c r="B16" s="214" t="s">
        <v>256</v>
      </c>
      <c r="C16" s="210">
        <v>461069</v>
      </c>
      <c r="D16" s="210">
        <v>1</v>
      </c>
      <c r="E16" s="210">
        <v>1595</v>
      </c>
      <c r="F16" s="210">
        <v>4288</v>
      </c>
      <c r="G16" s="210">
        <v>156349</v>
      </c>
      <c r="H16" s="210">
        <v>139287</v>
      </c>
      <c r="I16" s="210">
        <v>51782</v>
      </c>
      <c r="J16" s="211"/>
      <c r="K16" s="210">
        <f t="shared" si="0"/>
        <v>814371</v>
      </c>
      <c r="L16" s="210">
        <v>222</v>
      </c>
      <c r="M16" s="212">
        <v>814593</v>
      </c>
      <c r="N16" s="210">
        <f t="shared" si="2"/>
        <v>886</v>
      </c>
      <c r="O16" s="210">
        <f t="shared" si="1"/>
        <v>0</v>
      </c>
      <c r="P16" s="210">
        <f t="shared" si="1"/>
        <v>25</v>
      </c>
      <c r="Q16" s="210">
        <f t="shared" si="1"/>
        <v>18</v>
      </c>
      <c r="R16" s="210">
        <f t="shared" si="1"/>
        <v>433</v>
      </c>
      <c r="S16" s="210">
        <f t="shared" si="1"/>
        <v>420</v>
      </c>
      <c r="T16" s="210">
        <f t="shared" si="1"/>
        <v>89</v>
      </c>
      <c r="U16" s="210">
        <f t="shared" si="1"/>
        <v>0</v>
      </c>
      <c r="V16" s="210">
        <f t="shared" si="1"/>
        <v>1871</v>
      </c>
      <c r="W16" s="210">
        <f t="shared" si="1"/>
        <v>-3</v>
      </c>
      <c r="X16" s="212">
        <f t="shared" si="1"/>
        <v>1868</v>
      </c>
    </row>
    <row r="17" spans="1:24" ht="15.75" thickBot="1">
      <c r="A17" s="214" t="s">
        <v>291</v>
      </c>
      <c r="B17" s="214" t="s">
        <v>256</v>
      </c>
      <c r="C17" s="210">
        <v>461649</v>
      </c>
      <c r="D17" s="210">
        <v>1</v>
      </c>
      <c r="E17" s="210">
        <v>1598</v>
      </c>
      <c r="F17" s="210">
        <v>4286</v>
      </c>
      <c r="G17" s="210">
        <v>156547</v>
      </c>
      <c r="H17" s="210">
        <v>139472</v>
      </c>
      <c r="I17" s="210">
        <v>51870</v>
      </c>
      <c r="J17" s="211"/>
      <c r="K17" s="210">
        <f t="shared" si="0"/>
        <v>815423</v>
      </c>
      <c r="L17" s="210">
        <v>225</v>
      </c>
      <c r="M17" s="212">
        <v>815648</v>
      </c>
      <c r="N17" s="210">
        <f t="shared" si="2"/>
        <v>580</v>
      </c>
      <c r="O17" s="210">
        <f t="shared" si="1"/>
        <v>0</v>
      </c>
      <c r="P17" s="210">
        <f t="shared" si="1"/>
        <v>3</v>
      </c>
      <c r="Q17" s="210">
        <f t="shared" si="1"/>
        <v>-2</v>
      </c>
      <c r="R17" s="210">
        <f t="shared" si="1"/>
        <v>198</v>
      </c>
      <c r="S17" s="210">
        <f t="shared" si="1"/>
        <v>185</v>
      </c>
      <c r="T17" s="210">
        <f t="shared" si="1"/>
        <v>88</v>
      </c>
      <c r="U17" s="210">
        <f t="shared" si="1"/>
        <v>0</v>
      </c>
      <c r="V17" s="210">
        <f t="shared" si="1"/>
        <v>1052</v>
      </c>
      <c r="W17" s="210">
        <f t="shared" si="1"/>
        <v>3</v>
      </c>
      <c r="X17" s="212">
        <f t="shared" si="1"/>
        <v>1055</v>
      </c>
    </row>
    <row r="18" spans="1:24" ht="15.75" thickBot="1">
      <c r="A18" s="214" t="s">
        <v>292</v>
      </c>
      <c r="B18" s="214" t="s">
        <v>256</v>
      </c>
      <c r="C18" s="210">
        <v>462063</v>
      </c>
      <c r="D18" s="210">
        <v>1</v>
      </c>
      <c r="E18" s="210">
        <v>1607</v>
      </c>
      <c r="F18" s="210">
        <v>4281</v>
      </c>
      <c r="G18" s="210">
        <v>156774</v>
      </c>
      <c r="H18" s="210">
        <v>139724</v>
      </c>
      <c r="I18" s="210">
        <v>51938</v>
      </c>
      <c r="J18" s="211"/>
      <c r="K18" s="210">
        <f t="shared" si="0"/>
        <v>816388</v>
      </c>
      <c r="L18" s="210">
        <v>223</v>
      </c>
      <c r="M18" s="212">
        <v>816611</v>
      </c>
      <c r="N18" s="210">
        <f t="shared" si="2"/>
        <v>414</v>
      </c>
      <c r="O18" s="210">
        <f t="shared" si="1"/>
        <v>0</v>
      </c>
      <c r="P18" s="210">
        <f t="shared" si="1"/>
        <v>9</v>
      </c>
      <c r="Q18" s="210">
        <f t="shared" si="1"/>
        <v>-5</v>
      </c>
      <c r="R18" s="210">
        <f t="shared" si="1"/>
        <v>227</v>
      </c>
      <c r="S18" s="210">
        <f t="shared" si="1"/>
        <v>252</v>
      </c>
      <c r="T18" s="210">
        <f t="shared" si="1"/>
        <v>68</v>
      </c>
      <c r="U18" s="210">
        <f t="shared" si="1"/>
        <v>0</v>
      </c>
      <c r="V18" s="210">
        <f t="shared" si="1"/>
        <v>965</v>
      </c>
      <c r="W18" s="210">
        <f t="shared" si="1"/>
        <v>-2</v>
      </c>
      <c r="X18" s="212">
        <f t="shared" si="1"/>
        <v>963</v>
      </c>
    </row>
    <row r="19" spans="1:24" ht="15.75" thickBot="1">
      <c r="A19" s="214" t="s">
        <v>293</v>
      </c>
      <c r="B19" s="214" t="s">
        <v>256</v>
      </c>
      <c r="C19" s="210">
        <v>462283</v>
      </c>
      <c r="D19" s="210">
        <v>1</v>
      </c>
      <c r="E19" s="210">
        <v>1606</v>
      </c>
      <c r="F19" s="210">
        <v>4282</v>
      </c>
      <c r="G19" s="210">
        <v>156895</v>
      </c>
      <c r="H19" s="210">
        <v>139896</v>
      </c>
      <c r="I19" s="210">
        <v>51966</v>
      </c>
      <c r="J19" s="211"/>
      <c r="K19" s="210">
        <f t="shared" si="0"/>
        <v>816929</v>
      </c>
      <c r="L19" s="210">
        <v>225</v>
      </c>
      <c r="M19" s="212">
        <v>817154</v>
      </c>
      <c r="N19" s="210">
        <f t="shared" si="2"/>
        <v>220</v>
      </c>
      <c r="O19" s="210">
        <f t="shared" si="1"/>
        <v>0</v>
      </c>
      <c r="P19" s="210">
        <f t="shared" si="1"/>
        <v>-1</v>
      </c>
      <c r="Q19" s="210">
        <f t="shared" si="1"/>
        <v>1</v>
      </c>
      <c r="R19" s="210">
        <f t="shared" si="1"/>
        <v>121</v>
      </c>
      <c r="S19" s="210">
        <f t="shared" si="1"/>
        <v>172</v>
      </c>
      <c r="T19" s="210">
        <f t="shared" si="1"/>
        <v>28</v>
      </c>
      <c r="U19" s="210">
        <f t="shared" si="1"/>
        <v>0</v>
      </c>
      <c r="V19" s="210">
        <f t="shared" si="1"/>
        <v>541</v>
      </c>
      <c r="W19" s="210">
        <f t="shared" si="1"/>
        <v>2</v>
      </c>
      <c r="X19" s="212">
        <f t="shared" si="1"/>
        <v>543</v>
      </c>
    </row>
    <row r="20" spans="1:24" ht="15.75" thickBot="1">
      <c r="A20" s="214" t="s">
        <v>294</v>
      </c>
      <c r="B20" s="214" t="s">
        <v>256</v>
      </c>
      <c r="C20" s="210">
        <v>462432</v>
      </c>
      <c r="D20" s="210">
        <v>1</v>
      </c>
      <c r="E20" s="210">
        <v>1608</v>
      </c>
      <c r="F20" s="210">
        <v>4284</v>
      </c>
      <c r="G20" s="210">
        <v>157032</v>
      </c>
      <c r="H20" s="210">
        <v>139978</v>
      </c>
      <c r="I20" s="210">
        <v>52049</v>
      </c>
      <c r="J20" s="211"/>
      <c r="K20" s="210">
        <f t="shared" si="0"/>
        <v>817384</v>
      </c>
      <c r="L20" s="210">
        <v>230</v>
      </c>
      <c r="M20" s="212">
        <v>817614</v>
      </c>
      <c r="N20" s="210">
        <f t="shared" si="2"/>
        <v>149</v>
      </c>
      <c r="O20" s="210">
        <f t="shared" si="1"/>
        <v>0</v>
      </c>
      <c r="P20" s="210">
        <f t="shared" si="1"/>
        <v>2</v>
      </c>
      <c r="Q20" s="210">
        <f t="shared" si="1"/>
        <v>2</v>
      </c>
      <c r="R20" s="210">
        <f t="shared" si="1"/>
        <v>137</v>
      </c>
      <c r="S20" s="210">
        <f t="shared" si="1"/>
        <v>82</v>
      </c>
      <c r="T20" s="210">
        <f t="shared" si="1"/>
        <v>83</v>
      </c>
      <c r="U20" s="210">
        <f t="shared" si="1"/>
        <v>0</v>
      </c>
      <c r="V20" s="210">
        <f t="shared" si="1"/>
        <v>455</v>
      </c>
      <c r="W20" s="210">
        <f t="shared" si="1"/>
        <v>5</v>
      </c>
      <c r="X20" s="212">
        <f t="shared" si="1"/>
        <v>460</v>
      </c>
    </row>
    <row r="21" spans="1:24" ht="15.75" thickBot="1">
      <c r="A21" s="214" t="s">
        <v>295</v>
      </c>
      <c r="B21" s="214" t="s">
        <v>256</v>
      </c>
      <c r="C21" s="210">
        <v>462701</v>
      </c>
      <c r="D21" s="210">
        <v>1</v>
      </c>
      <c r="E21" s="210">
        <v>1616</v>
      </c>
      <c r="F21" s="210">
        <v>4264</v>
      </c>
      <c r="G21" s="210">
        <v>157160</v>
      </c>
      <c r="H21" s="210">
        <v>140107</v>
      </c>
      <c r="I21" s="210">
        <v>52105</v>
      </c>
      <c r="J21" s="211"/>
      <c r="K21" s="210">
        <f t="shared" si="0"/>
        <v>817954</v>
      </c>
      <c r="L21" s="210">
        <v>232</v>
      </c>
      <c r="M21" s="212">
        <v>818186</v>
      </c>
      <c r="N21" s="210">
        <f t="shared" si="2"/>
        <v>269</v>
      </c>
      <c r="O21" s="210">
        <f t="shared" si="2"/>
        <v>0</v>
      </c>
      <c r="P21" s="210">
        <f t="shared" si="2"/>
        <v>8</v>
      </c>
      <c r="Q21" s="210">
        <f t="shared" si="2"/>
        <v>-20</v>
      </c>
      <c r="R21" s="210">
        <f t="shared" si="2"/>
        <v>128</v>
      </c>
      <c r="S21" s="210">
        <f t="shared" si="2"/>
        <v>129</v>
      </c>
      <c r="T21" s="210">
        <f t="shared" si="2"/>
        <v>56</v>
      </c>
      <c r="U21" s="210">
        <f t="shared" si="2"/>
        <v>0</v>
      </c>
      <c r="V21" s="210">
        <f t="shared" si="2"/>
        <v>570</v>
      </c>
      <c r="W21" s="210">
        <f t="shared" si="2"/>
        <v>2</v>
      </c>
      <c r="X21" s="212">
        <f t="shared" si="2"/>
        <v>572</v>
      </c>
    </row>
    <row r="22" spans="1:24" ht="15.75" thickBot="1">
      <c r="A22" s="214" t="s">
        <v>296</v>
      </c>
      <c r="B22" s="214" t="s">
        <v>256</v>
      </c>
      <c r="C22" s="210">
        <v>462740</v>
      </c>
      <c r="D22" s="210">
        <v>1</v>
      </c>
      <c r="E22" s="210">
        <v>1626</v>
      </c>
      <c r="F22" s="210">
        <v>4258</v>
      </c>
      <c r="G22" s="210">
        <v>157156</v>
      </c>
      <c r="H22" s="210">
        <v>140161</v>
      </c>
      <c r="I22" s="210">
        <v>52161</v>
      </c>
      <c r="J22" s="211"/>
      <c r="K22" s="210">
        <f t="shared" si="0"/>
        <v>818103</v>
      </c>
      <c r="L22" s="210">
        <v>234</v>
      </c>
      <c r="M22" s="212">
        <v>818337</v>
      </c>
      <c r="N22" s="210">
        <f t="shared" si="2"/>
        <v>39</v>
      </c>
      <c r="O22" s="210">
        <f t="shared" si="2"/>
        <v>0</v>
      </c>
      <c r="P22" s="210">
        <f t="shared" si="2"/>
        <v>10</v>
      </c>
      <c r="Q22" s="210">
        <f t="shared" si="2"/>
        <v>-6</v>
      </c>
      <c r="R22" s="210">
        <f t="shared" si="2"/>
        <v>-4</v>
      </c>
      <c r="S22" s="210">
        <f t="shared" si="2"/>
        <v>54</v>
      </c>
      <c r="T22" s="210">
        <f t="shared" si="2"/>
        <v>56</v>
      </c>
      <c r="U22" s="210">
        <f t="shared" si="2"/>
        <v>0</v>
      </c>
      <c r="V22" s="210">
        <f t="shared" si="2"/>
        <v>149</v>
      </c>
      <c r="W22" s="210">
        <f t="shared" si="2"/>
        <v>2</v>
      </c>
      <c r="X22" s="212">
        <f t="shared" si="2"/>
        <v>151</v>
      </c>
    </row>
    <row r="23" spans="1:24" ht="15.75" thickBot="1">
      <c r="A23" s="214" t="s">
        <v>297</v>
      </c>
      <c r="B23" s="214" t="s">
        <v>256</v>
      </c>
      <c r="C23" s="210">
        <v>462622</v>
      </c>
      <c r="D23" s="210">
        <v>1</v>
      </c>
      <c r="E23" s="210">
        <v>1628</v>
      </c>
      <c r="F23" s="210">
        <v>4247</v>
      </c>
      <c r="G23" s="210">
        <v>157126</v>
      </c>
      <c r="H23" s="210">
        <v>140219</v>
      </c>
      <c r="I23" s="210">
        <v>52200</v>
      </c>
      <c r="J23" s="211"/>
      <c r="K23" s="210">
        <f t="shared" si="0"/>
        <v>818043</v>
      </c>
      <c r="L23" s="210">
        <v>233</v>
      </c>
      <c r="M23" s="212">
        <v>818276</v>
      </c>
      <c r="N23" s="210">
        <f t="shared" si="2"/>
        <v>-118</v>
      </c>
      <c r="O23" s="210">
        <f t="shared" si="2"/>
        <v>0</v>
      </c>
      <c r="P23" s="210">
        <f t="shared" si="2"/>
        <v>2</v>
      </c>
      <c r="Q23" s="210">
        <f t="shared" si="2"/>
        <v>-11</v>
      </c>
      <c r="R23" s="210">
        <f t="shared" si="2"/>
        <v>-30</v>
      </c>
      <c r="S23" s="210">
        <f t="shared" si="2"/>
        <v>58</v>
      </c>
      <c r="T23" s="210">
        <f t="shared" si="2"/>
        <v>39</v>
      </c>
      <c r="U23" s="210">
        <f t="shared" si="2"/>
        <v>0</v>
      </c>
      <c r="V23" s="210">
        <f t="shared" si="2"/>
        <v>-60</v>
      </c>
      <c r="W23" s="210">
        <f t="shared" si="2"/>
        <v>-1</v>
      </c>
      <c r="X23" s="212">
        <f t="shared" si="2"/>
        <v>-61</v>
      </c>
    </row>
    <row r="24" spans="1:24" ht="15.75" thickBot="1">
      <c r="A24" s="214" t="s">
        <v>298</v>
      </c>
      <c r="B24" s="214" t="s">
        <v>256</v>
      </c>
      <c r="C24" s="210">
        <v>462762</v>
      </c>
      <c r="D24" s="210">
        <v>1</v>
      </c>
      <c r="E24" s="210">
        <v>1641</v>
      </c>
      <c r="F24" s="210">
        <v>4229</v>
      </c>
      <c r="G24" s="210">
        <v>157261</v>
      </c>
      <c r="H24" s="210">
        <v>140407</v>
      </c>
      <c r="I24" s="210">
        <v>52283</v>
      </c>
      <c r="J24" s="211"/>
      <c r="K24" s="210">
        <f t="shared" si="0"/>
        <v>818584</v>
      </c>
      <c r="L24" s="210">
        <v>235</v>
      </c>
      <c r="M24" s="212">
        <v>818819</v>
      </c>
      <c r="N24" s="210">
        <f t="shared" si="2"/>
        <v>140</v>
      </c>
      <c r="O24" s="210">
        <f t="shared" si="2"/>
        <v>0</v>
      </c>
      <c r="P24" s="210">
        <f t="shared" si="2"/>
        <v>13</v>
      </c>
      <c r="Q24" s="210">
        <f t="shared" si="2"/>
        <v>-18</v>
      </c>
      <c r="R24" s="210">
        <f t="shared" si="2"/>
        <v>135</v>
      </c>
      <c r="S24" s="210">
        <f t="shared" si="2"/>
        <v>188</v>
      </c>
      <c r="T24" s="210">
        <f t="shared" si="2"/>
        <v>83</v>
      </c>
      <c r="U24" s="210">
        <f t="shared" si="2"/>
        <v>0</v>
      </c>
      <c r="V24" s="210">
        <f t="shared" si="2"/>
        <v>541</v>
      </c>
      <c r="W24" s="210">
        <f t="shared" si="2"/>
        <v>2</v>
      </c>
      <c r="X24" s="212">
        <f t="shared" si="2"/>
        <v>543</v>
      </c>
    </row>
    <row r="25" spans="1:24" ht="15.75" thickBot="1">
      <c r="A25" s="214" t="s">
        <v>299</v>
      </c>
      <c r="B25" s="214" t="s">
        <v>256</v>
      </c>
      <c r="C25" s="210">
        <v>463238</v>
      </c>
      <c r="D25" s="210">
        <v>1</v>
      </c>
      <c r="E25" s="210">
        <v>1646</v>
      </c>
      <c r="F25" s="210">
        <v>4219</v>
      </c>
      <c r="G25" s="210">
        <v>157573</v>
      </c>
      <c r="H25" s="210">
        <v>140691</v>
      </c>
      <c r="I25" s="210">
        <v>52393</v>
      </c>
      <c r="J25" s="211"/>
      <c r="K25" s="210">
        <f t="shared" si="0"/>
        <v>819761</v>
      </c>
      <c r="L25" s="210">
        <v>235</v>
      </c>
      <c r="M25" s="212">
        <v>819996</v>
      </c>
      <c r="N25" s="210">
        <f t="shared" si="2"/>
        <v>476</v>
      </c>
      <c r="O25" s="210">
        <f t="shared" si="2"/>
        <v>0</v>
      </c>
      <c r="P25" s="210">
        <f t="shared" si="2"/>
        <v>5</v>
      </c>
      <c r="Q25" s="210">
        <f t="shared" si="2"/>
        <v>-10</v>
      </c>
      <c r="R25" s="210">
        <f t="shared" si="2"/>
        <v>312</v>
      </c>
      <c r="S25" s="210">
        <f t="shared" si="2"/>
        <v>284</v>
      </c>
      <c r="T25" s="210">
        <f t="shared" si="2"/>
        <v>110</v>
      </c>
      <c r="U25" s="210">
        <f t="shared" si="2"/>
        <v>0</v>
      </c>
      <c r="V25" s="210">
        <f t="shared" si="2"/>
        <v>1177</v>
      </c>
      <c r="W25" s="210">
        <f t="shared" si="2"/>
        <v>0</v>
      </c>
      <c r="X25" s="212">
        <f t="shared" si="2"/>
        <v>1177</v>
      </c>
    </row>
    <row r="26" spans="1:24" ht="15.75" thickBot="1">
      <c r="A26" s="214" t="s">
        <v>300</v>
      </c>
      <c r="B26" s="214" t="s">
        <v>256</v>
      </c>
      <c r="C26" s="210">
        <v>464233</v>
      </c>
      <c r="D26" s="210">
        <v>1</v>
      </c>
      <c r="E26" s="210">
        <v>1654</v>
      </c>
      <c r="F26" s="210">
        <v>4241</v>
      </c>
      <c r="G26" s="210">
        <v>157942</v>
      </c>
      <c r="H26" s="210">
        <v>141031</v>
      </c>
      <c r="I26" s="210">
        <v>52462</v>
      </c>
      <c r="J26" s="211"/>
      <c r="K26" s="210">
        <f t="shared" si="0"/>
        <v>821564</v>
      </c>
      <c r="L26" s="210">
        <v>234</v>
      </c>
      <c r="M26" s="212">
        <v>821798</v>
      </c>
      <c r="N26" s="210">
        <f t="shared" si="2"/>
        <v>995</v>
      </c>
      <c r="O26" s="210">
        <f t="shared" si="2"/>
        <v>0</v>
      </c>
      <c r="P26" s="210">
        <f t="shared" si="2"/>
        <v>8</v>
      </c>
      <c r="Q26" s="210">
        <f t="shared" si="2"/>
        <v>22</v>
      </c>
      <c r="R26" s="210">
        <f t="shared" si="2"/>
        <v>369</v>
      </c>
      <c r="S26" s="210">
        <f t="shared" si="2"/>
        <v>340</v>
      </c>
      <c r="T26" s="210">
        <f t="shared" si="2"/>
        <v>69</v>
      </c>
      <c r="U26" s="210">
        <f t="shared" si="2"/>
        <v>0</v>
      </c>
      <c r="V26" s="210">
        <f t="shared" si="2"/>
        <v>1803</v>
      </c>
      <c r="W26" s="210">
        <f t="shared" si="2"/>
        <v>-1</v>
      </c>
      <c r="X26" s="212">
        <f t="shared" si="2"/>
        <v>1802</v>
      </c>
    </row>
    <row r="27" spans="1:24" ht="15.75" thickBot="1">
      <c r="A27" s="214" t="s">
        <v>301</v>
      </c>
      <c r="B27" s="214" t="s">
        <v>256</v>
      </c>
      <c r="C27" s="210">
        <v>465344</v>
      </c>
      <c r="D27" s="210">
        <v>1</v>
      </c>
      <c r="E27" s="210">
        <v>1667</v>
      </c>
      <c r="F27" s="210">
        <v>4269</v>
      </c>
      <c r="G27" s="210">
        <v>158436</v>
      </c>
      <c r="H27" s="210">
        <v>141472</v>
      </c>
      <c r="I27" s="210">
        <v>52565</v>
      </c>
      <c r="J27" s="211"/>
      <c r="K27" s="210">
        <f t="shared" si="0"/>
        <v>823754</v>
      </c>
      <c r="L27" s="210">
        <v>241</v>
      </c>
      <c r="M27" s="212">
        <v>823995</v>
      </c>
      <c r="N27" s="210">
        <f t="shared" si="2"/>
        <v>1111</v>
      </c>
      <c r="O27" s="210">
        <f t="shared" si="2"/>
        <v>0</v>
      </c>
      <c r="P27" s="210">
        <f t="shared" si="2"/>
        <v>13</v>
      </c>
      <c r="Q27" s="210">
        <f t="shared" si="2"/>
        <v>28</v>
      </c>
      <c r="R27" s="210">
        <f t="shared" si="2"/>
        <v>494</v>
      </c>
      <c r="S27" s="210">
        <f t="shared" si="2"/>
        <v>441</v>
      </c>
      <c r="T27" s="210">
        <f t="shared" si="2"/>
        <v>103</v>
      </c>
      <c r="U27" s="210">
        <f t="shared" si="2"/>
        <v>0</v>
      </c>
      <c r="V27" s="210">
        <f t="shared" si="2"/>
        <v>2190</v>
      </c>
      <c r="W27" s="210">
        <f t="shared" si="2"/>
        <v>7</v>
      </c>
      <c r="X27" s="212">
        <f t="shared" si="2"/>
        <v>2197</v>
      </c>
    </row>
    <row r="28" spans="1:24" ht="15.75" thickBot="1">
      <c r="A28" s="214" t="s">
        <v>302</v>
      </c>
      <c r="B28" s="214" t="s">
        <v>256</v>
      </c>
      <c r="C28" s="210">
        <v>466015</v>
      </c>
      <c r="D28" s="210">
        <v>1</v>
      </c>
      <c r="E28" s="210">
        <v>1678</v>
      </c>
      <c r="F28" s="210">
        <v>4284</v>
      </c>
      <c r="G28" s="210">
        <v>158854</v>
      </c>
      <c r="H28" s="210">
        <v>141874</v>
      </c>
      <c r="I28" s="210">
        <v>52648</v>
      </c>
      <c r="J28" s="211"/>
      <c r="K28" s="210">
        <f t="shared" si="0"/>
        <v>825354</v>
      </c>
      <c r="L28" s="210">
        <v>245</v>
      </c>
      <c r="M28" s="212">
        <v>825599</v>
      </c>
      <c r="N28" s="210">
        <f t="shared" si="2"/>
        <v>671</v>
      </c>
      <c r="O28" s="210">
        <f t="shared" si="2"/>
        <v>0</v>
      </c>
      <c r="P28" s="210">
        <f t="shared" si="2"/>
        <v>11</v>
      </c>
      <c r="Q28" s="210">
        <f t="shared" si="2"/>
        <v>15</v>
      </c>
      <c r="R28" s="210">
        <f t="shared" si="2"/>
        <v>418</v>
      </c>
      <c r="S28" s="210">
        <f t="shared" si="2"/>
        <v>402</v>
      </c>
      <c r="T28" s="210">
        <f t="shared" si="2"/>
        <v>83</v>
      </c>
      <c r="U28" s="210">
        <f t="shared" si="2"/>
        <v>0</v>
      </c>
      <c r="V28" s="210">
        <f t="shared" si="2"/>
        <v>1600</v>
      </c>
      <c r="W28" s="210">
        <f t="shared" si="2"/>
        <v>4</v>
      </c>
      <c r="X28" s="212">
        <f t="shared" si="2"/>
        <v>1604</v>
      </c>
    </row>
    <row r="29" spans="1:24" ht="15.75" thickBot="1">
      <c r="A29" s="214" t="s">
        <v>303</v>
      </c>
      <c r="B29" s="214" t="s">
        <v>256</v>
      </c>
      <c r="C29" s="210">
        <v>466548</v>
      </c>
      <c r="D29" s="210">
        <v>1</v>
      </c>
      <c r="E29" s="210">
        <v>1678</v>
      </c>
      <c r="F29" s="210">
        <v>4295</v>
      </c>
      <c r="G29" s="210">
        <v>159103</v>
      </c>
      <c r="H29" s="210">
        <v>142105</v>
      </c>
      <c r="I29" s="210">
        <v>52722</v>
      </c>
      <c r="J29" s="211"/>
      <c r="K29" s="210">
        <f t="shared" si="0"/>
        <v>826452</v>
      </c>
      <c r="L29" s="210">
        <v>238</v>
      </c>
      <c r="M29" s="212">
        <v>826690</v>
      </c>
      <c r="N29" s="210">
        <f t="shared" si="2"/>
        <v>533</v>
      </c>
      <c r="O29" s="210">
        <f t="shared" si="2"/>
        <v>0</v>
      </c>
      <c r="P29" s="210">
        <f t="shared" si="2"/>
        <v>0</v>
      </c>
      <c r="Q29" s="210">
        <f t="shared" si="2"/>
        <v>11</v>
      </c>
      <c r="R29" s="210">
        <f t="shared" si="2"/>
        <v>249</v>
      </c>
      <c r="S29" s="210">
        <f t="shared" si="2"/>
        <v>231</v>
      </c>
      <c r="T29" s="210">
        <f t="shared" si="2"/>
        <v>74</v>
      </c>
      <c r="U29" s="210">
        <f t="shared" si="2"/>
        <v>0</v>
      </c>
      <c r="V29" s="210">
        <f t="shared" si="2"/>
        <v>1098</v>
      </c>
      <c r="W29" s="210">
        <f t="shared" si="2"/>
        <v>-7</v>
      </c>
      <c r="X29" s="212">
        <f t="shared" si="2"/>
        <v>1091</v>
      </c>
    </row>
    <row r="30" spans="1:24" ht="15.75" thickBot="1">
      <c r="A30" s="214" t="s">
        <v>304</v>
      </c>
      <c r="B30" s="214" t="s">
        <v>256</v>
      </c>
      <c r="C30" s="210">
        <v>467087</v>
      </c>
      <c r="D30" s="210">
        <v>1</v>
      </c>
      <c r="E30" s="210">
        <v>1687</v>
      </c>
      <c r="F30" s="210">
        <v>4287</v>
      </c>
      <c r="G30" s="210">
        <v>159372</v>
      </c>
      <c r="H30" s="210">
        <v>142369</v>
      </c>
      <c r="I30" s="210">
        <v>52792</v>
      </c>
      <c r="J30" s="211"/>
      <c r="K30" s="210">
        <f t="shared" si="0"/>
        <v>827595</v>
      </c>
      <c r="L30" s="210">
        <v>238</v>
      </c>
      <c r="M30" s="212">
        <v>827833</v>
      </c>
      <c r="N30" s="210">
        <f t="shared" si="2"/>
        <v>539</v>
      </c>
      <c r="O30" s="210">
        <f t="shared" si="2"/>
        <v>0</v>
      </c>
      <c r="P30" s="210">
        <f t="shared" si="2"/>
        <v>9</v>
      </c>
      <c r="Q30" s="210">
        <f t="shared" si="2"/>
        <v>-8</v>
      </c>
      <c r="R30" s="210">
        <f t="shared" si="2"/>
        <v>269</v>
      </c>
      <c r="S30" s="210">
        <f t="shared" si="2"/>
        <v>264</v>
      </c>
      <c r="T30" s="210">
        <f t="shared" si="2"/>
        <v>70</v>
      </c>
      <c r="U30" s="210">
        <f t="shared" si="2"/>
        <v>0</v>
      </c>
      <c r="V30" s="210">
        <f t="shared" si="2"/>
        <v>1143</v>
      </c>
      <c r="W30" s="210">
        <f t="shared" si="2"/>
        <v>0</v>
      </c>
      <c r="X30" s="212">
        <f t="shared" si="2"/>
        <v>1143</v>
      </c>
    </row>
    <row r="31" spans="1:24" ht="15.75" thickBot="1">
      <c r="A31" s="214" t="s">
        <v>305</v>
      </c>
      <c r="B31" s="214" t="s">
        <v>256</v>
      </c>
      <c r="C31" s="210">
        <v>467515</v>
      </c>
      <c r="D31" s="210">
        <v>1</v>
      </c>
      <c r="E31" s="210">
        <v>1691</v>
      </c>
      <c r="F31" s="210">
        <v>4276</v>
      </c>
      <c r="G31" s="210">
        <v>159546</v>
      </c>
      <c r="H31" s="210">
        <v>142531</v>
      </c>
      <c r="I31" s="210">
        <v>52851</v>
      </c>
      <c r="J31" s="211"/>
      <c r="K31" s="210">
        <f t="shared" si="0"/>
        <v>828411</v>
      </c>
      <c r="L31" s="210">
        <v>224</v>
      </c>
      <c r="M31" s="212">
        <v>828635</v>
      </c>
      <c r="N31" s="210">
        <f t="shared" si="2"/>
        <v>428</v>
      </c>
      <c r="O31" s="210">
        <f t="shared" si="2"/>
        <v>0</v>
      </c>
      <c r="P31" s="210">
        <f t="shared" si="2"/>
        <v>4</v>
      </c>
      <c r="Q31" s="210">
        <f t="shared" si="2"/>
        <v>-11</v>
      </c>
      <c r="R31" s="210">
        <f t="shared" si="2"/>
        <v>174</v>
      </c>
      <c r="S31" s="210">
        <f t="shared" si="2"/>
        <v>162</v>
      </c>
      <c r="T31" s="210">
        <f t="shared" si="2"/>
        <v>59</v>
      </c>
      <c r="U31" s="210">
        <f t="shared" si="2"/>
        <v>0</v>
      </c>
      <c r="V31" s="210">
        <f t="shared" si="2"/>
        <v>816</v>
      </c>
      <c r="W31" s="210">
        <f t="shared" si="2"/>
        <v>-14</v>
      </c>
      <c r="X31" s="212">
        <f t="shared" si="2"/>
        <v>802</v>
      </c>
    </row>
    <row r="32" spans="1:24" ht="15.75" thickBot="1">
      <c r="A32" s="214" t="s">
        <v>306</v>
      </c>
      <c r="B32" s="214" t="s">
        <v>256</v>
      </c>
      <c r="C32" s="210">
        <v>467543</v>
      </c>
      <c r="D32" s="210">
        <v>1</v>
      </c>
      <c r="E32" s="210">
        <v>1704</v>
      </c>
      <c r="F32" s="210">
        <v>4267</v>
      </c>
      <c r="G32" s="210">
        <v>159686</v>
      </c>
      <c r="H32" s="210">
        <v>142686</v>
      </c>
      <c r="I32" s="210">
        <v>52886</v>
      </c>
      <c r="J32" s="211"/>
      <c r="K32" s="210">
        <f t="shared" si="0"/>
        <v>828773</v>
      </c>
      <c r="L32" s="210">
        <v>217</v>
      </c>
      <c r="M32" s="212">
        <v>828990</v>
      </c>
      <c r="N32" s="210">
        <f t="shared" si="2"/>
        <v>28</v>
      </c>
      <c r="O32" s="210">
        <f t="shared" si="2"/>
        <v>0</v>
      </c>
      <c r="P32" s="210">
        <f t="shared" si="2"/>
        <v>13</v>
      </c>
      <c r="Q32" s="210">
        <f t="shared" si="2"/>
        <v>-9</v>
      </c>
      <c r="R32" s="210">
        <f t="shared" si="2"/>
        <v>140</v>
      </c>
      <c r="S32" s="210">
        <f t="shared" si="2"/>
        <v>155</v>
      </c>
      <c r="T32" s="210">
        <f t="shared" si="2"/>
        <v>35</v>
      </c>
      <c r="U32" s="210">
        <f t="shared" si="2"/>
        <v>0</v>
      </c>
      <c r="V32" s="210">
        <f t="shared" si="2"/>
        <v>362</v>
      </c>
      <c r="W32" s="210">
        <f t="shared" si="2"/>
        <v>-7</v>
      </c>
      <c r="X32" s="212">
        <f t="shared" si="2"/>
        <v>355</v>
      </c>
    </row>
    <row r="33" spans="1:24" ht="15.75" thickBot="1">
      <c r="A33" s="214" t="s">
        <v>307</v>
      </c>
      <c r="B33" s="214" t="s">
        <v>256</v>
      </c>
      <c r="C33" s="210">
        <v>467879</v>
      </c>
      <c r="D33" s="210">
        <v>1</v>
      </c>
      <c r="E33" s="210">
        <v>1710</v>
      </c>
      <c r="F33" s="210">
        <v>4254</v>
      </c>
      <c r="G33" s="210">
        <v>159815</v>
      </c>
      <c r="H33" s="210">
        <v>142807</v>
      </c>
      <c r="I33" s="210">
        <v>52935</v>
      </c>
      <c r="J33" s="211"/>
      <c r="K33" s="210">
        <f t="shared" si="0"/>
        <v>829401</v>
      </c>
      <c r="L33" s="210">
        <v>217</v>
      </c>
      <c r="M33" s="212">
        <v>829618</v>
      </c>
      <c r="N33" s="210">
        <f t="shared" si="2"/>
        <v>336</v>
      </c>
      <c r="O33" s="210">
        <f t="shared" si="2"/>
        <v>0</v>
      </c>
      <c r="P33" s="210">
        <f t="shared" si="2"/>
        <v>6</v>
      </c>
      <c r="Q33" s="210">
        <f t="shared" si="2"/>
        <v>-13</v>
      </c>
      <c r="R33" s="210">
        <f t="shared" si="2"/>
        <v>129</v>
      </c>
      <c r="S33" s="210">
        <f t="shared" si="2"/>
        <v>121</v>
      </c>
      <c r="T33" s="210">
        <f t="shared" si="2"/>
        <v>49</v>
      </c>
      <c r="U33" s="210">
        <f t="shared" si="2"/>
        <v>0</v>
      </c>
      <c r="V33" s="210">
        <f t="shared" si="2"/>
        <v>628</v>
      </c>
      <c r="W33" s="210">
        <f t="shared" si="2"/>
        <v>0</v>
      </c>
      <c r="X33" s="212">
        <f t="shared" si="2"/>
        <v>628</v>
      </c>
    </row>
    <row r="34" spans="1:24" ht="15.75" thickBot="1">
      <c r="A34" s="214" t="s">
        <v>308</v>
      </c>
      <c r="B34" s="214" t="s">
        <v>256</v>
      </c>
      <c r="C34" s="210">
        <v>467951</v>
      </c>
      <c r="D34" s="210">
        <v>1</v>
      </c>
      <c r="E34" s="210">
        <v>1710</v>
      </c>
      <c r="F34" s="210">
        <v>4246</v>
      </c>
      <c r="G34" s="210">
        <v>159828</v>
      </c>
      <c r="H34" s="210">
        <v>142934</v>
      </c>
      <c r="I34" s="210">
        <v>52966</v>
      </c>
      <c r="J34" s="211"/>
      <c r="K34" s="210">
        <f t="shared" si="0"/>
        <v>829636</v>
      </c>
      <c r="L34" s="210">
        <v>219</v>
      </c>
      <c r="M34" s="212">
        <v>829855</v>
      </c>
      <c r="N34" s="210">
        <f t="shared" si="2"/>
        <v>72</v>
      </c>
      <c r="O34" s="210">
        <f t="shared" si="2"/>
        <v>0</v>
      </c>
      <c r="P34" s="210">
        <f t="shared" si="2"/>
        <v>0</v>
      </c>
      <c r="Q34" s="210">
        <f t="shared" si="2"/>
        <v>-8</v>
      </c>
      <c r="R34" s="210">
        <f t="shared" si="2"/>
        <v>13</v>
      </c>
      <c r="S34" s="210">
        <f t="shared" si="2"/>
        <v>127</v>
      </c>
      <c r="T34" s="210">
        <f t="shared" si="2"/>
        <v>31</v>
      </c>
      <c r="U34" s="210">
        <f t="shared" si="2"/>
        <v>0</v>
      </c>
      <c r="V34" s="210">
        <f t="shared" si="2"/>
        <v>235</v>
      </c>
      <c r="W34" s="210">
        <f t="shared" si="2"/>
        <v>2</v>
      </c>
      <c r="X34" s="212">
        <f t="shared" si="2"/>
        <v>237</v>
      </c>
    </row>
    <row r="35" spans="1:24" ht="15.75" thickBot="1">
      <c r="A35" s="214" t="s">
        <v>309</v>
      </c>
      <c r="B35" s="214" t="s">
        <v>256</v>
      </c>
      <c r="C35" s="210">
        <v>467952</v>
      </c>
      <c r="D35" s="210">
        <v>1</v>
      </c>
      <c r="E35" s="210">
        <v>1721</v>
      </c>
      <c r="F35" s="210">
        <v>4233</v>
      </c>
      <c r="G35" s="210">
        <v>159883</v>
      </c>
      <c r="H35" s="210">
        <v>142994</v>
      </c>
      <c r="I35" s="210">
        <v>53002</v>
      </c>
      <c r="J35" s="211"/>
      <c r="K35" s="210">
        <f t="shared" si="0"/>
        <v>829786</v>
      </c>
      <c r="L35" s="210">
        <v>218</v>
      </c>
      <c r="M35" s="212">
        <v>830004</v>
      </c>
      <c r="N35" s="210">
        <f t="shared" si="2"/>
        <v>1</v>
      </c>
      <c r="O35" s="210">
        <f t="shared" si="2"/>
        <v>0</v>
      </c>
      <c r="P35" s="210">
        <f t="shared" si="2"/>
        <v>11</v>
      </c>
      <c r="Q35" s="210">
        <f t="shared" si="2"/>
        <v>-13</v>
      </c>
      <c r="R35" s="210">
        <f t="shared" si="2"/>
        <v>55</v>
      </c>
      <c r="S35" s="210">
        <f t="shared" si="2"/>
        <v>60</v>
      </c>
      <c r="T35" s="210">
        <f t="shared" si="2"/>
        <v>36</v>
      </c>
      <c r="U35" s="210">
        <f t="shared" si="2"/>
        <v>0</v>
      </c>
      <c r="V35" s="210">
        <f t="shared" si="2"/>
        <v>150</v>
      </c>
      <c r="W35" s="210">
        <f t="shared" si="2"/>
        <v>-1</v>
      </c>
      <c r="X35" s="212">
        <f t="shared" si="2"/>
        <v>149</v>
      </c>
    </row>
    <row r="36" spans="1:24" ht="15.75" thickBot="1">
      <c r="A36" s="214" t="s">
        <v>310</v>
      </c>
      <c r="B36" s="214" t="s">
        <v>256</v>
      </c>
      <c r="C36" s="210">
        <v>468146</v>
      </c>
      <c r="D36" s="210">
        <v>1</v>
      </c>
      <c r="E36" s="210">
        <v>1722</v>
      </c>
      <c r="F36" s="210">
        <v>4223</v>
      </c>
      <c r="G36" s="210">
        <v>160009</v>
      </c>
      <c r="H36" s="210">
        <v>143078</v>
      </c>
      <c r="I36" s="210">
        <v>53133</v>
      </c>
      <c r="J36" s="211"/>
      <c r="K36" s="210">
        <f t="shared" si="0"/>
        <v>830312</v>
      </c>
      <c r="L36" s="210">
        <v>216</v>
      </c>
      <c r="M36" s="212">
        <v>830528</v>
      </c>
      <c r="N36" s="210">
        <f t="shared" si="2"/>
        <v>194</v>
      </c>
      <c r="O36" s="210">
        <f t="shared" si="2"/>
        <v>0</v>
      </c>
      <c r="P36" s="210">
        <f t="shared" si="2"/>
        <v>1</v>
      </c>
      <c r="Q36" s="210">
        <f t="shared" si="2"/>
        <v>-10</v>
      </c>
      <c r="R36" s="210">
        <f t="shared" si="2"/>
        <v>126</v>
      </c>
      <c r="S36" s="210">
        <f t="shared" si="2"/>
        <v>84</v>
      </c>
      <c r="T36" s="210">
        <f t="shared" si="2"/>
        <v>131</v>
      </c>
      <c r="U36" s="210">
        <f t="shared" si="2"/>
        <v>0</v>
      </c>
      <c r="V36" s="210">
        <f t="shared" si="2"/>
        <v>526</v>
      </c>
      <c r="W36" s="210">
        <f t="shared" si="2"/>
        <v>-2</v>
      </c>
      <c r="X36" s="212">
        <f t="shared" si="2"/>
        <v>524</v>
      </c>
    </row>
    <row r="37" spans="1:24" ht="15.75" thickBot="1">
      <c r="A37" s="214" t="s">
        <v>311</v>
      </c>
      <c r="B37" s="214" t="s">
        <v>256</v>
      </c>
      <c r="C37" s="210">
        <v>468399</v>
      </c>
      <c r="D37" s="210">
        <v>1</v>
      </c>
      <c r="E37" s="210">
        <v>1739</v>
      </c>
      <c r="F37" s="210">
        <v>4223</v>
      </c>
      <c r="G37" s="210">
        <v>160162</v>
      </c>
      <c r="H37" s="210">
        <v>143149</v>
      </c>
      <c r="I37" s="210">
        <v>53207</v>
      </c>
      <c r="J37" s="211"/>
      <c r="K37" s="210">
        <f t="shared" si="0"/>
        <v>830880</v>
      </c>
      <c r="L37" s="210">
        <v>219</v>
      </c>
      <c r="M37" s="212">
        <v>831099</v>
      </c>
      <c r="N37" s="210">
        <f t="shared" si="2"/>
        <v>253</v>
      </c>
      <c r="O37" s="210">
        <f t="shared" si="2"/>
        <v>0</v>
      </c>
      <c r="P37" s="210">
        <f t="shared" si="2"/>
        <v>17</v>
      </c>
      <c r="Q37" s="210">
        <f t="shared" si="2"/>
        <v>0</v>
      </c>
      <c r="R37" s="210">
        <f t="shared" si="2"/>
        <v>153</v>
      </c>
      <c r="S37" s="210">
        <f t="shared" si="2"/>
        <v>71</v>
      </c>
      <c r="T37" s="210">
        <f t="shared" si="2"/>
        <v>74</v>
      </c>
      <c r="U37" s="210">
        <f t="shared" si="2"/>
        <v>0</v>
      </c>
      <c r="V37" s="210">
        <f t="shared" si="2"/>
        <v>568</v>
      </c>
      <c r="W37" s="210">
        <f t="shared" si="2"/>
        <v>3</v>
      </c>
      <c r="X37" s="212">
        <f t="shared" si="2"/>
        <v>571</v>
      </c>
    </row>
    <row r="38" spans="1:24" ht="15.75" thickBot="1">
      <c r="A38" s="214" t="s">
        <v>312</v>
      </c>
      <c r="B38" s="214" t="s">
        <v>256</v>
      </c>
      <c r="C38" s="210">
        <v>469588</v>
      </c>
      <c r="D38" s="210">
        <v>1</v>
      </c>
      <c r="E38" s="210">
        <v>1746</v>
      </c>
      <c r="F38" s="210">
        <v>4232</v>
      </c>
      <c r="G38" s="210">
        <v>160601</v>
      </c>
      <c r="H38" s="210">
        <v>143638</v>
      </c>
      <c r="I38" s="210">
        <v>53318</v>
      </c>
      <c r="J38" s="211"/>
      <c r="K38" s="210">
        <f t="shared" si="0"/>
        <v>833124</v>
      </c>
      <c r="L38" s="210">
        <v>221</v>
      </c>
      <c r="M38" s="212">
        <v>833345</v>
      </c>
      <c r="N38" s="210">
        <f t="shared" si="2"/>
        <v>1189</v>
      </c>
      <c r="O38" s="210">
        <f t="shared" si="2"/>
        <v>0</v>
      </c>
      <c r="P38" s="210">
        <f t="shared" si="2"/>
        <v>7</v>
      </c>
      <c r="Q38" s="210">
        <f t="shared" si="2"/>
        <v>9</v>
      </c>
      <c r="R38" s="210">
        <f t="shared" si="2"/>
        <v>439</v>
      </c>
      <c r="S38" s="210">
        <f t="shared" si="2"/>
        <v>489</v>
      </c>
      <c r="T38" s="210">
        <f t="shared" si="2"/>
        <v>111</v>
      </c>
      <c r="U38" s="210">
        <f t="shared" si="2"/>
        <v>0</v>
      </c>
      <c r="V38" s="210">
        <f t="shared" si="2"/>
        <v>2244</v>
      </c>
      <c r="W38" s="210">
        <f t="shared" si="2"/>
        <v>2</v>
      </c>
      <c r="X38" s="212">
        <f t="shared" si="2"/>
        <v>2246</v>
      </c>
    </row>
    <row r="39" spans="1:24" ht="15.75" thickBot="1">
      <c r="A39" s="214" t="s">
        <v>313</v>
      </c>
      <c r="B39" s="214" t="s">
        <v>256</v>
      </c>
      <c r="C39" s="210">
        <v>470871</v>
      </c>
      <c r="D39" s="210">
        <v>1</v>
      </c>
      <c r="E39" s="210">
        <v>1774</v>
      </c>
      <c r="F39" s="210">
        <v>4248</v>
      </c>
      <c r="G39" s="210">
        <v>161027</v>
      </c>
      <c r="H39" s="210">
        <v>144114</v>
      </c>
      <c r="I39" s="210">
        <v>53394</v>
      </c>
      <c r="J39" s="211"/>
      <c r="K39" s="210">
        <f t="shared" si="0"/>
        <v>835429</v>
      </c>
      <c r="L39" s="210">
        <v>223</v>
      </c>
      <c r="M39" s="212">
        <v>835652</v>
      </c>
      <c r="N39" s="210">
        <f t="shared" si="2"/>
        <v>1283</v>
      </c>
      <c r="O39" s="210">
        <f t="shared" si="2"/>
        <v>0</v>
      </c>
      <c r="P39" s="210">
        <f t="shared" si="2"/>
        <v>28</v>
      </c>
      <c r="Q39" s="210">
        <f t="shared" si="2"/>
        <v>16</v>
      </c>
      <c r="R39" s="210">
        <f t="shared" si="2"/>
        <v>426</v>
      </c>
      <c r="S39" s="210">
        <f t="shared" si="2"/>
        <v>476</v>
      </c>
      <c r="T39" s="210">
        <f t="shared" si="2"/>
        <v>76</v>
      </c>
      <c r="U39" s="210">
        <f t="shared" si="2"/>
        <v>0</v>
      </c>
      <c r="V39" s="210">
        <f t="shared" si="2"/>
        <v>2305</v>
      </c>
      <c r="W39" s="210">
        <f t="shared" si="2"/>
        <v>2</v>
      </c>
      <c r="X39" s="212">
        <f t="shared" si="2"/>
        <v>2307</v>
      </c>
    </row>
    <row r="40" spans="1:24" ht="15.75" thickBot="1">
      <c r="A40" s="214" t="s">
        <v>314</v>
      </c>
      <c r="B40" s="214" t="s">
        <v>256</v>
      </c>
      <c r="C40" s="210">
        <v>471566</v>
      </c>
      <c r="D40" s="210">
        <v>1</v>
      </c>
      <c r="E40" s="210">
        <v>1792</v>
      </c>
      <c r="F40" s="210">
        <v>4260</v>
      </c>
      <c r="G40" s="210">
        <v>161388</v>
      </c>
      <c r="H40" s="210">
        <v>144421</v>
      </c>
      <c r="I40" s="210">
        <v>53460</v>
      </c>
      <c r="J40" s="211"/>
      <c r="K40" s="210">
        <f t="shared" si="0"/>
        <v>836888</v>
      </c>
      <c r="L40" s="210">
        <v>224</v>
      </c>
      <c r="M40" s="212">
        <v>837112</v>
      </c>
      <c r="N40" s="210">
        <f t="shared" si="2"/>
        <v>695</v>
      </c>
      <c r="O40" s="210">
        <f t="shared" si="2"/>
        <v>0</v>
      </c>
      <c r="P40" s="210">
        <f t="shared" si="2"/>
        <v>18</v>
      </c>
      <c r="Q40" s="210">
        <f t="shared" si="2"/>
        <v>12</v>
      </c>
      <c r="R40" s="210">
        <f t="shared" si="2"/>
        <v>361</v>
      </c>
      <c r="S40" s="210">
        <f t="shared" si="2"/>
        <v>307</v>
      </c>
      <c r="T40" s="210">
        <f t="shared" si="2"/>
        <v>66</v>
      </c>
      <c r="U40" s="210">
        <f t="shared" si="2"/>
        <v>0</v>
      </c>
      <c r="V40" s="210">
        <f t="shared" si="2"/>
        <v>1459</v>
      </c>
      <c r="W40" s="210">
        <f t="shared" si="2"/>
        <v>1</v>
      </c>
      <c r="X40" s="212">
        <f t="shared" si="2"/>
        <v>1460</v>
      </c>
    </row>
    <row r="43" spans="1:24">
      <c r="A43" s="216" t="s">
        <v>315</v>
      </c>
      <c r="B43" s="216" t="s">
        <v>256</v>
      </c>
      <c r="N43" t="s">
        <v>316</v>
      </c>
      <c r="S43" t="s">
        <v>357</v>
      </c>
    </row>
    <row r="44" spans="1:24">
      <c r="B44">
        <v>2015</v>
      </c>
      <c r="C44" s="94">
        <f>C4</f>
        <v>454066</v>
      </c>
      <c r="D44" s="94">
        <f t="shared" ref="D44:M44" si="3">D4</f>
        <v>1</v>
      </c>
      <c r="E44" s="94">
        <f t="shared" si="3"/>
        <v>1486</v>
      </c>
      <c r="F44" s="94">
        <f t="shared" si="3"/>
        <v>4252</v>
      </c>
      <c r="G44" s="94">
        <f t="shared" si="3"/>
        <v>153397</v>
      </c>
      <c r="H44" s="94">
        <f t="shared" si="3"/>
        <v>136245</v>
      </c>
      <c r="I44" s="94">
        <f t="shared" si="3"/>
        <v>50658</v>
      </c>
      <c r="J44" s="94">
        <f t="shared" si="3"/>
        <v>0</v>
      </c>
      <c r="K44" s="94">
        <f t="shared" si="3"/>
        <v>800105</v>
      </c>
      <c r="L44" s="94">
        <f t="shared" si="3"/>
        <v>221</v>
      </c>
      <c r="M44" s="94">
        <f t="shared" si="3"/>
        <v>800326</v>
      </c>
      <c r="N44" s="97"/>
    </row>
    <row r="45" spans="1:24">
      <c r="B45">
        <v>2016</v>
      </c>
      <c r="C45" s="94">
        <f>C16</f>
        <v>461069</v>
      </c>
      <c r="D45" s="94">
        <f t="shared" ref="D45:M45" si="4">D16</f>
        <v>1</v>
      </c>
      <c r="E45" s="94">
        <f t="shared" si="4"/>
        <v>1595</v>
      </c>
      <c r="F45" s="94">
        <f t="shared" si="4"/>
        <v>4288</v>
      </c>
      <c r="G45" s="94">
        <f t="shared" si="4"/>
        <v>156349</v>
      </c>
      <c r="H45" s="94">
        <f t="shared" si="4"/>
        <v>139287</v>
      </c>
      <c r="I45" s="94">
        <f t="shared" si="4"/>
        <v>51782</v>
      </c>
      <c r="J45" s="94">
        <f t="shared" si="4"/>
        <v>0</v>
      </c>
      <c r="K45" s="94">
        <f t="shared" si="4"/>
        <v>814371</v>
      </c>
      <c r="L45" s="94">
        <f t="shared" si="4"/>
        <v>222</v>
      </c>
      <c r="M45" s="94">
        <f t="shared" si="4"/>
        <v>814593</v>
      </c>
      <c r="N45" s="149">
        <f>C45-C44</f>
        <v>7003</v>
      </c>
      <c r="O45" s="94">
        <f t="shared" ref="O45:X47" si="5">D45-D44</f>
        <v>0</v>
      </c>
      <c r="P45" s="94">
        <f t="shared" si="5"/>
        <v>109</v>
      </c>
      <c r="Q45" s="94">
        <f t="shared" si="5"/>
        <v>36</v>
      </c>
      <c r="R45" s="149">
        <f t="shared" si="5"/>
        <v>2952</v>
      </c>
      <c r="S45" s="95">
        <f t="shared" si="5"/>
        <v>3042</v>
      </c>
      <c r="T45" s="94">
        <f t="shared" si="5"/>
        <v>1124</v>
      </c>
      <c r="U45" s="94">
        <f t="shared" si="5"/>
        <v>0</v>
      </c>
      <c r="V45" s="94">
        <f t="shared" si="5"/>
        <v>14266</v>
      </c>
      <c r="W45" s="94">
        <f t="shared" si="5"/>
        <v>1</v>
      </c>
      <c r="X45" s="150">
        <f t="shared" si="5"/>
        <v>14267</v>
      </c>
    </row>
    <row r="46" spans="1:24">
      <c r="B46">
        <v>2017</v>
      </c>
      <c r="C46" s="94">
        <f>C28</f>
        <v>466015</v>
      </c>
      <c r="D46" s="94">
        <f t="shared" ref="D46:M46" si="6">D28</f>
        <v>1</v>
      </c>
      <c r="E46" s="94">
        <f t="shared" si="6"/>
        <v>1678</v>
      </c>
      <c r="F46" s="94">
        <f t="shared" si="6"/>
        <v>4284</v>
      </c>
      <c r="G46" s="94">
        <f t="shared" si="6"/>
        <v>158854</v>
      </c>
      <c r="H46" s="94">
        <f t="shared" si="6"/>
        <v>141874</v>
      </c>
      <c r="I46" s="94">
        <f t="shared" si="6"/>
        <v>52648</v>
      </c>
      <c r="J46" s="94">
        <f t="shared" si="6"/>
        <v>0</v>
      </c>
      <c r="K46" s="94">
        <f t="shared" si="6"/>
        <v>825354</v>
      </c>
      <c r="L46" s="94">
        <f t="shared" si="6"/>
        <v>245</v>
      </c>
      <c r="M46" s="94">
        <f t="shared" si="6"/>
        <v>825599</v>
      </c>
      <c r="N46" s="149">
        <f t="shared" ref="N46:N47" si="7">C46-C45</f>
        <v>4946</v>
      </c>
      <c r="O46" s="94">
        <f t="shared" si="5"/>
        <v>0</v>
      </c>
      <c r="P46" s="94">
        <f t="shared" si="5"/>
        <v>83</v>
      </c>
      <c r="Q46" s="94">
        <f t="shared" si="5"/>
        <v>-4</v>
      </c>
      <c r="R46" s="149">
        <f t="shared" si="5"/>
        <v>2505</v>
      </c>
      <c r="S46" s="95">
        <f t="shared" si="5"/>
        <v>2587</v>
      </c>
      <c r="T46" s="94">
        <f t="shared" si="5"/>
        <v>866</v>
      </c>
      <c r="U46" s="94">
        <f t="shared" si="5"/>
        <v>0</v>
      </c>
      <c r="V46" s="94">
        <f t="shared" si="5"/>
        <v>10983</v>
      </c>
      <c r="W46" s="94">
        <f t="shared" si="5"/>
        <v>23</v>
      </c>
      <c r="X46" s="150">
        <f t="shared" si="5"/>
        <v>11006</v>
      </c>
    </row>
    <row r="47" spans="1:24">
      <c r="B47">
        <v>2018</v>
      </c>
      <c r="C47" s="94">
        <f>C40</f>
        <v>471566</v>
      </c>
      <c r="D47" s="94">
        <f t="shared" ref="D47:M47" si="8">D40</f>
        <v>1</v>
      </c>
      <c r="E47" s="94">
        <f t="shared" si="8"/>
        <v>1792</v>
      </c>
      <c r="F47" s="94">
        <f t="shared" si="8"/>
        <v>4260</v>
      </c>
      <c r="G47" s="94">
        <f t="shared" si="8"/>
        <v>161388</v>
      </c>
      <c r="H47" s="94">
        <f t="shared" si="8"/>
        <v>144421</v>
      </c>
      <c r="I47" s="94">
        <f t="shared" si="8"/>
        <v>53460</v>
      </c>
      <c r="J47" s="94">
        <f t="shared" si="8"/>
        <v>0</v>
      </c>
      <c r="K47" s="94">
        <f t="shared" si="8"/>
        <v>836888</v>
      </c>
      <c r="L47" s="94">
        <f t="shared" si="8"/>
        <v>224</v>
      </c>
      <c r="M47" s="94">
        <f t="shared" si="8"/>
        <v>837112</v>
      </c>
      <c r="N47" s="149">
        <f t="shared" si="7"/>
        <v>5551</v>
      </c>
      <c r="O47" s="94">
        <f t="shared" si="5"/>
        <v>0</v>
      </c>
      <c r="P47" s="94">
        <f t="shared" si="5"/>
        <v>114</v>
      </c>
      <c r="Q47" s="94">
        <f t="shared" si="5"/>
        <v>-24</v>
      </c>
      <c r="R47" s="149">
        <f t="shared" si="5"/>
        <v>2534</v>
      </c>
      <c r="S47" s="95">
        <f t="shared" si="5"/>
        <v>2547</v>
      </c>
      <c r="T47" s="94">
        <f t="shared" si="5"/>
        <v>812</v>
      </c>
      <c r="U47" s="94">
        <f t="shared" si="5"/>
        <v>0</v>
      </c>
      <c r="V47" s="94">
        <f t="shared" si="5"/>
        <v>11534</v>
      </c>
      <c r="W47" s="94">
        <f t="shared" si="5"/>
        <v>-21</v>
      </c>
      <c r="X47" s="150">
        <f t="shared" si="5"/>
        <v>11513</v>
      </c>
    </row>
    <row r="48" spans="1:24">
      <c r="N48" s="151"/>
      <c r="R48" s="151"/>
      <c r="S48" s="97"/>
      <c r="X48" s="152"/>
    </row>
    <row r="49" spans="11:24">
      <c r="N49" s="151"/>
      <c r="R49" s="151"/>
      <c r="S49" s="97"/>
      <c r="X49" s="152"/>
    </row>
    <row r="50" spans="11:24">
      <c r="K50" s="99"/>
      <c r="L50" s="100" t="s">
        <v>257</v>
      </c>
      <c r="N50" s="151"/>
      <c r="R50" s="151"/>
      <c r="S50" s="97"/>
      <c r="X50" s="152"/>
    </row>
    <row r="51" spans="11:24">
      <c r="K51" s="99"/>
      <c r="L51" s="102" t="s">
        <v>358</v>
      </c>
      <c r="N51" s="149">
        <f>SUM(N5:N40)</f>
        <v>17500</v>
      </c>
      <c r="O51" s="94">
        <f t="shared" ref="O51:X51" si="9">SUM(O5:O40)</f>
        <v>0</v>
      </c>
      <c r="P51" s="94">
        <f t="shared" si="9"/>
        <v>306</v>
      </c>
      <c r="Q51" s="94">
        <f t="shared" si="9"/>
        <v>8</v>
      </c>
      <c r="R51" s="149">
        <f t="shared" si="9"/>
        <v>7991</v>
      </c>
      <c r="S51" s="95">
        <f t="shared" si="9"/>
        <v>8176</v>
      </c>
      <c r="T51" s="94">
        <f t="shared" si="9"/>
        <v>2802</v>
      </c>
      <c r="U51" s="94">
        <f t="shared" si="9"/>
        <v>0</v>
      </c>
      <c r="V51" s="94">
        <f t="shared" si="9"/>
        <v>36783</v>
      </c>
      <c r="W51" s="94">
        <f t="shared" si="9"/>
        <v>3</v>
      </c>
      <c r="X51" s="150">
        <f t="shared" si="9"/>
        <v>36786</v>
      </c>
    </row>
    <row r="52" spans="11:24">
      <c r="K52" s="99"/>
      <c r="L52" s="102" t="s">
        <v>359</v>
      </c>
      <c r="N52" s="149">
        <f>SUM(N14:N40)</f>
        <v>12946</v>
      </c>
      <c r="O52" s="94">
        <f t="shared" ref="O52:X52" si="10">SUM(O14:O40)</f>
        <v>0</v>
      </c>
      <c r="P52" s="94">
        <f t="shared" si="10"/>
        <v>241</v>
      </c>
      <c r="Q52" s="94">
        <f t="shared" si="10"/>
        <v>16</v>
      </c>
      <c r="R52" s="153">
        <f t="shared" si="10"/>
        <v>6122</v>
      </c>
      <c r="S52" s="95">
        <f t="shared" si="10"/>
        <v>6236</v>
      </c>
      <c r="T52" s="94">
        <f t="shared" si="10"/>
        <v>2013</v>
      </c>
      <c r="U52" s="94">
        <f t="shared" si="10"/>
        <v>0</v>
      </c>
      <c r="V52" s="94">
        <f t="shared" si="10"/>
        <v>27574</v>
      </c>
      <c r="W52" s="94">
        <f t="shared" si="10"/>
        <v>0</v>
      </c>
      <c r="X52" s="218">
        <f t="shared" si="10"/>
        <v>27574</v>
      </c>
    </row>
    <row r="53" spans="11:24">
      <c r="K53" s="103"/>
      <c r="L53" s="103"/>
      <c r="N53" s="151"/>
      <c r="R53" s="151"/>
      <c r="S53" s="97"/>
      <c r="X53" s="152"/>
    </row>
    <row r="54" spans="11:24">
      <c r="K54" s="103"/>
      <c r="L54" s="105"/>
      <c r="M54" s="104" t="s">
        <v>360</v>
      </c>
      <c r="N54" s="154">
        <f>C47/C44-1</f>
        <v>3.8540652680447263E-2</v>
      </c>
      <c r="O54" s="106">
        <f t="shared" ref="O54:X54" si="11">D47/D44-1</f>
        <v>0</v>
      </c>
      <c r="P54" s="106">
        <f t="shared" si="11"/>
        <v>0.20592193808882908</v>
      </c>
      <c r="Q54" s="106">
        <f t="shared" si="11"/>
        <v>1.8814675446847673E-3</v>
      </c>
      <c r="R54" s="154">
        <f t="shared" si="11"/>
        <v>5.2093587227911797E-2</v>
      </c>
      <c r="S54" s="107">
        <f t="shared" si="11"/>
        <v>6.0009541634555408E-2</v>
      </c>
      <c r="T54" s="106">
        <f t="shared" si="11"/>
        <v>5.5312092857988882E-2</v>
      </c>
      <c r="U54" s="106">
        <v>0</v>
      </c>
      <c r="V54" s="106">
        <f t="shared" si="11"/>
        <v>4.5972716081014386E-2</v>
      </c>
      <c r="W54" s="106">
        <f t="shared" si="11"/>
        <v>1.3574660633484115E-2</v>
      </c>
      <c r="X54" s="155">
        <f t="shared" si="11"/>
        <v>4.5963769763821327E-2</v>
      </c>
    </row>
    <row r="55" spans="11:24">
      <c r="K55" s="103"/>
      <c r="L55" s="105"/>
      <c r="M55" s="104" t="s">
        <v>361</v>
      </c>
      <c r="N55" s="154">
        <f>C40/C13-1</f>
        <v>2.8228162749116992E-2</v>
      </c>
      <c r="O55" s="106">
        <f t="shared" ref="O55:X55" si="12">D40/D13-1</f>
        <v>0</v>
      </c>
      <c r="P55" s="106">
        <f t="shared" si="12"/>
        <v>0.1553836234687298</v>
      </c>
      <c r="Q55" s="106">
        <f t="shared" si="12"/>
        <v>3.7700282752120007E-3</v>
      </c>
      <c r="R55" s="154">
        <f t="shared" si="12"/>
        <v>3.9429108755297371E-2</v>
      </c>
      <c r="S55" s="107">
        <f t="shared" si="12"/>
        <v>4.5127908238955072E-2</v>
      </c>
      <c r="T55" s="106">
        <f t="shared" si="12"/>
        <v>3.912764592687612E-2</v>
      </c>
      <c r="U55" s="106">
        <v>0</v>
      </c>
      <c r="V55" s="106">
        <f t="shared" si="12"/>
        <v>3.4070830357562087E-2</v>
      </c>
      <c r="W55" s="106">
        <f t="shared" si="12"/>
        <v>0</v>
      </c>
      <c r="X55" s="217">
        <f t="shared" si="12"/>
        <v>3.4061402923642792E-2</v>
      </c>
    </row>
    <row r="56" spans="11:24">
      <c r="K56" s="103"/>
      <c r="L56" s="103"/>
      <c r="N56" s="151"/>
      <c r="R56" s="151"/>
      <c r="S56" s="97"/>
      <c r="X56" s="152"/>
    </row>
    <row r="57" spans="11:24">
      <c r="K57" s="103"/>
      <c r="L57" s="100" t="s">
        <v>322</v>
      </c>
      <c r="N57" s="151"/>
      <c r="R57" s="151"/>
      <c r="S57" s="97"/>
      <c r="X57" s="152"/>
    </row>
    <row r="58" spans="11:24">
      <c r="K58" s="103"/>
      <c r="L58" s="100">
        <v>2016</v>
      </c>
      <c r="N58" s="154">
        <f>C45/C44-1</f>
        <v>1.5422868041209847E-2</v>
      </c>
      <c r="O58" s="106">
        <f t="shared" ref="O58:X60" si="13">D45/D44-1</f>
        <v>0</v>
      </c>
      <c r="P58" s="106">
        <f t="shared" si="13"/>
        <v>7.3351278600269243E-2</v>
      </c>
      <c r="Q58" s="106">
        <f t="shared" si="13"/>
        <v>8.4666039510818969E-3</v>
      </c>
      <c r="R58" s="154">
        <f t="shared" si="13"/>
        <v>1.9244183393417158E-2</v>
      </c>
      <c r="S58" s="107">
        <f t="shared" si="13"/>
        <v>2.2327424859627909E-2</v>
      </c>
      <c r="T58" s="106">
        <f t="shared" si="13"/>
        <v>2.2188005843104763E-2</v>
      </c>
      <c r="U58" s="106">
        <v>0</v>
      </c>
      <c r="V58" s="106">
        <f t="shared" si="13"/>
        <v>1.7830159791527356E-2</v>
      </c>
      <c r="W58" s="106">
        <f t="shared" si="13"/>
        <v>4.5248868778280382E-3</v>
      </c>
      <c r="X58" s="155">
        <f t="shared" si="13"/>
        <v>1.7826485707074458E-2</v>
      </c>
    </row>
    <row r="59" spans="11:24">
      <c r="K59" s="103"/>
      <c r="L59" s="100">
        <v>2017</v>
      </c>
      <c r="N59" s="154">
        <f t="shared" ref="N59:N60" si="14">C46/C45-1</f>
        <v>1.0727244729096919E-2</v>
      </c>
      <c r="O59" s="106">
        <f t="shared" si="13"/>
        <v>0</v>
      </c>
      <c r="P59" s="106">
        <f t="shared" si="13"/>
        <v>5.2037617554858917E-2</v>
      </c>
      <c r="Q59" s="106">
        <f t="shared" si="13"/>
        <v>-9.3283582089553896E-4</v>
      </c>
      <c r="R59" s="154">
        <f t="shared" si="13"/>
        <v>1.6021848556754481E-2</v>
      </c>
      <c r="S59" s="107">
        <f t="shared" si="13"/>
        <v>1.8573161888762124E-2</v>
      </c>
      <c r="T59" s="106">
        <f t="shared" si="13"/>
        <v>1.6723958132169425E-2</v>
      </c>
      <c r="U59" s="106">
        <v>0</v>
      </c>
      <c r="V59" s="106">
        <f t="shared" si="13"/>
        <v>1.3486482205284922E-2</v>
      </c>
      <c r="W59" s="106">
        <f t="shared" si="13"/>
        <v>0.10360360360360366</v>
      </c>
      <c r="X59" s="155">
        <f t="shared" si="13"/>
        <v>1.3511041710400074E-2</v>
      </c>
    </row>
    <row r="60" spans="11:24">
      <c r="K60" s="103"/>
      <c r="L60" s="100">
        <v>2018</v>
      </c>
      <c r="N60" s="154">
        <f t="shared" si="14"/>
        <v>1.1911633745694816E-2</v>
      </c>
      <c r="O60" s="106">
        <f t="shared" si="13"/>
        <v>0</v>
      </c>
      <c r="P60" s="106">
        <f t="shared" si="13"/>
        <v>6.7938021454112096E-2</v>
      </c>
      <c r="Q60" s="106">
        <f t="shared" si="13"/>
        <v>-5.6022408963585235E-3</v>
      </c>
      <c r="R60" s="154">
        <f t="shared" si="13"/>
        <v>1.5951754441184907E-2</v>
      </c>
      <c r="S60" s="107">
        <f t="shared" si="13"/>
        <v>1.7952549445282351E-2</v>
      </c>
      <c r="T60" s="106">
        <f t="shared" si="13"/>
        <v>1.5423187965354801E-2</v>
      </c>
      <c r="U60" s="106">
        <v>0</v>
      </c>
      <c r="V60" s="106">
        <f t="shared" si="13"/>
        <v>1.3974609682633199E-2</v>
      </c>
      <c r="W60" s="106">
        <f t="shared" si="13"/>
        <v>-8.5714285714285743E-2</v>
      </c>
      <c r="X60" s="155">
        <f t="shared" si="13"/>
        <v>1.3945026580700848E-2</v>
      </c>
    </row>
    <row r="61" spans="11:24">
      <c r="K61" s="103"/>
      <c r="L61" s="100"/>
      <c r="N61" s="151"/>
      <c r="R61" s="151"/>
      <c r="S61" s="97"/>
      <c r="X61" s="152"/>
    </row>
    <row r="62" spans="11:24">
      <c r="K62" s="108"/>
      <c r="L62" s="108"/>
      <c r="M62" s="98" t="s">
        <v>324</v>
      </c>
      <c r="N62" s="156">
        <f>AVERAGE(N59:N60)</f>
        <v>1.1319439237395867E-2</v>
      </c>
      <c r="O62" s="109">
        <f t="shared" ref="O62:X62" si="15">AVERAGE(O59:O60)</f>
        <v>0</v>
      </c>
      <c r="P62" s="109">
        <f t="shared" si="15"/>
        <v>5.9987819504485507E-2</v>
      </c>
      <c r="Q62" s="109">
        <f t="shared" si="15"/>
        <v>-3.2675383586270312E-3</v>
      </c>
      <c r="R62" s="156">
        <f t="shared" si="15"/>
        <v>1.5986801498969694E-2</v>
      </c>
      <c r="S62" s="110">
        <f t="shared" si="15"/>
        <v>1.8262855667022238E-2</v>
      </c>
      <c r="T62" s="109">
        <f t="shared" si="15"/>
        <v>1.6073573048762113E-2</v>
      </c>
      <c r="U62" s="109">
        <v>0</v>
      </c>
      <c r="V62" s="109">
        <f t="shared" si="15"/>
        <v>1.373054594395906E-2</v>
      </c>
      <c r="W62" s="109">
        <f t="shared" si="15"/>
        <v>8.9446589446589564E-3</v>
      </c>
      <c r="X62" s="157">
        <f t="shared" si="15"/>
        <v>1.3728034145550461E-2</v>
      </c>
    </row>
    <row r="63" spans="11:24">
      <c r="K63" s="105"/>
      <c r="L63" s="105"/>
      <c r="M63" s="104" t="s">
        <v>326</v>
      </c>
      <c r="N63" s="156">
        <f>AVERAGE(N58:N60)</f>
        <v>1.2687248838667195E-2</v>
      </c>
      <c r="O63" s="109">
        <f t="shared" ref="O63:X63" si="16">AVERAGE(O58:O60)</f>
        <v>0</v>
      </c>
      <c r="P63" s="109">
        <f t="shared" si="16"/>
        <v>6.4442305869746752E-2</v>
      </c>
      <c r="Q63" s="109">
        <f t="shared" si="16"/>
        <v>6.4384241127594477E-4</v>
      </c>
      <c r="R63" s="156">
        <f>AVERAGE(R58:R60)</f>
        <v>1.7072595463785516E-2</v>
      </c>
      <c r="S63" s="220">
        <f t="shared" si="16"/>
        <v>1.9617712064557462E-2</v>
      </c>
      <c r="T63" s="109">
        <f t="shared" si="16"/>
        <v>1.8111717313542997E-2</v>
      </c>
      <c r="U63" s="109">
        <v>0</v>
      </c>
      <c r="V63" s="109">
        <f t="shared" si="16"/>
        <v>1.5097083893148492E-2</v>
      </c>
      <c r="W63" s="109">
        <f t="shared" si="16"/>
        <v>7.47140158904865E-3</v>
      </c>
      <c r="X63" s="219">
        <f t="shared" si="16"/>
        <v>1.509418466605846E-2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7"/>
  <sheetViews>
    <sheetView workbookViewId="0">
      <pane ySplit="4" topLeftCell="A5" activePane="bottomLeft" state="frozen"/>
      <selection pane="bottomLeft" activeCell="M29" sqref="M29"/>
    </sheetView>
  </sheetViews>
  <sheetFormatPr defaultRowHeight="15"/>
  <cols>
    <col min="1" max="1" width="9.5703125" bestFit="1" customWidth="1"/>
    <col min="2" max="2" width="15.5703125" bestFit="1" customWidth="1"/>
    <col min="3" max="3" width="5" style="158" bestFit="1" customWidth="1"/>
    <col min="4" max="4" width="4.28515625" style="158" bestFit="1" customWidth="1"/>
    <col min="5" max="5" width="4.42578125" style="158" bestFit="1" customWidth="1"/>
    <col min="6" max="6" width="4.140625" style="158" bestFit="1" customWidth="1"/>
    <col min="7" max="7" width="4.7109375" style="158" bestFit="1" customWidth="1"/>
    <col min="8" max="9" width="4" style="158" bestFit="1" customWidth="1"/>
    <col min="10" max="10" width="4.42578125" style="158" bestFit="1" customWidth="1"/>
    <col min="11" max="11" width="4.28515625" style="158" bestFit="1" customWidth="1"/>
    <col min="12" max="12" width="4" style="158" bestFit="1" customWidth="1"/>
    <col min="13" max="13" width="4.5703125" style="158" bestFit="1" customWidth="1"/>
    <col min="14" max="14" width="4.28515625" style="158" bestFit="1" customWidth="1"/>
    <col min="15" max="15" width="11" style="158" bestFit="1" customWidth="1"/>
    <col min="16" max="16" width="5" style="158" bestFit="1" customWidth="1"/>
    <col min="17" max="17" width="4.28515625" style="158" bestFit="1" customWidth="1"/>
    <col min="18" max="18" width="4.42578125" style="158" bestFit="1" customWidth="1"/>
    <col min="19" max="19" width="4.140625" style="158" bestFit="1" customWidth="1"/>
    <col min="20" max="20" width="5" style="158" bestFit="1" customWidth="1"/>
    <col min="21" max="22" width="4" style="158" bestFit="1" customWidth="1"/>
    <col min="23" max="23" width="5" style="158" bestFit="1" customWidth="1"/>
    <col min="24" max="24" width="4.28515625" style="158" bestFit="1" customWidth="1"/>
    <col min="25" max="26" width="5" style="158" bestFit="1" customWidth="1"/>
    <col min="27" max="27" width="4.28515625" style="158" bestFit="1" customWidth="1"/>
    <col min="28" max="28" width="11" style="158" bestFit="1" customWidth="1"/>
    <col min="29" max="29" width="11.140625" style="8" bestFit="1" customWidth="1"/>
  </cols>
  <sheetData>
    <row r="1" spans="1:29">
      <c r="A1" s="152" t="s">
        <v>393</v>
      </c>
    </row>
    <row r="2" spans="1:29" ht="15.75" thickBot="1"/>
    <row r="3" spans="1:29" ht="15.75" thickBot="1">
      <c r="B3" s="159" t="s">
        <v>362</v>
      </c>
      <c r="C3" s="223">
        <v>2017</v>
      </c>
      <c r="D3" s="224"/>
      <c r="E3" s="224"/>
      <c r="F3" s="224"/>
      <c r="G3" s="224"/>
      <c r="H3" s="224"/>
      <c r="I3" s="224"/>
      <c r="J3" s="224"/>
      <c r="K3" s="224"/>
      <c r="L3" s="224"/>
      <c r="M3" s="224"/>
      <c r="N3" s="224"/>
      <c r="O3" s="242"/>
      <c r="P3" s="243">
        <v>2018</v>
      </c>
      <c r="Q3" s="244"/>
      <c r="R3" s="244"/>
      <c r="S3" s="244"/>
      <c r="T3" s="244"/>
      <c r="U3" s="244"/>
      <c r="V3" s="244"/>
      <c r="W3" s="244"/>
      <c r="X3" s="244"/>
      <c r="Y3" s="244"/>
      <c r="Z3" s="244"/>
      <c r="AA3" s="244"/>
      <c r="AB3" s="245"/>
      <c r="AC3" s="160"/>
    </row>
    <row r="4" spans="1:29" ht="15.75" thickBot="1">
      <c r="B4" s="161" t="s">
        <v>363</v>
      </c>
      <c r="C4" s="225" t="s">
        <v>364</v>
      </c>
      <c r="D4" s="226" t="s">
        <v>365</v>
      </c>
      <c r="E4" s="226" t="s">
        <v>366</v>
      </c>
      <c r="F4" s="226" t="s">
        <v>367</v>
      </c>
      <c r="G4" s="226" t="s">
        <v>368</v>
      </c>
      <c r="H4" s="226" t="s">
        <v>369</v>
      </c>
      <c r="I4" s="226" t="s">
        <v>370</v>
      </c>
      <c r="J4" s="226" t="s">
        <v>371</v>
      </c>
      <c r="K4" s="226" t="s">
        <v>372</v>
      </c>
      <c r="L4" s="226" t="s">
        <v>373</v>
      </c>
      <c r="M4" s="226" t="s">
        <v>374</v>
      </c>
      <c r="N4" s="227" t="s">
        <v>375</v>
      </c>
      <c r="O4" s="228" t="s">
        <v>376</v>
      </c>
      <c r="P4" s="233" t="s">
        <v>364</v>
      </c>
      <c r="Q4" s="234" t="s">
        <v>365</v>
      </c>
      <c r="R4" s="234" t="s">
        <v>366</v>
      </c>
      <c r="S4" s="234" t="s">
        <v>367</v>
      </c>
      <c r="T4" s="234" t="s">
        <v>368</v>
      </c>
      <c r="U4" s="234" t="s">
        <v>369</v>
      </c>
      <c r="V4" s="234" t="s">
        <v>370</v>
      </c>
      <c r="W4" s="234" t="s">
        <v>371</v>
      </c>
      <c r="X4" s="234" t="s">
        <v>372</v>
      </c>
      <c r="Y4" s="234" t="s">
        <v>373</v>
      </c>
      <c r="Z4" s="234" t="s">
        <v>374</v>
      </c>
      <c r="AA4" s="235" t="s">
        <v>375</v>
      </c>
      <c r="AB4" s="236" t="s">
        <v>377</v>
      </c>
      <c r="AC4" s="162" t="s">
        <v>378</v>
      </c>
    </row>
    <row r="5" spans="1:29">
      <c r="A5" t="s">
        <v>379</v>
      </c>
      <c r="B5" s="163" t="s">
        <v>380</v>
      </c>
      <c r="C5" s="229"/>
      <c r="D5" s="230"/>
      <c r="E5" s="230"/>
      <c r="F5" s="230"/>
      <c r="G5" s="230"/>
      <c r="H5" s="230"/>
      <c r="I5" s="230"/>
      <c r="J5" s="230">
        <v>1</v>
      </c>
      <c r="K5" s="230">
        <v>1</v>
      </c>
      <c r="L5" s="230"/>
      <c r="M5" s="230">
        <v>2</v>
      </c>
      <c r="N5" s="231"/>
      <c r="O5" s="232">
        <f t="shared" ref="O5:O16" si="0">SUM(C5:N5)</f>
        <v>4</v>
      </c>
      <c r="P5" s="237"/>
      <c r="Q5" s="238">
        <v>1</v>
      </c>
      <c r="R5" s="238"/>
      <c r="S5" s="238">
        <v>1</v>
      </c>
      <c r="T5" s="238">
        <v>1</v>
      </c>
      <c r="U5" s="238"/>
      <c r="V5" s="238"/>
      <c r="W5" s="238">
        <v>2</v>
      </c>
      <c r="X5" s="238">
        <v>2</v>
      </c>
      <c r="Y5" s="238">
        <v>5</v>
      </c>
      <c r="Z5" s="238">
        <v>2</v>
      </c>
      <c r="AA5" s="239">
        <v>1</v>
      </c>
      <c r="AB5" s="240">
        <f t="shared" ref="AB5:AB16" si="1">SUM(P5:AA5)</f>
        <v>15</v>
      </c>
      <c r="AC5" s="164">
        <f>O5+AB5</f>
        <v>19</v>
      </c>
    </row>
    <row r="6" spans="1:29">
      <c r="A6" t="s">
        <v>379</v>
      </c>
      <c r="B6" s="163" t="s">
        <v>381</v>
      </c>
      <c r="C6" s="229">
        <v>17</v>
      </c>
      <c r="D6" s="230">
        <v>13</v>
      </c>
      <c r="E6" s="230">
        <v>18</v>
      </c>
      <c r="F6" s="230">
        <v>11</v>
      </c>
      <c r="G6" s="230">
        <v>16</v>
      </c>
      <c r="H6" s="230">
        <v>19</v>
      </c>
      <c r="I6" s="230">
        <v>12</v>
      </c>
      <c r="J6" s="230">
        <v>18</v>
      </c>
      <c r="K6" s="230">
        <v>13</v>
      </c>
      <c r="L6" s="230">
        <v>12</v>
      </c>
      <c r="M6" s="230">
        <v>6</v>
      </c>
      <c r="N6" s="231">
        <v>9</v>
      </c>
      <c r="O6" s="232">
        <f t="shared" si="0"/>
        <v>164</v>
      </c>
      <c r="P6" s="237">
        <v>11</v>
      </c>
      <c r="Q6" s="238">
        <v>9</v>
      </c>
      <c r="R6" s="238">
        <v>7</v>
      </c>
      <c r="S6" s="238">
        <v>18</v>
      </c>
      <c r="T6" s="238">
        <v>16</v>
      </c>
      <c r="U6" s="238">
        <v>10</v>
      </c>
      <c r="V6" s="238">
        <v>13</v>
      </c>
      <c r="W6" s="238">
        <v>14</v>
      </c>
      <c r="X6" s="238">
        <v>18</v>
      </c>
      <c r="Y6" s="238">
        <v>12</v>
      </c>
      <c r="Z6" s="238">
        <v>9</v>
      </c>
      <c r="AA6" s="239">
        <v>8</v>
      </c>
      <c r="AB6" s="240">
        <f t="shared" si="1"/>
        <v>145</v>
      </c>
      <c r="AC6" s="164">
        <f t="shared" ref="AC6:AC16" si="2">O6+AB6</f>
        <v>309</v>
      </c>
    </row>
    <row r="7" spans="1:29">
      <c r="A7" t="s">
        <v>379</v>
      </c>
      <c r="B7" s="163" t="s">
        <v>382</v>
      </c>
      <c r="C7" s="229"/>
      <c r="D7" s="230"/>
      <c r="E7" s="230">
        <v>1</v>
      </c>
      <c r="F7" s="230">
        <v>1</v>
      </c>
      <c r="G7" s="230">
        <v>1</v>
      </c>
      <c r="H7" s="230">
        <v>1</v>
      </c>
      <c r="I7" s="230"/>
      <c r="J7" s="230">
        <v>1</v>
      </c>
      <c r="K7" s="230">
        <v>1</v>
      </c>
      <c r="L7" s="230">
        <v>1</v>
      </c>
      <c r="M7" s="230">
        <v>1</v>
      </c>
      <c r="N7" s="231"/>
      <c r="O7" s="232">
        <f t="shared" si="0"/>
        <v>8</v>
      </c>
      <c r="P7" s="237">
        <v>3</v>
      </c>
      <c r="Q7" s="238">
        <v>2</v>
      </c>
      <c r="R7" s="238">
        <v>1</v>
      </c>
      <c r="S7" s="238"/>
      <c r="T7" s="238">
        <v>1</v>
      </c>
      <c r="U7" s="238">
        <v>3</v>
      </c>
      <c r="V7" s="238"/>
      <c r="W7" s="238">
        <v>1</v>
      </c>
      <c r="X7" s="238"/>
      <c r="Y7" s="238">
        <v>1</v>
      </c>
      <c r="Z7" s="238">
        <v>2</v>
      </c>
      <c r="AA7" s="239"/>
      <c r="AB7" s="240">
        <f t="shared" si="1"/>
        <v>14</v>
      </c>
      <c r="AC7" s="164">
        <f t="shared" si="2"/>
        <v>22</v>
      </c>
    </row>
    <row r="8" spans="1:29">
      <c r="A8" t="s">
        <v>379</v>
      </c>
      <c r="B8" s="163" t="s">
        <v>383</v>
      </c>
      <c r="C8" s="229"/>
      <c r="D8" s="230">
        <v>1</v>
      </c>
      <c r="E8" s="230">
        <v>2</v>
      </c>
      <c r="F8" s="230">
        <v>3</v>
      </c>
      <c r="G8" s="230">
        <v>2</v>
      </c>
      <c r="H8" s="230">
        <v>1</v>
      </c>
      <c r="I8" s="230">
        <v>6</v>
      </c>
      <c r="J8" s="230">
        <v>4</v>
      </c>
      <c r="K8" s="230">
        <v>4</v>
      </c>
      <c r="L8" s="230">
        <v>3</v>
      </c>
      <c r="M8" s="230">
        <v>1</v>
      </c>
      <c r="N8" s="231">
        <v>1</v>
      </c>
      <c r="O8" s="232">
        <f t="shared" si="0"/>
        <v>28</v>
      </c>
      <c r="P8" s="237">
        <v>2</v>
      </c>
      <c r="Q8" s="238">
        <v>4</v>
      </c>
      <c r="R8" s="238">
        <v>3</v>
      </c>
      <c r="S8" s="238">
        <v>4</v>
      </c>
      <c r="T8" s="238">
        <v>4</v>
      </c>
      <c r="U8" s="238">
        <v>3</v>
      </c>
      <c r="V8" s="238">
        <v>4</v>
      </c>
      <c r="W8" s="238">
        <v>5</v>
      </c>
      <c r="X8" s="238">
        <v>4</v>
      </c>
      <c r="Y8" s="238">
        <v>4</v>
      </c>
      <c r="Z8" s="238">
        <v>4</v>
      </c>
      <c r="AA8" s="239">
        <v>1</v>
      </c>
      <c r="AB8" s="240">
        <f t="shared" si="1"/>
        <v>42</v>
      </c>
      <c r="AC8" s="164">
        <f t="shared" si="2"/>
        <v>70</v>
      </c>
    </row>
    <row r="9" spans="1:29">
      <c r="A9" t="s">
        <v>379</v>
      </c>
      <c r="B9" s="163" t="s">
        <v>384</v>
      </c>
      <c r="C9" s="229"/>
      <c r="D9" s="230"/>
      <c r="E9" s="230"/>
      <c r="F9" s="230"/>
      <c r="G9" s="230"/>
      <c r="H9" s="230">
        <v>3</v>
      </c>
      <c r="I9" s="230"/>
      <c r="J9" s="230"/>
      <c r="K9" s="230"/>
      <c r="L9" s="230"/>
      <c r="M9" s="230"/>
      <c r="N9" s="231"/>
      <c r="O9" s="232">
        <f t="shared" si="0"/>
        <v>3</v>
      </c>
      <c r="P9" s="237"/>
      <c r="Q9" s="238"/>
      <c r="R9" s="238">
        <v>1</v>
      </c>
      <c r="S9" s="238"/>
      <c r="T9" s="238">
        <v>2</v>
      </c>
      <c r="U9" s="238">
        <v>4</v>
      </c>
      <c r="V9" s="238">
        <v>1</v>
      </c>
      <c r="W9" s="238">
        <v>1</v>
      </c>
      <c r="X9" s="238">
        <v>2</v>
      </c>
      <c r="Y9" s="238">
        <v>1</v>
      </c>
      <c r="Z9" s="238">
        <v>1</v>
      </c>
      <c r="AA9" s="239"/>
      <c r="AB9" s="240">
        <f t="shared" si="1"/>
        <v>13</v>
      </c>
      <c r="AC9" s="164">
        <f t="shared" si="2"/>
        <v>16</v>
      </c>
    </row>
    <row r="10" spans="1:29">
      <c r="A10" t="s">
        <v>379</v>
      </c>
      <c r="B10" s="163" t="s">
        <v>385</v>
      </c>
      <c r="C10" s="229"/>
      <c r="D10" s="230"/>
      <c r="E10" s="230">
        <v>1</v>
      </c>
      <c r="F10" s="230">
        <v>3</v>
      </c>
      <c r="G10" s="230"/>
      <c r="H10" s="230">
        <v>2</v>
      </c>
      <c r="I10" s="230"/>
      <c r="J10" s="230"/>
      <c r="K10" s="230">
        <v>1</v>
      </c>
      <c r="L10" s="230"/>
      <c r="M10" s="230"/>
      <c r="N10" s="231">
        <v>1</v>
      </c>
      <c r="O10" s="232">
        <f t="shared" si="0"/>
        <v>8</v>
      </c>
      <c r="P10" s="237"/>
      <c r="Q10" s="238">
        <v>2</v>
      </c>
      <c r="R10" s="238"/>
      <c r="S10" s="238"/>
      <c r="T10" s="238">
        <v>1</v>
      </c>
      <c r="U10" s="238">
        <v>1</v>
      </c>
      <c r="V10" s="238">
        <v>1</v>
      </c>
      <c r="W10" s="238"/>
      <c r="X10" s="238"/>
      <c r="Y10" s="238">
        <v>1</v>
      </c>
      <c r="Z10" s="238">
        <v>2</v>
      </c>
      <c r="AA10" s="239">
        <v>1</v>
      </c>
      <c r="AB10" s="240">
        <f t="shared" si="1"/>
        <v>9</v>
      </c>
      <c r="AC10" s="164">
        <f t="shared" si="2"/>
        <v>17</v>
      </c>
    </row>
    <row r="11" spans="1:29" ht="15.75" thickBot="1">
      <c r="A11" t="s">
        <v>379</v>
      </c>
      <c r="B11" s="163" t="s">
        <v>386</v>
      </c>
      <c r="C11" s="229"/>
      <c r="D11" s="230"/>
      <c r="E11" s="230"/>
      <c r="F11" s="230"/>
      <c r="G11" s="230"/>
      <c r="H11" s="230"/>
      <c r="I11" s="230"/>
      <c r="J11" s="230"/>
      <c r="K11" s="230"/>
      <c r="L11" s="230"/>
      <c r="M11" s="230"/>
      <c r="N11" s="231"/>
      <c r="O11" s="232">
        <f t="shared" si="0"/>
        <v>0</v>
      </c>
      <c r="P11" s="237"/>
      <c r="Q11" s="238"/>
      <c r="R11" s="238">
        <v>1</v>
      </c>
      <c r="S11" s="238"/>
      <c r="T11" s="238"/>
      <c r="U11" s="238"/>
      <c r="V11" s="238"/>
      <c r="W11" s="238">
        <v>1</v>
      </c>
      <c r="X11" s="238"/>
      <c r="Y11" s="238"/>
      <c r="Z11" s="238"/>
      <c r="AA11" s="239"/>
      <c r="AB11" s="240">
        <f t="shared" si="1"/>
        <v>2</v>
      </c>
      <c r="AC11" s="164">
        <f t="shared" si="2"/>
        <v>2</v>
      </c>
    </row>
    <row r="12" spans="1:29" ht="15.75" thickBot="1">
      <c r="B12" s="268" t="s">
        <v>387</v>
      </c>
      <c r="C12" s="221">
        <f>SUM(C5:C11)</f>
        <v>17</v>
      </c>
      <c r="D12" s="221">
        <f t="shared" ref="D12:N12" si="3">SUM(D5:D11)</f>
        <v>14</v>
      </c>
      <c r="E12" s="221">
        <f t="shared" si="3"/>
        <v>22</v>
      </c>
      <c r="F12" s="221">
        <f t="shared" si="3"/>
        <v>18</v>
      </c>
      <c r="G12" s="221">
        <f t="shared" si="3"/>
        <v>19</v>
      </c>
      <c r="H12" s="221">
        <f t="shared" si="3"/>
        <v>26</v>
      </c>
      <c r="I12" s="221">
        <f t="shared" si="3"/>
        <v>18</v>
      </c>
      <c r="J12" s="221">
        <f t="shared" si="3"/>
        <v>24</v>
      </c>
      <c r="K12" s="221">
        <f t="shared" si="3"/>
        <v>20</v>
      </c>
      <c r="L12" s="221">
        <f t="shared" si="3"/>
        <v>16</v>
      </c>
      <c r="M12" s="221">
        <f t="shared" si="3"/>
        <v>10</v>
      </c>
      <c r="N12" s="221">
        <f t="shared" si="3"/>
        <v>11</v>
      </c>
      <c r="O12" s="222">
        <f>SUM(O5:O11)</f>
        <v>215</v>
      </c>
      <c r="P12" s="221">
        <f>SUM(P5:P11)</f>
        <v>16</v>
      </c>
      <c r="Q12" s="221">
        <f t="shared" ref="Q12:AA12" si="4">SUM(Q5:Q11)</f>
        <v>18</v>
      </c>
      <c r="R12" s="221">
        <f t="shared" si="4"/>
        <v>13</v>
      </c>
      <c r="S12" s="221">
        <f t="shared" si="4"/>
        <v>23</v>
      </c>
      <c r="T12" s="221">
        <f t="shared" si="4"/>
        <v>25</v>
      </c>
      <c r="U12" s="221">
        <f t="shared" si="4"/>
        <v>21</v>
      </c>
      <c r="V12" s="221">
        <f t="shared" si="4"/>
        <v>19</v>
      </c>
      <c r="W12" s="221">
        <f t="shared" si="4"/>
        <v>24</v>
      </c>
      <c r="X12" s="221">
        <f t="shared" si="4"/>
        <v>26</v>
      </c>
      <c r="Y12" s="221">
        <f t="shared" si="4"/>
        <v>24</v>
      </c>
      <c r="Z12" s="221">
        <f t="shared" si="4"/>
        <v>20</v>
      </c>
      <c r="AA12" s="221">
        <f t="shared" si="4"/>
        <v>11</v>
      </c>
      <c r="AB12" s="222">
        <f>SUM(AB5:AB11)</f>
        <v>240</v>
      </c>
      <c r="AC12" s="241">
        <f>SUM(AC5:AC11)</f>
        <v>455</v>
      </c>
    </row>
    <row r="13" spans="1:29">
      <c r="A13" t="s">
        <v>388</v>
      </c>
      <c r="B13" s="163" t="s">
        <v>389</v>
      </c>
      <c r="C13" s="229">
        <v>2</v>
      </c>
      <c r="D13" s="230">
        <v>3</v>
      </c>
      <c r="E13" s="230">
        <v>5</v>
      </c>
      <c r="F13" s="230">
        <v>5</v>
      </c>
      <c r="G13" s="230">
        <v>4</v>
      </c>
      <c r="H13" s="230">
        <v>11</v>
      </c>
      <c r="I13" s="230">
        <v>3</v>
      </c>
      <c r="J13" s="230">
        <v>3</v>
      </c>
      <c r="K13" s="230">
        <v>10</v>
      </c>
      <c r="L13" s="230">
        <v>4</v>
      </c>
      <c r="M13" s="230">
        <v>5</v>
      </c>
      <c r="N13" s="231">
        <v>1</v>
      </c>
      <c r="O13" s="232">
        <f t="shared" si="0"/>
        <v>56</v>
      </c>
      <c r="P13" s="237">
        <v>1</v>
      </c>
      <c r="Q13" s="238">
        <v>3</v>
      </c>
      <c r="R13" s="238">
        <v>9</v>
      </c>
      <c r="S13" s="238">
        <v>5</v>
      </c>
      <c r="T13" s="238">
        <v>13</v>
      </c>
      <c r="U13" s="238">
        <v>10</v>
      </c>
      <c r="V13" s="238">
        <v>9</v>
      </c>
      <c r="W13" s="238">
        <v>6</v>
      </c>
      <c r="X13" s="238">
        <v>6</v>
      </c>
      <c r="Y13" s="238">
        <v>6</v>
      </c>
      <c r="Z13" s="238">
        <v>5</v>
      </c>
      <c r="AA13" s="239">
        <v>4</v>
      </c>
      <c r="AB13" s="240">
        <f t="shared" si="1"/>
        <v>77</v>
      </c>
      <c r="AC13" s="164">
        <f t="shared" si="2"/>
        <v>133</v>
      </c>
    </row>
    <row r="14" spans="1:29">
      <c r="A14" t="s">
        <v>388</v>
      </c>
      <c r="B14" s="163" t="s">
        <v>390</v>
      </c>
      <c r="C14" s="229"/>
      <c r="D14" s="230"/>
      <c r="E14" s="230"/>
      <c r="F14" s="230"/>
      <c r="G14" s="230"/>
      <c r="H14" s="230"/>
      <c r="I14" s="230"/>
      <c r="J14" s="230">
        <v>2</v>
      </c>
      <c r="K14" s="230"/>
      <c r="L14" s="230"/>
      <c r="M14" s="230"/>
      <c r="N14" s="231"/>
      <c r="O14" s="232">
        <f t="shared" si="0"/>
        <v>2</v>
      </c>
      <c r="P14" s="237"/>
      <c r="Q14" s="238"/>
      <c r="R14" s="238">
        <v>1</v>
      </c>
      <c r="S14" s="238"/>
      <c r="T14" s="238"/>
      <c r="U14" s="238"/>
      <c r="V14" s="238"/>
      <c r="W14" s="238"/>
      <c r="X14" s="238">
        <v>1</v>
      </c>
      <c r="Y14" s="238"/>
      <c r="Z14" s="238"/>
      <c r="AA14" s="239"/>
      <c r="AB14" s="240">
        <f t="shared" si="1"/>
        <v>2</v>
      </c>
      <c r="AC14" s="164">
        <f t="shared" si="2"/>
        <v>4</v>
      </c>
    </row>
    <row r="15" spans="1:29">
      <c r="A15" t="s">
        <v>388</v>
      </c>
      <c r="B15" s="163" t="s">
        <v>391</v>
      </c>
      <c r="C15" s="229"/>
      <c r="D15" s="230"/>
      <c r="E15" s="230"/>
      <c r="F15" s="230"/>
      <c r="G15" s="230"/>
      <c r="H15" s="230">
        <v>1</v>
      </c>
      <c r="I15" s="230"/>
      <c r="J15" s="230"/>
      <c r="K15" s="230"/>
      <c r="L15" s="230"/>
      <c r="M15" s="230"/>
      <c r="N15" s="231"/>
      <c r="O15" s="232">
        <f t="shared" si="0"/>
        <v>1</v>
      </c>
      <c r="P15" s="237"/>
      <c r="Q15" s="238"/>
      <c r="R15" s="238"/>
      <c r="S15" s="238"/>
      <c r="T15" s="238"/>
      <c r="U15" s="238"/>
      <c r="V15" s="238"/>
      <c r="W15" s="238"/>
      <c r="X15" s="238"/>
      <c r="Y15" s="238"/>
      <c r="Z15" s="238"/>
      <c r="AA15" s="239"/>
      <c r="AB15" s="240">
        <f t="shared" si="1"/>
        <v>0</v>
      </c>
      <c r="AC15" s="164">
        <f t="shared" si="2"/>
        <v>1</v>
      </c>
    </row>
    <row r="16" spans="1:29" ht="15.75" thickBot="1">
      <c r="A16" t="s">
        <v>388</v>
      </c>
      <c r="B16" s="163" t="s">
        <v>392</v>
      </c>
      <c r="C16" s="229">
        <v>1</v>
      </c>
      <c r="D16" s="230"/>
      <c r="E16" s="230">
        <v>1</v>
      </c>
      <c r="F16" s="230">
        <v>1</v>
      </c>
      <c r="G16" s="230"/>
      <c r="H16" s="230">
        <v>1</v>
      </c>
      <c r="I16" s="230"/>
      <c r="J16" s="230">
        <v>1</v>
      </c>
      <c r="K16" s="230"/>
      <c r="L16" s="230"/>
      <c r="M16" s="230">
        <v>2</v>
      </c>
      <c r="N16" s="231"/>
      <c r="O16" s="232">
        <f t="shared" si="0"/>
        <v>7</v>
      </c>
      <c r="P16" s="237"/>
      <c r="Q16" s="238"/>
      <c r="R16" s="238"/>
      <c r="S16" s="238">
        <v>2</v>
      </c>
      <c r="T16" s="238"/>
      <c r="U16" s="238"/>
      <c r="V16" s="238"/>
      <c r="W16" s="238"/>
      <c r="X16" s="238"/>
      <c r="Y16" s="238"/>
      <c r="Z16" s="238"/>
      <c r="AA16" s="239"/>
      <c r="AB16" s="240">
        <f t="shared" si="1"/>
        <v>2</v>
      </c>
      <c r="AC16" s="164">
        <f t="shared" si="2"/>
        <v>9</v>
      </c>
    </row>
    <row r="17" spans="2:29" ht="15.75" thickBot="1">
      <c r="B17" s="268" t="s">
        <v>387</v>
      </c>
      <c r="C17" s="221">
        <f>SUM(C13:C16)</f>
        <v>3</v>
      </c>
      <c r="D17" s="221">
        <f t="shared" ref="D17:N17" si="5">SUM(D13:D16)</f>
        <v>3</v>
      </c>
      <c r="E17" s="221">
        <f t="shared" si="5"/>
        <v>6</v>
      </c>
      <c r="F17" s="221">
        <f t="shared" si="5"/>
        <v>6</v>
      </c>
      <c r="G17" s="221">
        <f t="shared" si="5"/>
        <v>4</v>
      </c>
      <c r="H17" s="221">
        <f t="shared" si="5"/>
        <v>13</v>
      </c>
      <c r="I17" s="221">
        <f t="shared" si="5"/>
        <v>3</v>
      </c>
      <c r="J17" s="221">
        <f t="shared" si="5"/>
        <v>6</v>
      </c>
      <c r="K17" s="221">
        <f t="shared" si="5"/>
        <v>10</v>
      </c>
      <c r="L17" s="221">
        <f t="shared" si="5"/>
        <v>4</v>
      </c>
      <c r="M17" s="221">
        <f t="shared" si="5"/>
        <v>7</v>
      </c>
      <c r="N17" s="221">
        <f t="shared" si="5"/>
        <v>1</v>
      </c>
      <c r="O17" s="222">
        <f>SUM(O13:O16)</f>
        <v>66</v>
      </c>
      <c r="P17" s="221">
        <f>SUM(P13:P16)</f>
        <v>1</v>
      </c>
      <c r="Q17" s="221">
        <f t="shared" ref="Q17:AA17" si="6">SUM(Q13:Q16)</f>
        <v>3</v>
      </c>
      <c r="R17" s="221">
        <f t="shared" si="6"/>
        <v>10</v>
      </c>
      <c r="S17" s="221">
        <f t="shared" si="6"/>
        <v>7</v>
      </c>
      <c r="T17" s="221">
        <f t="shared" si="6"/>
        <v>13</v>
      </c>
      <c r="U17" s="221">
        <f t="shared" si="6"/>
        <v>10</v>
      </c>
      <c r="V17" s="221">
        <f t="shared" si="6"/>
        <v>9</v>
      </c>
      <c r="W17" s="221">
        <f t="shared" si="6"/>
        <v>6</v>
      </c>
      <c r="X17" s="221">
        <f t="shared" si="6"/>
        <v>7</v>
      </c>
      <c r="Y17" s="221">
        <f t="shared" si="6"/>
        <v>6</v>
      </c>
      <c r="Z17" s="221">
        <f t="shared" si="6"/>
        <v>5</v>
      </c>
      <c r="AA17" s="221">
        <f t="shared" si="6"/>
        <v>4</v>
      </c>
      <c r="AB17" s="222">
        <f>SUM(AB13:AB16)</f>
        <v>81</v>
      </c>
      <c r="AC17" s="241">
        <f>SUM(AC13:AC16)</f>
        <v>147</v>
      </c>
    </row>
  </sheetData>
  <autoFilter ref="A4:B17"/>
  <mergeCells count="2">
    <mergeCell ref="C3:O3"/>
    <mergeCell ref="P3:AB3"/>
  </mergeCells>
  <pageMargins left="0.7" right="0.7" top="1" bottom="0.75" header="0.3" footer="0.3"/>
  <pageSetup scale="74" orientation="landscape" r:id="rId1"/>
  <headerFooter>
    <oddFooter>&amp;L&amp;F, &amp;A</oddFooter>
  </headerFooter>
  <ignoredErrors>
    <ignoredError sqref="AB12:AC1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7"/>
  <sheetViews>
    <sheetView zoomScale="80" zoomScaleNormal="80" zoomScaleSheetLayoutView="85" workbookViewId="0">
      <pane xSplit="1" ySplit="3" topLeftCell="B28" activePane="bottomRight" state="frozen"/>
      <selection pane="topRight" activeCell="B1" sqref="B1"/>
      <selection pane="bottomLeft" activeCell="A4" sqref="A4"/>
      <selection pane="bottomRight" activeCell="V17" sqref="V17"/>
    </sheetView>
  </sheetViews>
  <sheetFormatPr defaultRowHeight="15"/>
  <cols>
    <col min="1" max="1" width="11.28515625" customWidth="1"/>
    <col min="2" max="2" width="18.42578125" customWidth="1"/>
    <col min="3" max="14" width="0" hidden="1" customWidth="1"/>
    <col min="15" max="15" width="11.140625" hidden="1" customWidth="1"/>
    <col min="16" max="16" width="0" hidden="1" customWidth="1"/>
    <col min="17" max="17" width="9.85546875" hidden="1" customWidth="1"/>
  </cols>
  <sheetData>
    <row r="1" spans="1:32" ht="15.75" thickBot="1">
      <c r="C1" t="s">
        <v>256</v>
      </c>
      <c r="R1" t="s">
        <v>257</v>
      </c>
    </row>
    <row r="2" spans="1:32" ht="23.25" thickBot="1">
      <c r="A2" s="213"/>
      <c r="B2" s="214" t="s">
        <v>258</v>
      </c>
      <c r="C2" s="214" t="s">
        <v>259</v>
      </c>
      <c r="D2" s="214" t="s">
        <v>259</v>
      </c>
      <c r="E2" s="214" t="s">
        <v>259</v>
      </c>
      <c r="F2" s="214" t="s">
        <v>259</v>
      </c>
      <c r="G2" s="214" t="s">
        <v>259</v>
      </c>
      <c r="H2" s="214" t="s">
        <v>259</v>
      </c>
      <c r="I2" s="214" t="s">
        <v>259</v>
      </c>
      <c r="J2" s="214" t="s">
        <v>259</v>
      </c>
      <c r="K2" s="214" t="s">
        <v>259</v>
      </c>
      <c r="L2" s="214" t="s">
        <v>259</v>
      </c>
      <c r="M2" s="214" t="s">
        <v>259</v>
      </c>
      <c r="N2" s="214" t="s">
        <v>259</v>
      </c>
      <c r="O2" s="214" t="s">
        <v>260</v>
      </c>
      <c r="P2" s="214" t="s">
        <v>259</v>
      </c>
      <c r="Q2" s="214" t="s">
        <v>259</v>
      </c>
      <c r="R2" s="214" t="s">
        <v>259</v>
      </c>
      <c r="S2" s="214" t="s">
        <v>259</v>
      </c>
      <c r="T2" s="214" t="s">
        <v>259</v>
      </c>
      <c r="U2" s="214" t="s">
        <v>259</v>
      </c>
      <c r="V2" s="214" t="s">
        <v>259</v>
      </c>
      <c r="W2" s="214" t="s">
        <v>259</v>
      </c>
      <c r="X2" s="214" t="s">
        <v>259</v>
      </c>
      <c r="Y2" s="214" t="s">
        <v>259</v>
      </c>
      <c r="Z2" s="214" t="s">
        <v>259</v>
      </c>
      <c r="AA2" s="214" t="s">
        <v>259</v>
      </c>
      <c r="AB2" s="214" t="s">
        <v>259</v>
      </c>
      <c r="AC2" s="214" t="s">
        <v>259</v>
      </c>
      <c r="AD2" s="214" t="s">
        <v>260</v>
      </c>
      <c r="AE2" s="214" t="s">
        <v>259</v>
      </c>
      <c r="AF2" s="214" t="s">
        <v>259</v>
      </c>
    </row>
    <row r="3" spans="1:32" ht="23.25" thickBot="1">
      <c r="A3" s="215" t="s">
        <v>261</v>
      </c>
      <c r="B3" s="214" t="s">
        <v>262</v>
      </c>
      <c r="C3" s="214" t="s">
        <v>263</v>
      </c>
      <c r="D3" s="214" t="s">
        <v>264</v>
      </c>
      <c r="E3" s="214" t="s">
        <v>265</v>
      </c>
      <c r="F3" s="214" t="s">
        <v>266</v>
      </c>
      <c r="G3" s="214" t="s">
        <v>267</v>
      </c>
      <c r="H3" s="214" t="s">
        <v>268</v>
      </c>
      <c r="I3" s="214" t="s">
        <v>269</v>
      </c>
      <c r="J3" s="214" t="s">
        <v>270</v>
      </c>
      <c r="K3" s="214" t="s">
        <v>271</v>
      </c>
      <c r="L3" s="214" t="s">
        <v>272</v>
      </c>
      <c r="M3" s="214" t="s">
        <v>273</v>
      </c>
      <c r="N3" s="214" t="s">
        <v>274</v>
      </c>
      <c r="O3" s="214" t="s">
        <v>275</v>
      </c>
      <c r="P3" s="214" t="s">
        <v>276</v>
      </c>
      <c r="Q3" s="214" t="s">
        <v>277</v>
      </c>
      <c r="R3" s="214" t="s">
        <v>263</v>
      </c>
      <c r="S3" s="214" t="s">
        <v>264</v>
      </c>
      <c r="T3" s="214" t="s">
        <v>265</v>
      </c>
      <c r="U3" s="214" t="s">
        <v>266</v>
      </c>
      <c r="V3" s="214" t="s">
        <v>267</v>
      </c>
      <c r="W3" s="214" t="s">
        <v>268</v>
      </c>
      <c r="X3" s="214" t="s">
        <v>269</v>
      </c>
      <c r="Y3" s="214" t="s">
        <v>270</v>
      </c>
      <c r="Z3" s="214" t="s">
        <v>271</v>
      </c>
      <c r="AA3" s="214" t="s">
        <v>272</v>
      </c>
      <c r="AB3" s="214" t="s">
        <v>273</v>
      </c>
      <c r="AC3" s="214" t="s">
        <v>274</v>
      </c>
      <c r="AD3" s="214" t="s">
        <v>275</v>
      </c>
      <c r="AE3" s="214" t="s">
        <v>276</v>
      </c>
      <c r="AF3" s="214" t="s">
        <v>277</v>
      </c>
    </row>
    <row r="4" spans="1:32" ht="15.75" thickBot="1">
      <c r="A4" s="214" t="s">
        <v>278</v>
      </c>
      <c r="B4" s="214" t="s">
        <v>256</v>
      </c>
      <c r="C4" s="90">
        <v>36090</v>
      </c>
      <c r="D4" s="91">
        <v>541503</v>
      </c>
      <c r="E4" s="90">
        <v>117699</v>
      </c>
      <c r="F4" s="91">
        <v>13009</v>
      </c>
      <c r="G4" s="90">
        <v>21</v>
      </c>
      <c r="H4" s="91">
        <v>115267</v>
      </c>
      <c r="I4" s="90">
        <v>1</v>
      </c>
      <c r="J4" s="91">
        <v>59081</v>
      </c>
      <c r="K4" s="90">
        <v>55</v>
      </c>
      <c r="L4" s="92"/>
      <c r="M4" s="90">
        <v>125415</v>
      </c>
      <c r="N4" s="90">
        <v>100816</v>
      </c>
      <c r="O4" s="90">
        <f>SUM(C4:N4)</f>
        <v>1108957</v>
      </c>
      <c r="P4" s="91">
        <v>1084</v>
      </c>
      <c r="Q4" s="93">
        <v>1110041</v>
      </c>
      <c r="R4" s="210"/>
      <c r="S4" s="210"/>
      <c r="T4" s="210"/>
      <c r="U4" s="210"/>
      <c r="V4" s="210"/>
      <c r="W4" s="210"/>
      <c r="X4" s="210"/>
      <c r="Y4" s="210"/>
      <c r="Z4" s="210"/>
      <c r="AA4" s="211"/>
      <c r="AB4" s="210"/>
      <c r="AC4" s="210"/>
      <c r="AD4" s="210"/>
      <c r="AE4" s="210"/>
      <c r="AF4" s="212"/>
    </row>
    <row r="5" spans="1:32" ht="15.75" thickBot="1">
      <c r="A5" s="214" t="s">
        <v>279</v>
      </c>
      <c r="B5" s="214" t="s">
        <v>256</v>
      </c>
      <c r="C5" s="90">
        <v>36118</v>
      </c>
      <c r="D5" s="91">
        <v>542167</v>
      </c>
      <c r="E5" s="90">
        <v>117696</v>
      </c>
      <c r="F5" s="91">
        <v>13020</v>
      </c>
      <c r="G5" s="90">
        <v>21</v>
      </c>
      <c r="H5" s="91">
        <v>115369</v>
      </c>
      <c r="I5" s="90">
        <v>1</v>
      </c>
      <c r="J5" s="91">
        <v>59178</v>
      </c>
      <c r="K5" s="90">
        <v>55</v>
      </c>
      <c r="L5" s="92"/>
      <c r="M5" s="90">
        <v>125452</v>
      </c>
      <c r="N5" s="90">
        <v>100955</v>
      </c>
      <c r="O5" s="90">
        <f t="shared" ref="O5:O40" si="0">SUM(C5:N5)</f>
        <v>1110032</v>
      </c>
      <c r="P5" s="91">
        <v>1187</v>
      </c>
      <c r="Q5" s="93">
        <v>1111219</v>
      </c>
      <c r="R5" s="210">
        <f>C5-C4</f>
        <v>28</v>
      </c>
      <c r="S5" s="210">
        <f t="shared" ref="S5:AF20" si="1">D5-D4</f>
        <v>664</v>
      </c>
      <c r="T5" s="210">
        <f t="shared" si="1"/>
        <v>-3</v>
      </c>
      <c r="U5" s="210">
        <f t="shared" si="1"/>
        <v>11</v>
      </c>
      <c r="V5" s="210">
        <f t="shared" si="1"/>
        <v>0</v>
      </c>
      <c r="W5" s="210">
        <f t="shared" si="1"/>
        <v>102</v>
      </c>
      <c r="X5" s="210">
        <f t="shared" si="1"/>
        <v>0</v>
      </c>
      <c r="Y5" s="210">
        <f t="shared" si="1"/>
        <v>97</v>
      </c>
      <c r="Z5" s="210">
        <f t="shared" si="1"/>
        <v>0</v>
      </c>
      <c r="AA5" s="210">
        <f t="shared" si="1"/>
        <v>0</v>
      </c>
      <c r="AB5" s="210">
        <f t="shared" si="1"/>
        <v>37</v>
      </c>
      <c r="AC5" s="210">
        <f t="shared" si="1"/>
        <v>139</v>
      </c>
      <c r="AD5" s="210">
        <f t="shared" si="1"/>
        <v>1075</v>
      </c>
      <c r="AE5" s="210">
        <f t="shared" si="1"/>
        <v>103</v>
      </c>
      <c r="AF5" s="212">
        <f t="shared" si="1"/>
        <v>1178</v>
      </c>
    </row>
    <row r="6" spans="1:32" ht="15.75" thickBot="1">
      <c r="A6" s="214" t="s">
        <v>280</v>
      </c>
      <c r="B6" s="214" t="s">
        <v>256</v>
      </c>
      <c r="C6" s="90">
        <v>36146</v>
      </c>
      <c r="D6" s="91">
        <v>542515</v>
      </c>
      <c r="E6" s="90">
        <v>117751</v>
      </c>
      <c r="F6" s="91">
        <v>13036</v>
      </c>
      <c r="G6" s="90">
        <v>21</v>
      </c>
      <c r="H6" s="91">
        <v>115509</v>
      </c>
      <c r="I6" s="90">
        <v>1</v>
      </c>
      <c r="J6" s="91">
        <v>59187</v>
      </c>
      <c r="K6" s="90">
        <v>54</v>
      </c>
      <c r="L6" s="92"/>
      <c r="M6" s="90">
        <v>125568</v>
      </c>
      <c r="N6" s="90">
        <v>101133</v>
      </c>
      <c r="O6" s="90">
        <f t="shared" si="0"/>
        <v>1110921</v>
      </c>
      <c r="P6" s="91">
        <v>1191</v>
      </c>
      <c r="Q6" s="93">
        <v>1112112</v>
      </c>
      <c r="R6" s="210">
        <f t="shared" ref="R6:AF36" si="2">C6-C5</f>
        <v>28</v>
      </c>
      <c r="S6" s="210">
        <f t="shared" si="1"/>
        <v>348</v>
      </c>
      <c r="T6" s="210">
        <f t="shared" si="1"/>
        <v>55</v>
      </c>
      <c r="U6" s="210">
        <f t="shared" si="1"/>
        <v>16</v>
      </c>
      <c r="V6" s="210">
        <f t="shared" si="1"/>
        <v>0</v>
      </c>
      <c r="W6" s="210">
        <f t="shared" si="1"/>
        <v>140</v>
      </c>
      <c r="X6" s="210">
        <f t="shared" si="1"/>
        <v>0</v>
      </c>
      <c r="Y6" s="210">
        <f t="shared" si="1"/>
        <v>9</v>
      </c>
      <c r="Z6" s="210">
        <f t="shared" si="1"/>
        <v>-1</v>
      </c>
      <c r="AA6" s="210">
        <f t="shared" si="1"/>
        <v>0</v>
      </c>
      <c r="AB6" s="210">
        <f t="shared" si="1"/>
        <v>116</v>
      </c>
      <c r="AC6" s="210">
        <f t="shared" si="1"/>
        <v>178</v>
      </c>
      <c r="AD6" s="210">
        <f t="shared" si="1"/>
        <v>889</v>
      </c>
      <c r="AE6" s="210">
        <f t="shared" si="1"/>
        <v>4</v>
      </c>
      <c r="AF6" s="212">
        <f t="shared" si="1"/>
        <v>893</v>
      </c>
    </row>
    <row r="7" spans="1:32" ht="15.75" thickBot="1">
      <c r="A7" s="214" t="s">
        <v>281</v>
      </c>
      <c r="B7" s="214" t="s">
        <v>256</v>
      </c>
      <c r="C7" s="90">
        <v>36158</v>
      </c>
      <c r="D7" s="91">
        <v>543305</v>
      </c>
      <c r="E7" s="90">
        <v>117960</v>
      </c>
      <c r="F7" s="91">
        <v>13036</v>
      </c>
      <c r="G7" s="90">
        <v>21</v>
      </c>
      <c r="H7" s="91">
        <v>115660</v>
      </c>
      <c r="I7" s="90">
        <v>1</v>
      </c>
      <c r="J7" s="91">
        <v>59243</v>
      </c>
      <c r="K7" s="90">
        <v>55</v>
      </c>
      <c r="L7" s="92"/>
      <c r="M7" s="90">
        <v>125820</v>
      </c>
      <c r="N7" s="90">
        <v>101267</v>
      </c>
      <c r="O7" s="90">
        <f t="shared" si="0"/>
        <v>1112526</v>
      </c>
      <c r="P7" s="91">
        <v>1192</v>
      </c>
      <c r="Q7" s="93">
        <v>1113718</v>
      </c>
      <c r="R7" s="210">
        <f t="shared" si="2"/>
        <v>12</v>
      </c>
      <c r="S7" s="210">
        <f t="shared" si="1"/>
        <v>790</v>
      </c>
      <c r="T7" s="210">
        <f t="shared" si="1"/>
        <v>209</v>
      </c>
      <c r="U7" s="210">
        <f t="shared" si="1"/>
        <v>0</v>
      </c>
      <c r="V7" s="210">
        <f t="shared" si="1"/>
        <v>0</v>
      </c>
      <c r="W7" s="210">
        <f t="shared" si="1"/>
        <v>151</v>
      </c>
      <c r="X7" s="210">
        <f t="shared" si="1"/>
        <v>0</v>
      </c>
      <c r="Y7" s="210">
        <f t="shared" si="1"/>
        <v>56</v>
      </c>
      <c r="Z7" s="210">
        <f t="shared" si="1"/>
        <v>1</v>
      </c>
      <c r="AA7" s="210">
        <f t="shared" si="1"/>
        <v>0</v>
      </c>
      <c r="AB7" s="210">
        <f t="shared" si="1"/>
        <v>252</v>
      </c>
      <c r="AC7" s="210">
        <f t="shared" si="1"/>
        <v>134</v>
      </c>
      <c r="AD7" s="210">
        <f t="shared" si="1"/>
        <v>1605</v>
      </c>
      <c r="AE7" s="210">
        <f t="shared" si="1"/>
        <v>1</v>
      </c>
      <c r="AF7" s="212">
        <f t="shared" si="1"/>
        <v>1606</v>
      </c>
    </row>
    <row r="8" spans="1:32" ht="15.75" thickBot="1">
      <c r="A8" s="214" t="s">
        <v>282</v>
      </c>
      <c r="B8" s="214" t="s">
        <v>256</v>
      </c>
      <c r="C8" s="90">
        <v>36181</v>
      </c>
      <c r="D8" s="91">
        <v>543594</v>
      </c>
      <c r="E8" s="90">
        <v>117969</v>
      </c>
      <c r="F8" s="91">
        <v>13082</v>
      </c>
      <c r="G8" s="90">
        <v>20</v>
      </c>
      <c r="H8" s="91">
        <v>115799</v>
      </c>
      <c r="I8" s="90">
        <v>1</v>
      </c>
      <c r="J8" s="91">
        <v>59343</v>
      </c>
      <c r="K8" s="90">
        <v>54</v>
      </c>
      <c r="L8" s="92"/>
      <c r="M8" s="90">
        <v>126021</v>
      </c>
      <c r="N8" s="90">
        <v>101372</v>
      </c>
      <c r="O8" s="90">
        <f t="shared" si="0"/>
        <v>1113436</v>
      </c>
      <c r="P8" s="91">
        <v>1104</v>
      </c>
      <c r="Q8" s="93">
        <v>1114540</v>
      </c>
      <c r="R8" s="210">
        <f t="shared" si="2"/>
        <v>23</v>
      </c>
      <c r="S8" s="210">
        <f t="shared" si="1"/>
        <v>289</v>
      </c>
      <c r="T8" s="210">
        <f t="shared" si="1"/>
        <v>9</v>
      </c>
      <c r="U8" s="210">
        <f t="shared" si="1"/>
        <v>46</v>
      </c>
      <c r="V8" s="210">
        <f t="shared" si="1"/>
        <v>-1</v>
      </c>
      <c r="W8" s="210">
        <f t="shared" si="1"/>
        <v>139</v>
      </c>
      <c r="X8" s="210">
        <f t="shared" si="1"/>
        <v>0</v>
      </c>
      <c r="Y8" s="210">
        <f t="shared" si="1"/>
        <v>100</v>
      </c>
      <c r="Z8" s="210">
        <f t="shared" si="1"/>
        <v>-1</v>
      </c>
      <c r="AA8" s="210">
        <f t="shared" si="1"/>
        <v>0</v>
      </c>
      <c r="AB8" s="210">
        <f t="shared" si="1"/>
        <v>201</v>
      </c>
      <c r="AC8" s="210">
        <f t="shared" si="1"/>
        <v>105</v>
      </c>
      <c r="AD8" s="210">
        <f t="shared" si="1"/>
        <v>910</v>
      </c>
      <c r="AE8" s="210">
        <f t="shared" si="1"/>
        <v>-88</v>
      </c>
      <c r="AF8" s="212">
        <f t="shared" si="1"/>
        <v>822</v>
      </c>
    </row>
    <row r="9" spans="1:32" ht="15.75" thickBot="1">
      <c r="A9" s="214" t="s">
        <v>283</v>
      </c>
      <c r="B9" s="214" t="s">
        <v>256</v>
      </c>
      <c r="C9" s="90">
        <v>36246</v>
      </c>
      <c r="D9" s="91">
        <v>545136</v>
      </c>
      <c r="E9" s="90">
        <v>118190</v>
      </c>
      <c r="F9" s="91">
        <v>13196</v>
      </c>
      <c r="G9" s="90">
        <v>19</v>
      </c>
      <c r="H9" s="91">
        <v>116093</v>
      </c>
      <c r="I9" s="90">
        <v>1</v>
      </c>
      <c r="J9" s="91">
        <v>59454</v>
      </c>
      <c r="K9" s="90">
        <v>54</v>
      </c>
      <c r="L9" s="91">
        <v>5</v>
      </c>
      <c r="M9" s="90">
        <v>126405</v>
      </c>
      <c r="N9" s="90">
        <v>101495</v>
      </c>
      <c r="O9" s="90">
        <f t="shared" si="0"/>
        <v>1116294</v>
      </c>
      <c r="P9" s="91">
        <v>1115</v>
      </c>
      <c r="Q9" s="93">
        <v>1117409</v>
      </c>
      <c r="R9" s="210">
        <f t="shared" si="2"/>
        <v>65</v>
      </c>
      <c r="S9" s="210">
        <f t="shared" si="1"/>
        <v>1542</v>
      </c>
      <c r="T9" s="210">
        <f t="shared" si="1"/>
        <v>221</v>
      </c>
      <c r="U9" s="210">
        <f t="shared" si="1"/>
        <v>114</v>
      </c>
      <c r="V9" s="210">
        <f t="shared" si="1"/>
        <v>-1</v>
      </c>
      <c r="W9" s="210">
        <f t="shared" si="1"/>
        <v>294</v>
      </c>
      <c r="X9" s="210">
        <f t="shared" si="1"/>
        <v>0</v>
      </c>
      <c r="Y9" s="210">
        <f t="shared" si="1"/>
        <v>111</v>
      </c>
      <c r="Z9" s="210">
        <f t="shared" si="1"/>
        <v>0</v>
      </c>
      <c r="AA9" s="210">
        <f t="shared" si="1"/>
        <v>5</v>
      </c>
      <c r="AB9" s="210">
        <f t="shared" si="1"/>
        <v>384</v>
      </c>
      <c r="AC9" s="210">
        <f t="shared" si="1"/>
        <v>123</v>
      </c>
      <c r="AD9" s="210">
        <f t="shared" si="1"/>
        <v>2858</v>
      </c>
      <c r="AE9" s="210">
        <f t="shared" si="1"/>
        <v>11</v>
      </c>
      <c r="AF9" s="212">
        <f t="shared" si="1"/>
        <v>2869</v>
      </c>
    </row>
    <row r="10" spans="1:32" ht="15.75" thickBot="1">
      <c r="A10" s="214" t="s">
        <v>284</v>
      </c>
      <c r="B10" s="214" t="s">
        <v>256</v>
      </c>
      <c r="C10" s="90">
        <v>36354</v>
      </c>
      <c r="D10" s="91">
        <v>546349</v>
      </c>
      <c r="E10" s="90">
        <v>118413</v>
      </c>
      <c r="F10" s="91">
        <v>13263</v>
      </c>
      <c r="G10" s="90">
        <v>20</v>
      </c>
      <c r="H10" s="91">
        <v>116431</v>
      </c>
      <c r="I10" s="90">
        <v>1</v>
      </c>
      <c r="J10" s="91">
        <v>59610</v>
      </c>
      <c r="K10" s="90">
        <v>54</v>
      </c>
      <c r="L10" s="91">
        <v>7</v>
      </c>
      <c r="M10" s="90">
        <v>126715</v>
      </c>
      <c r="N10" s="90">
        <v>101832</v>
      </c>
      <c r="O10" s="90">
        <f t="shared" si="0"/>
        <v>1119049</v>
      </c>
      <c r="P10" s="91">
        <v>1217</v>
      </c>
      <c r="Q10" s="93">
        <v>1120266</v>
      </c>
      <c r="R10" s="210">
        <f t="shared" si="2"/>
        <v>108</v>
      </c>
      <c r="S10" s="210">
        <f t="shared" si="1"/>
        <v>1213</v>
      </c>
      <c r="T10" s="210">
        <f t="shared" si="1"/>
        <v>223</v>
      </c>
      <c r="U10" s="210">
        <f t="shared" si="1"/>
        <v>67</v>
      </c>
      <c r="V10" s="210">
        <f t="shared" si="1"/>
        <v>1</v>
      </c>
      <c r="W10" s="210">
        <f t="shared" si="1"/>
        <v>338</v>
      </c>
      <c r="X10" s="210">
        <f t="shared" si="1"/>
        <v>0</v>
      </c>
      <c r="Y10" s="210">
        <f t="shared" si="1"/>
        <v>156</v>
      </c>
      <c r="Z10" s="210">
        <f t="shared" si="1"/>
        <v>0</v>
      </c>
      <c r="AA10" s="210">
        <f t="shared" si="1"/>
        <v>2</v>
      </c>
      <c r="AB10" s="210">
        <f t="shared" si="1"/>
        <v>310</v>
      </c>
      <c r="AC10" s="210">
        <f t="shared" si="1"/>
        <v>337</v>
      </c>
      <c r="AD10" s="210">
        <f t="shared" si="1"/>
        <v>2755</v>
      </c>
      <c r="AE10" s="210">
        <f t="shared" si="1"/>
        <v>102</v>
      </c>
      <c r="AF10" s="212">
        <f t="shared" si="1"/>
        <v>2857</v>
      </c>
    </row>
    <row r="11" spans="1:32" ht="15.75" thickBot="1">
      <c r="A11" s="214" t="s">
        <v>285</v>
      </c>
      <c r="B11" s="214" t="s">
        <v>256</v>
      </c>
      <c r="C11" s="90">
        <v>36327</v>
      </c>
      <c r="D11" s="91">
        <v>546500</v>
      </c>
      <c r="E11" s="90">
        <v>118491</v>
      </c>
      <c r="F11" s="91">
        <v>13283</v>
      </c>
      <c r="G11" s="90">
        <v>20</v>
      </c>
      <c r="H11" s="91">
        <v>116564</v>
      </c>
      <c r="I11" s="90">
        <v>1</v>
      </c>
      <c r="J11" s="91">
        <v>59662</v>
      </c>
      <c r="K11" s="90">
        <v>53</v>
      </c>
      <c r="L11" s="91">
        <v>7</v>
      </c>
      <c r="M11" s="90">
        <v>126847</v>
      </c>
      <c r="N11" s="90">
        <v>101784</v>
      </c>
      <c r="O11" s="90">
        <f t="shared" si="0"/>
        <v>1119539</v>
      </c>
      <c r="P11" s="91">
        <v>1216</v>
      </c>
      <c r="Q11" s="93">
        <v>1120755</v>
      </c>
      <c r="R11" s="210">
        <f t="shared" si="2"/>
        <v>-27</v>
      </c>
      <c r="S11" s="210">
        <f t="shared" si="1"/>
        <v>151</v>
      </c>
      <c r="T11" s="210">
        <f t="shared" si="1"/>
        <v>78</v>
      </c>
      <c r="U11" s="210">
        <f t="shared" si="1"/>
        <v>20</v>
      </c>
      <c r="V11" s="210">
        <f t="shared" si="1"/>
        <v>0</v>
      </c>
      <c r="W11" s="210">
        <f t="shared" si="1"/>
        <v>133</v>
      </c>
      <c r="X11" s="210">
        <f t="shared" si="1"/>
        <v>0</v>
      </c>
      <c r="Y11" s="210">
        <f t="shared" si="1"/>
        <v>52</v>
      </c>
      <c r="Z11" s="210">
        <f t="shared" si="1"/>
        <v>-1</v>
      </c>
      <c r="AA11" s="210">
        <f t="shared" si="1"/>
        <v>0</v>
      </c>
      <c r="AB11" s="210">
        <f t="shared" si="1"/>
        <v>132</v>
      </c>
      <c r="AC11" s="210">
        <f t="shared" si="1"/>
        <v>-48</v>
      </c>
      <c r="AD11" s="210">
        <f t="shared" si="1"/>
        <v>490</v>
      </c>
      <c r="AE11" s="210">
        <f t="shared" si="1"/>
        <v>-1</v>
      </c>
      <c r="AF11" s="212">
        <f t="shared" si="1"/>
        <v>489</v>
      </c>
    </row>
    <row r="12" spans="1:32" ht="15.75" thickBot="1">
      <c r="A12" s="214" t="s">
        <v>286</v>
      </c>
      <c r="B12" s="214" t="s">
        <v>256</v>
      </c>
      <c r="C12" s="90">
        <v>36386</v>
      </c>
      <c r="D12" s="91">
        <v>547004</v>
      </c>
      <c r="E12" s="90">
        <v>118571</v>
      </c>
      <c r="F12" s="91">
        <v>13305</v>
      </c>
      <c r="G12" s="90">
        <v>20</v>
      </c>
      <c r="H12" s="91">
        <v>116714</v>
      </c>
      <c r="I12" s="90">
        <v>1</v>
      </c>
      <c r="J12" s="91">
        <v>59712</v>
      </c>
      <c r="K12" s="90">
        <v>52</v>
      </c>
      <c r="L12" s="91">
        <v>7</v>
      </c>
      <c r="M12" s="90">
        <v>127037</v>
      </c>
      <c r="N12" s="90">
        <v>101925</v>
      </c>
      <c r="O12" s="90">
        <f t="shared" si="0"/>
        <v>1120734</v>
      </c>
      <c r="P12" s="91">
        <v>1217</v>
      </c>
      <c r="Q12" s="93">
        <v>1121951</v>
      </c>
      <c r="R12" s="210">
        <f t="shared" si="2"/>
        <v>59</v>
      </c>
      <c r="S12" s="210">
        <f t="shared" si="1"/>
        <v>504</v>
      </c>
      <c r="T12" s="210">
        <f t="shared" si="1"/>
        <v>80</v>
      </c>
      <c r="U12" s="210">
        <f t="shared" si="1"/>
        <v>22</v>
      </c>
      <c r="V12" s="210">
        <f t="shared" si="1"/>
        <v>0</v>
      </c>
      <c r="W12" s="210">
        <f t="shared" si="1"/>
        <v>150</v>
      </c>
      <c r="X12" s="210">
        <f t="shared" si="1"/>
        <v>0</v>
      </c>
      <c r="Y12" s="210">
        <f t="shared" si="1"/>
        <v>50</v>
      </c>
      <c r="Z12" s="210">
        <f t="shared" si="1"/>
        <v>-1</v>
      </c>
      <c r="AA12" s="210">
        <f t="shared" si="1"/>
        <v>0</v>
      </c>
      <c r="AB12" s="210">
        <f t="shared" si="1"/>
        <v>190</v>
      </c>
      <c r="AC12" s="210">
        <f t="shared" si="1"/>
        <v>141</v>
      </c>
      <c r="AD12" s="210">
        <f t="shared" si="1"/>
        <v>1195</v>
      </c>
      <c r="AE12" s="210">
        <f t="shared" si="1"/>
        <v>1</v>
      </c>
      <c r="AF12" s="212">
        <f t="shared" si="1"/>
        <v>1196</v>
      </c>
    </row>
    <row r="13" spans="1:32" ht="15.75" thickBot="1">
      <c r="A13" s="214" t="s">
        <v>287</v>
      </c>
      <c r="B13" s="214" t="s">
        <v>256</v>
      </c>
      <c r="C13" s="90">
        <v>36403</v>
      </c>
      <c r="D13" s="91">
        <v>547881</v>
      </c>
      <c r="E13" s="90">
        <v>118731</v>
      </c>
      <c r="F13" s="91">
        <v>13349</v>
      </c>
      <c r="G13" s="90">
        <v>22</v>
      </c>
      <c r="H13" s="91">
        <v>116842</v>
      </c>
      <c r="I13" s="90">
        <v>1</v>
      </c>
      <c r="J13" s="91">
        <v>59768</v>
      </c>
      <c r="K13" s="90">
        <v>54</v>
      </c>
      <c r="L13" s="91">
        <v>7</v>
      </c>
      <c r="M13" s="90">
        <v>127267</v>
      </c>
      <c r="N13" s="90">
        <v>102060</v>
      </c>
      <c r="O13" s="90">
        <f t="shared" si="0"/>
        <v>1122385</v>
      </c>
      <c r="P13" s="91">
        <v>1229</v>
      </c>
      <c r="Q13" s="93">
        <v>1123614</v>
      </c>
      <c r="R13" s="210">
        <f t="shared" si="2"/>
        <v>17</v>
      </c>
      <c r="S13" s="210">
        <f t="shared" si="1"/>
        <v>877</v>
      </c>
      <c r="T13" s="210">
        <f t="shared" si="1"/>
        <v>160</v>
      </c>
      <c r="U13" s="210">
        <f t="shared" si="1"/>
        <v>44</v>
      </c>
      <c r="V13" s="210">
        <f t="shared" si="1"/>
        <v>2</v>
      </c>
      <c r="W13" s="210">
        <f t="shared" si="1"/>
        <v>128</v>
      </c>
      <c r="X13" s="210">
        <f t="shared" si="1"/>
        <v>0</v>
      </c>
      <c r="Y13" s="210">
        <f t="shared" si="1"/>
        <v>56</v>
      </c>
      <c r="Z13" s="210">
        <f t="shared" si="1"/>
        <v>2</v>
      </c>
      <c r="AA13" s="210">
        <f t="shared" si="1"/>
        <v>0</v>
      </c>
      <c r="AB13" s="210">
        <f t="shared" si="1"/>
        <v>230</v>
      </c>
      <c r="AC13" s="210">
        <f t="shared" si="1"/>
        <v>135</v>
      </c>
      <c r="AD13" s="210">
        <f t="shared" si="1"/>
        <v>1651</v>
      </c>
      <c r="AE13" s="210">
        <f t="shared" si="1"/>
        <v>12</v>
      </c>
      <c r="AF13" s="212">
        <f t="shared" si="1"/>
        <v>1663</v>
      </c>
    </row>
    <row r="14" spans="1:32" ht="15.75" thickBot="1">
      <c r="A14" s="214" t="s">
        <v>288</v>
      </c>
      <c r="B14" s="214" t="s">
        <v>256</v>
      </c>
      <c r="C14" s="90">
        <v>36402</v>
      </c>
      <c r="D14" s="91">
        <v>548837</v>
      </c>
      <c r="E14" s="90">
        <v>118864</v>
      </c>
      <c r="F14" s="91">
        <v>13331</v>
      </c>
      <c r="G14" s="90">
        <v>22</v>
      </c>
      <c r="H14" s="91">
        <v>117057</v>
      </c>
      <c r="I14" s="90">
        <v>1</v>
      </c>
      <c r="J14" s="91">
        <v>59820</v>
      </c>
      <c r="K14" s="90">
        <v>54</v>
      </c>
      <c r="L14" s="91">
        <v>7</v>
      </c>
      <c r="M14" s="90">
        <v>127425</v>
      </c>
      <c r="N14" s="90">
        <v>102290</v>
      </c>
      <c r="O14" s="90">
        <f t="shared" si="0"/>
        <v>1124110</v>
      </c>
      <c r="P14" s="91">
        <v>1224</v>
      </c>
      <c r="Q14" s="93">
        <v>1125334</v>
      </c>
      <c r="R14" s="210">
        <f t="shared" si="2"/>
        <v>-1</v>
      </c>
      <c r="S14" s="210">
        <f t="shared" si="1"/>
        <v>956</v>
      </c>
      <c r="T14" s="210">
        <f t="shared" si="1"/>
        <v>133</v>
      </c>
      <c r="U14" s="210">
        <f t="shared" si="1"/>
        <v>-18</v>
      </c>
      <c r="V14" s="210">
        <f t="shared" si="1"/>
        <v>0</v>
      </c>
      <c r="W14" s="210">
        <f t="shared" si="1"/>
        <v>215</v>
      </c>
      <c r="X14" s="210">
        <f t="shared" si="1"/>
        <v>0</v>
      </c>
      <c r="Y14" s="210">
        <f t="shared" si="1"/>
        <v>52</v>
      </c>
      <c r="Z14" s="210">
        <f t="shared" si="1"/>
        <v>0</v>
      </c>
      <c r="AA14" s="210">
        <f t="shared" si="1"/>
        <v>0</v>
      </c>
      <c r="AB14" s="210">
        <f t="shared" si="1"/>
        <v>158</v>
      </c>
      <c r="AC14" s="210">
        <f t="shared" si="1"/>
        <v>230</v>
      </c>
      <c r="AD14" s="210">
        <f t="shared" si="1"/>
        <v>1725</v>
      </c>
      <c r="AE14" s="210">
        <f t="shared" si="1"/>
        <v>-5</v>
      </c>
      <c r="AF14" s="212">
        <f t="shared" si="1"/>
        <v>1720</v>
      </c>
    </row>
    <row r="15" spans="1:32" ht="15.75" thickBot="1">
      <c r="A15" s="214" t="s">
        <v>289</v>
      </c>
      <c r="B15" s="214" t="s">
        <v>256</v>
      </c>
      <c r="C15" s="90">
        <v>36471</v>
      </c>
      <c r="D15" s="91">
        <v>549848</v>
      </c>
      <c r="E15" s="90">
        <v>118984</v>
      </c>
      <c r="F15" s="91">
        <v>13311</v>
      </c>
      <c r="G15" s="90">
        <v>22</v>
      </c>
      <c r="H15" s="91">
        <v>117154</v>
      </c>
      <c r="I15" s="90">
        <v>1</v>
      </c>
      <c r="J15" s="91">
        <v>59869</v>
      </c>
      <c r="K15" s="90">
        <v>54</v>
      </c>
      <c r="L15" s="91">
        <v>7</v>
      </c>
      <c r="M15" s="90">
        <v>127608</v>
      </c>
      <c r="N15" s="90">
        <v>102455</v>
      </c>
      <c r="O15" s="90">
        <f t="shared" si="0"/>
        <v>1125784</v>
      </c>
      <c r="P15" s="91">
        <v>1218</v>
      </c>
      <c r="Q15" s="93">
        <v>1127002</v>
      </c>
      <c r="R15" s="210">
        <f t="shared" si="2"/>
        <v>69</v>
      </c>
      <c r="S15" s="210">
        <f t="shared" si="1"/>
        <v>1011</v>
      </c>
      <c r="T15" s="210">
        <f t="shared" si="1"/>
        <v>120</v>
      </c>
      <c r="U15" s="210">
        <f t="shared" si="1"/>
        <v>-20</v>
      </c>
      <c r="V15" s="210">
        <f t="shared" si="1"/>
        <v>0</v>
      </c>
      <c r="W15" s="210">
        <f t="shared" si="1"/>
        <v>97</v>
      </c>
      <c r="X15" s="210">
        <f t="shared" si="1"/>
        <v>0</v>
      </c>
      <c r="Y15" s="210">
        <f t="shared" si="1"/>
        <v>49</v>
      </c>
      <c r="Z15" s="210">
        <f t="shared" si="1"/>
        <v>0</v>
      </c>
      <c r="AA15" s="210">
        <f t="shared" si="1"/>
        <v>0</v>
      </c>
      <c r="AB15" s="210">
        <f t="shared" si="1"/>
        <v>183</v>
      </c>
      <c r="AC15" s="210">
        <f t="shared" si="1"/>
        <v>165</v>
      </c>
      <c r="AD15" s="210">
        <f t="shared" si="1"/>
        <v>1674</v>
      </c>
      <c r="AE15" s="210">
        <f t="shared" si="1"/>
        <v>-6</v>
      </c>
      <c r="AF15" s="212">
        <f t="shared" si="1"/>
        <v>1668</v>
      </c>
    </row>
    <row r="16" spans="1:32" ht="15.75" thickBot="1">
      <c r="A16" s="214" t="s">
        <v>290</v>
      </c>
      <c r="B16" s="214" t="s">
        <v>256</v>
      </c>
      <c r="C16" s="90">
        <v>36497</v>
      </c>
      <c r="D16" s="91">
        <v>550393</v>
      </c>
      <c r="E16" s="90">
        <v>119159</v>
      </c>
      <c r="F16" s="91">
        <v>13322</v>
      </c>
      <c r="G16" s="90">
        <v>22</v>
      </c>
      <c r="H16" s="91">
        <v>117659</v>
      </c>
      <c r="I16" s="90">
        <v>1</v>
      </c>
      <c r="J16" s="91">
        <v>59905</v>
      </c>
      <c r="K16" s="90">
        <v>54</v>
      </c>
      <c r="L16" s="91">
        <v>11</v>
      </c>
      <c r="M16" s="90">
        <v>127895</v>
      </c>
      <c r="N16" s="90">
        <v>102564</v>
      </c>
      <c r="O16" s="90">
        <f t="shared" si="0"/>
        <v>1127482</v>
      </c>
      <c r="P16" s="91">
        <v>1222</v>
      </c>
      <c r="Q16" s="93">
        <v>1128704</v>
      </c>
      <c r="R16" s="210">
        <f t="shared" si="2"/>
        <v>26</v>
      </c>
      <c r="S16" s="210">
        <f t="shared" si="1"/>
        <v>545</v>
      </c>
      <c r="T16" s="210">
        <f t="shared" si="1"/>
        <v>175</v>
      </c>
      <c r="U16" s="210">
        <f t="shared" si="1"/>
        <v>11</v>
      </c>
      <c r="V16" s="210">
        <f t="shared" si="1"/>
        <v>0</v>
      </c>
      <c r="W16" s="210">
        <f t="shared" si="1"/>
        <v>505</v>
      </c>
      <c r="X16" s="210">
        <f t="shared" si="1"/>
        <v>0</v>
      </c>
      <c r="Y16" s="210">
        <f t="shared" si="1"/>
        <v>36</v>
      </c>
      <c r="Z16" s="210">
        <f t="shared" si="1"/>
        <v>0</v>
      </c>
      <c r="AA16" s="210">
        <f t="shared" si="1"/>
        <v>4</v>
      </c>
      <c r="AB16" s="210">
        <f t="shared" si="1"/>
        <v>287</v>
      </c>
      <c r="AC16" s="210">
        <f t="shared" si="1"/>
        <v>109</v>
      </c>
      <c r="AD16" s="210">
        <f t="shared" si="1"/>
        <v>1698</v>
      </c>
      <c r="AE16" s="210">
        <f t="shared" si="1"/>
        <v>4</v>
      </c>
      <c r="AF16" s="212">
        <f t="shared" si="1"/>
        <v>1702</v>
      </c>
    </row>
    <row r="17" spans="1:32" ht="15.75" thickBot="1">
      <c r="A17" s="214" t="s">
        <v>291</v>
      </c>
      <c r="B17" s="214" t="s">
        <v>256</v>
      </c>
      <c r="C17" s="90">
        <v>36524</v>
      </c>
      <c r="D17" s="91">
        <v>550936</v>
      </c>
      <c r="E17" s="90">
        <v>119252</v>
      </c>
      <c r="F17" s="91">
        <v>13336</v>
      </c>
      <c r="G17" s="90">
        <v>22</v>
      </c>
      <c r="H17" s="91">
        <v>117866</v>
      </c>
      <c r="I17" s="90">
        <v>1</v>
      </c>
      <c r="J17" s="91">
        <v>59996</v>
      </c>
      <c r="K17" s="90">
        <v>55</v>
      </c>
      <c r="L17" s="91">
        <v>11</v>
      </c>
      <c r="M17" s="90">
        <v>128070</v>
      </c>
      <c r="N17" s="90">
        <v>102584</v>
      </c>
      <c r="O17" s="90">
        <f t="shared" si="0"/>
        <v>1128653</v>
      </c>
      <c r="P17" s="91">
        <v>1229</v>
      </c>
      <c r="Q17" s="93">
        <v>1129882</v>
      </c>
      <c r="R17" s="210">
        <f t="shared" si="2"/>
        <v>27</v>
      </c>
      <c r="S17" s="210">
        <f t="shared" si="1"/>
        <v>543</v>
      </c>
      <c r="T17" s="210">
        <f t="shared" si="1"/>
        <v>93</v>
      </c>
      <c r="U17" s="210">
        <f t="shared" si="1"/>
        <v>14</v>
      </c>
      <c r="V17" s="210">
        <f t="shared" si="1"/>
        <v>0</v>
      </c>
      <c r="W17" s="210">
        <f t="shared" si="1"/>
        <v>207</v>
      </c>
      <c r="X17" s="210">
        <f t="shared" si="1"/>
        <v>0</v>
      </c>
      <c r="Y17" s="210">
        <f t="shared" si="1"/>
        <v>91</v>
      </c>
      <c r="Z17" s="210">
        <f t="shared" si="1"/>
        <v>1</v>
      </c>
      <c r="AA17" s="210">
        <f t="shared" si="1"/>
        <v>0</v>
      </c>
      <c r="AB17" s="210">
        <f t="shared" si="1"/>
        <v>175</v>
      </c>
      <c r="AC17" s="210">
        <f t="shared" si="1"/>
        <v>20</v>
      </c>
      <c r="AD17" s="210">
        <f t="shared" si="1"/>
        <v>1171</v>
      </c>
      <c r="AE17" s="210">
        <f t="shared" si="1"/>
        <v>7</v>
      </c>
      <c r="AF17" s="212">
        <f t="shared" si="1"/>
        <v>1178</v>
      </c>
    </row>
    <row r="18" spans="1:32" ht="15.75" thickBot="1">
      <c r="A18" s="214" t="s">
        <v>292</v>
      </c>
      <c r="B18" s="214" t="s">
        <v>256</v>
      </c>
      <c r="C18" s="90">
        <v>36554</v>
      </c>
      <c r="D18" s="91">
        <v>551359</v>
      </c>
      <c r="E18" s="90">
        <v>119402</v>
      </c>
      <c r="F18" s="91">
        <v>13331</v>
      </c>
      <c r="G18" s="90">
        <v>22</v>
      </c>
      <c r="H18" s="91">
        <v>118018</v>
      </c>
      <c r="I18" s="90">
        <v>1</v>
      </c>
      <c r="J18" s="91">
        <v>60033</v>
      </c>
      <c r="K18" s="90">
        <v>55</v>
      </c>
      <c r="L18" s="91">
        <v>11</v>
      </c>
      <c r="M18" s="90">
        <v>128251</v>
      </c>
      <c r="N18" s="90">
        <v>102615</v>
      </c>
      <c r="O18" s="90">
        <f t="shared" si="0"/>
        <v>1129652</v>
      </c>
      <c r="P18" s="91">
        <v>1226</v>
      </c>
      <c r="Q18" s="93">
        <v>1130878</v>
      </c>
      <c r="R18" s="210">
        <f t="shared" si="2"/>
        <v>30</v>
      </c>
      <c r="S18" s="210">
        <f t="shared" si="1"/>
        <v>423</v>
      </c>
      <c r="T18" s="210">
        <f t="shared" si="1"/>
        <v>150</v>
      </c>
      <c r="U18" s="210">
        <f t="shared" si="1"/>
        <v>-5</v>
      </c>
      <c r="V18" s="210">
        <f t="shared" si="1"/>
        <v>0</v>
      </c>
      <c r="W18" s="210">
        <f t="shared" si="1"/>
        <v>152</v>
      </c>
      <c r="X18" s="210">
        <f t="shared" si="1"/>
        <v>0</v>
      </c>
      <c r="Y18" s="210">
        <f t="shared" si="1"/>
        <v>37</v>
      </c>
      <c r="Z18" s="210">
        <f t="shared" si="1"/>
        <v>0</v>
      </c>
      <c r="AA18" s="210">
        <f t="shared" si="1"/>
        <v>0</v>
      </c>
      <c r="AB18" s="210">
        <f t="shared" si="1"/>
        <v>181</v>
      </c>
      <c r="AC18" s="210">
        <f t="shared" si="1"/>
        <v>31</v>
      </c>
      <c r="AD18" s="210">
        <f t="shared" si="1"/>
        <v>999</v>
      </c>
      <c r="AE18" s="210">
        <f t="shared" si="1"/>
        <v>-3</v>
      </c>
      <c r="AF18" s="212">
        <f t="shared" si="1"/>
        <v>996</v>
      </c>
    </row>
    <row r="19" spans="1:32" ht="15.75" thickBot="1">
      <c r="A19" s="214" t="s">
        <v>293</v>
      </c>
      <c r="B19" s="214" t="s">
        <v>256</v>
      </c>
      <c r="C19" s="90">
        <v>36557</v>
      </c>
      <c r="D19" s="91">
        <v>551355</v>
      </c>
      <c r="E19" s="90">
        <v>119449</v>
      </c>
      <c r="F19" s="91">
        <v>13330</v>
      </c>
      <c r="G19" s="90">
        <v>22</v>
      </c>
      <c r="H19" s="91">
        <v>118129</v>
      </c>
      <c r="I19" s="90">
        <v>1</v>
      </c>
      <c r="J19" s="91">
        <v>60034</v>
      </c>
      <c r="K19" s="90">
        <v>54</v>
      </c>
      <c r="L19" s="91">
        <v>11</v>
      </c>
      <c r="M19" s="90">
        <v>128258</v>
      </c>
      <c r="N19" s="90">
        <v>102695</v>
      </c>
      <c r="O19" s="90">
        <f t="shared" si="0"/>
        <v>1129895</v>
      </c>
      <c r="P19" s="91">
        <v>1230</v>
      </c>
      <c r="Q19" s="93">
        <v>1131125</v>
      </c>
      <c r="R19" s="210">
        <f t="shared" si="2"/>
        <v>3</v>
      </c>
      <c r="S19" s="210">
        <f t="shared" si="1"/>
        <v>-4</v>
      </c>
      <c r="T19" s="210">
        <f t="shared" si="1"/>
        <v>47</v>
      </c>
      <c r="U19" s="210">
        <f t="shared" si="1"/>
        <v>-1</v>
      </c>
      <c r="V19" s="210">
        <f t="shared" si="1"/>
        <v>0</v>
      </c>
      <c r="W19" s="210">
        <f t="shared" si="1"/>
        <v>111</v>
      </c>
      <c r="X19" s="210">
        <f t="shared" si="1"/>
        <v>0</v>
      </c>
      <c r="Y19" s="210">
        <f t="shared" si="1"/>
        <v>1</v>
      </c>
      <c r="Z19" s="210">
        <f t="shared" si="1"/>
        <v>-1</v>
      </c>
      <c r="AA19" s="210">
        <f t="shared" si="1"/>
        <v>0</v>
      </c>
      <c r="AB19" s="210">
        <f t="shared" si="1"/>
        <v>7</v>
      </c>
      <c r="AC19" s="210">
        <f t="shared" si="1"/>
        <v>80</v>
      </c>
      <c r="AD19" s="210">
        <f t="shared" si="1"/>
        <v>243</v>
      </c>
      <c r="AE19" s="210">
        <f t="shared" si="1"/>
        <v>4</v>
      </c>
      <c r="AF19" s="212">
        <f t="shared" si="1"/>
        <v>247</v>
      </c>
    </row>
    <row r="20" spans="1:32" ht="15.75" thickBot="1">
      <c r="A20" s="214" t="s">
        <v>294</v>
      </c>
      <c r="B20" s="214" t="s">
        <v>256</v>
      </c>
      <c r="C20" s="90">
        <v>36544</v>
      </c>
      <c r="D20" s="91">
        <v>551615</v>
      </c>
      <c r="E20" s="90">
        <v>119493</v>
      </c>
      <c r="F20" s="91">
        <v>13345</v>
      </c>
      <c r="G20" s="90">
        <v>23</v>
      </c>
      <c r="H20" s="91">
        <v>118241</v>
      </c>
      <c r="I20" s="90">
        <v>1</v>
      </c>
      <c r="J20" s="91">
        <v>60087</v>
      </c>
      <c r="K20" s="90">
        <v>55</v>
      </c>
      <c r="L20" s="91">
        <v>20</v>
      </c>
      <c r="M20" s="90">
        <v>128536</v>
      </c>
      <c r="N20" s="90">
        <v>102834</v>
      </c>
      <c r="O20" s="90">
        <f t="shared" si="0"/>
        <v>1130794</v>
      </c>
      <c r="P20" s="91">
        <v>1232</v>
      </c>
      <c r="Q20" s="93">
        <v>1132026</v>
      </c>
      <c r="R20" s="210">
        <f t="shared" si="2"/>
        <v>-13</v>
      </c>
      <c r="S20" s="210">
        <f t="shared" si="1"/>
        <v>260</v>
      </c>
      <c r="T20" s="210">
        <f t="shared" si="1"/>
        <v>44</v>
      </c>
      <c r="U20" s="210">
        <f t="shared" si="1"/>
        <v>15</v>
      </c>
      <c r="V20" s="210">
        <f t="shared" si="1"/>
        <v>1</v>
      </c>
      <c r="W20" s="210">
        <f t="shared" si="1"/>
        <v>112</v>
      </c>
      <c r="X20" s="210">
        <f t="shared" si="1"/>
        <v>0</v>
      </c>
      <c r="Y20" s="210">
        <f t="shared" si="1"/>
        <v>53</v>
      </c>
      <c r="Z20" s="210">
        <f t="shared" si="1"/>
        <v>1</v>
      </c>
      <c r="AA20" s="210">
        <f t="shared" si="1"/>
        <v>9</v>
      </c>
      <c r="AB20" s="210">
        <f t="shared" si="1"/>
        <v>278</v>
      </c>
      <c r="AC20" s="210">
        <f t="shared" si="1"/>
        <v>139</v>
      </c>
      <c r="AD20" s="210">
        <f t="shared" si="1"/>
        <v>899</v>
      </c>
      <c r="AE20" s="210">
        <f t="shared" si="1"/>
        <v>2</v>
      </c>
      <c r="AF20" s="212">
        <f t="shared" si="1"/>
        <v>901</v>
      </c>
    </row>
    <row r="21" spans="1:32" ht="15.75" thickBot="1">
      <c r="A21" s="214" t="s">
        <v>295</v>
      </c>
      <c r="B21" s="214" t="s">
        <v>256</v>
      </c>
      <c r="C21" s="90">
        <v>36584</v>
      </c>
      <c r="D21" s="91">
        <v>552128</v>
      </c>
      <c r="E21" s="90">
        <v>119605</v>
      </c>
      <c r="F21" s="91">
        <v>13434</v>
      </c>
      <c r="G21" s="90">
        <v>22</v>
      </c>
      <c r="H21" s="91">
        <v>118438</v>
      </c>
      <c r="I21" s="90">
        <v>1</v>
      </c>
      <c r="J21" s="91">
        <v>60101</v>
      </c>
      <c r="K21" s="90">
        <v>56</v>
      </c>
      <c r="L21" s="91">
        <v>22</v>
      </c>
      <c r="M21" s="90">
        <v>128728</v>
      </c>
      <c r="N21" s="90">
        <v>102898</v>
      </c>
      <c r="O21" s="90">
        <f t="shared" si="0"/>
        <v>1132017</v>
      </c>
      <c r="P21" s="91">
        <v>1232</v>
      </c>
      <c r="Q21" s="93">
        <v>1133249</v>
      </c>
      <c r="R21" s="210">
        <f t="shared" si="2"/>
        <v>40</v>
      </c>
      <c r="S21" s="210">
        <f t="shared" si="2"/>
        <v>513</v>
      </c>
      <c r="T21" s="210">
        <f t="shared" si="2"/>
        <v>112</v>
      </c>
      <c r="U21" s="210">
        <f t="shared" si="2"/>
        <v>89</v>
      </c>
      <c r="V21" s="210">
        <f t="shared" si="2"/>
        <v>-1</v>
      </c>
      <c r="W21" s="210">
        <f t="shared" si="2"/>
        <v>197</v>
      </c>
      <c r="X21" s="210">
        <f t="shared" si="2"/>
        <v>0</v>
      </c>
      <c r="Y21" s="210">
        <f t="shared" si="2"/>
        <v>14</v>
      </c>
      <c r="Z21" s="210">
        <f t="shared" si="2"/>
        <v>1</v>
      </c>
      <c r="AA21" s="210">
        <f t="shared" si="2"/>
        <v>2</v>
      </c>
      <c r="AB21" s="210">
        <f t="shared" si="2"/>
        <v>192</v>
      </c>
      <c r="AC21" s="210">
        <f t="shared" si="2"/>
        <v>64</v>
      </c>
      <c r="AD21" s="210">
        <f t="shared" si="2"/>
        <v>1223</v>
      </c>
      <c r="AE21" s="210">
        <f t="shared" si="2"/>
        <v>0</v>
      </c>
      <c r="AF21" s="212">
        <f t="shared" si="2"/>
        <v>1223</v>
      </c>
    </row>
    <row r="22" spans="1:32" ht="15.75" thickBot="1">
      <c r="A22" s="214" t="s">
        <v>296</v>
      </c>
      <c r="B22" s="214" t="s">
        <v>256</v>
      </c>
      <c r="C22" s="90">
        <v>36599</v>
      </c>
      <c r="D22" s="91">
        <v>552290</v>
      </c>
      <c r="E22" s="90">
        <v>119635</v>
      </c>
      <c r="F22" s="91">
        <v>13481</v>
      </c>
      <c r="G22" s="90">
        <v>23</v>
      </c>
      <c r="H22" s="91">
        <v>118513</v>
      </c>
      <c r="I22" s="90">
        <v>1</v>
      </c>
      <c r="J22" s="91">
        <v>60150</v>
      </c>
      <c r="K22" s="90">
        <v>56</v>
      </c>
      <c r="L22" s="91">
        <v>25</v>
      </c>
      <c r="M22" s="90">
        <v>128888</v>
      </c>
      <c r="N22" s="90">
        <v>102957</v>
      </c>
      <c r="O22" s="90">
        <f t="shared" si="0"/>
        <v>1132618</v>
      </c>
      <c r="P22" s="91">
        <v>1226</v>
      </c>
      <c r="Q22" s="93">
        <v>1133844</v>
      </c>
      <c r="R22" s="210">
        <f t="shared" si="2"/>
        <v>15</v>
      </c>
      <c r="S22" s="210">
        <f t="shared" si="2"/>
        <v>162</v>
      </c>
      <c r="T22" s="210">
        <f t="shared" si="2"/>
        <v>30</v>
      </c>
      <c r="U22" s="210">
        <f t="shared" si="2"/>
        <v>47</v>
      </c>
      <c r="V22" s="210">
        <f t="shared" si="2"/>
        <v>1</v>
      </c>
      <c r="W22" s="210">
        <f t="shared" si="2"/>
        <v>75</v>
      </c>
      <c r="X22" s="210">
        <f t="shared" si="2"/>
        <v>0</v>
      </c>
      <c r="Y22" s="210">
        <f t="shared" si="2"/>
        <v>49</v>
      </c>
      <c r="Z22" s="210">
        <f t="shared" si="2"/>
        <v>0</v>
      </c>
      <c r="AA22" s="210">
        <f t="shared" si="2"/>
        <v>3</v>
      </c>
      <c r="AB22" s="210">
        <f t="shared" si="2"/>
        <v>160</v>
      </c>
      <c r="AC22" s="210">
        <f t="shared" si="2"/>
        <v>59</v>
      </c>
      <c r="AD22" s="210">
        <f t="shared" si="2"/>
        <v>601</v>
      </c>
      <c r="AE22" s="210">
        <f t="shared" si="2"/>
        <v>-6</v>
      </c>
      <c r="AF22" s="212">
        <f t="shared" si="2"/>
        <v>595</v>
      </c>
    </row>
    <row r="23" spans="1:32" ht="15.75" thickBot="1">
      <c r="A23" s="214" t="s">
        <v>297</v>
      </c>
      <c r="B23" s="214" t="s">
        <v>256</v>
      </c>
      <c r="C23" s="90">
        <v>36601</v>
      </c>
      <c r="D23" s="91">
        <v>552426</v>
      </c>
      <c r="E23" s="90">
        <v>119689</v>
      </c>
      <c r="F23" s="91">
        <v>13509</v>
      </c>
      <c r="G23" s="90">
        <v>23</v>
      </c>
      <c r="H23" s="91">
        <v>118715</v>
      </c>
      <c r="I23" s="90">
        <v>1</v>
      </c>
      <c r="J23" s="91">
        <v>60210</v>
      </c>
      <c r="K23" s="90">
        <v>56</v>
      </c>
      <c r="L23" s="91">
        <v>25</v>
      </c>
      <c r="M23" s="90">
        <v>129007</v>
      </c>
      <c r="N23" s="90">
        <v>103017</v>
      </c>
      <c r="O23" s="90">
        <f t="shared" si="0"/>
        <v>1133279</v>
      </c>
      <c r="P23" s="91">
        <v>1233</v>
      </c>
      <c r="Q23" s="93">
        <v>1134512</v>
      </c>
      <c r="R23" s="210">
        <f t="shared" si="2"/>
        <v>2</v>
      </c>
      <c r="S23" s="210">
        <f t="shared" si="2"/>
        <v>136</v>
      </c>
      <c r="T23" s="210">
        <f t="shared" si="2"/>
        <v>54</v>
      </c>
      <c r="U23" s="210">
        <f t="shared" si="2"/>
        <v>28</v>
      </c>
      <c r="V23" s="210">
        <f t="shared" si="2"/>
        <v>0</v>
      </c>
      <c r="W23" s="210">
        <f t="shared" si="2"/>
        <v>202</v>
      </c>
      <c r="X23" s="210">
        <f t="shared" si="2"/>
        <v>0</v>
      </c>
      <c r="Y23" s="210">
        <f t="shared" si="2"/>
        <v>60</v>
      </c>
      <c r="Z23" s="210">
        <f t="shared" si="2"/>
        <v>0</v>
      </c>
      <c r="AA23" s="210">
        <f t="shared" si="2"/>
        <v>0</v>
      </c>
      <c r="AB23" s="210">
        <f t="shared" si="2"/>
        <v>119</v>
      </c>
      <c r="AC23" s="210">
        <f t="shared" si="2"/>
        <v>60</v>
      </c>
      <c r="AD23" s="210">
        <f t="shared" si="2"/>
        <v>661</v>
      </c>
      <c r="AE23" s="210">
        <f t="shared" si="2"/>
        <v>7</v>
      </c>
      <c r="AF23" s="212">
        <f t="shared" si="2"/>
        <v>668</v>
      </c>
    </row>
    <row r="24" spans="1:32" ht="15.75" thickBot="1">
      <c r="A24" s="214" t="s">
        <v>298</v>
      </c>
      <c r="B24" s="214" t="s">
        <v>256</v>
      </c>
      <c r="C24" s="90">
        <v>36615</v>
      </c>
      <c r="D24" s="91">
        <v>552919</v>
      </c>
      <c r="E24" s="90">
        <v>119824</v>
      </c>
      <c r="F24" s="91">
        <v>13574</v>
      </c>
      <c r="G24" s="90">
        <v>24</v>
      </c>
      <c r="H24" s="91">
        <v>119035</v>
      </c>
      <c r="I24" s="90">
        <v>1</v>
      </c>
      <c r="J24" s="91">
        <v>60233</v>
      </c>
      <c r="K24" s="90">
        <v>56</v>
      </c>
      <c r="L24" s="91">
        <v>25</v>
      </c>
      <c r="M24" s="90">
        <v>129222</v>
      </c>
      <c r="N24" s="90">
        <v>103164</v>
      </c>
      <c r="O24" s="90">
        <f t="shared" si="0"/>
        <v>1134692</v>
      </c>
      <c r="P24" s="91">
        <v>1240</v>
      </c>
      <c r="Q24" s="93">
        <v>1135932</v>
      </c>
      <c r="R24" s="210">
        <f t="shared" si="2"/>
        <v>14</v>
      </c>
      <c r="S24" s="210">
        <f t="shared" si="2"/>
        <v>493</v>
      </c>
      <c r="T24" s="210">
        <f t="shared" si="2"/>
        <v>135</v>
      </c>
      <c r="U24" s="210">
        <f t="shared" si="2"/>
        <v>65</v>
      </c>
      <c r="V24" s="210">
        <f t="shared" si="2"/>
        <v>1</v>
      </c>
      <c r="W24" s="210">
        <f t="shared" si="2"/>
        <v>320</v>
      </c>
      <c r="X24" s="210">
        <f t="shared" si="2"/>
        <v>0</v>
      </c>
      <c r="Y24" s="210">
        <f t="shared" si="2"/>
        <v>23</v>
      </c>
      <c r="Z24" s="210">
        <f t="shared" si="2"/>
        <v>0</v>
      </c>
      <c r="AA24" s="210">
        <f t="shared" si="2"/>
        <v>0</v>
      </c>
      <c r="AB24" s="210">
        <f t="shared" si="2"/>
        <v>215</v>
      </c>
      <c r="AC24" s="210">
        <f t="shared" si="2"/>
        <v>147</v>
      </c>
      <c r="AD24" s="210">
        <f t="shared" si="2"/>
        <v>1413</v>
      </c>
      <c r="AE24" s="210">
        <f t="shared" si="2"/>
        <v>7</v>
      </c>
      <c r="AF24" s="212">
        <f t="shared" si="2"/>
        <v>1420</v>
      </c>
    </row>
    <row r="25" spans="1:32" ht="15.75" thickBot="1">
      <c r="A25" s="214" t="s">
        <v>299</v>
      </c>
      <c r="B25" s="214" t="s">
        <v>256</v>
      </c>
      <c r="C25" s="90">
        <v>36656</v>
      </c>
      <c r="D25" s="91">
        <v>553551</v>
      </c>
      <c r="E25" s="90">
        <v>119988</v>
      </c>
      <c r="F25" s="91">
        <v>13585</v>
      </c>
      <c r="G25" s="90">
        <v>24</v>
      </c>
      <c r="H25" s="91">
        <v>119192</v>
      </c>
      <c r="I25" s="90">
        <v>1</v>
      </c>
      <c r="J25" s="91">
        <v>60303</v>
      </c>
      <c r="K25" s="90">
        <v>56</v>
      </c>
      <c r="L25" s="91">
        <v>28</v>
      </c>
      <c r="M25" s="90">
        <v>129408</v>
      </c>
      <c r="N25" s="90">
        <v>103326</v>
      </c>
      <c r="O25" s="90">
        <f t="shared" si="0"/>
        <v>1136118</v>
      </c>
      <c r="P25" s="91">
        <v>1240</v>
      </c>
      <c r="Q25" s="93">
        <v>1137358</v>
      </c>
      <c r="R25" s="210">
        <f t="shared" si="2"/>
        <v>41</v>
      </c>
      <c r="S25" s="210">
        <f t="shared" si="2"/>
        <v>632</v>
      </c>
      <c r="T25" s="210">
        <f t="shared" si="2"/>
        <v>164</v>
      </c>
      <c r="U25" s="210">
        <f t="shared" si="2"/>
        <v>11</v>
      </c>
      <c r="V25" s="210">
        <f t="shared" si="2"/>
        <v>0</v>
      </c>
      <c r="W25" s="210">
        <f t="shared" si="2"/>
        <v>157</v>
      </c>
      <c r="X25" s="210">
        <f t="shared" si="2"/>
        <v>0</v>
      </c>
      <c r="Y25" s="210">
        <f t="shared" si="2"/>
        <v>70</v>
      </c>
      <c r="Z25" s="210">
        <f t="shared" si="2"/>
        <v>0</v>
      </c>
      <c r="AA25" s="210">
        <f t="shared" si="2"/>
        <v>3</v>
      </c>
      <c r="AB25" s="210">
        <f t="shared" si="2"/>
        <v>186</v>
      </c>
      <c r="AC25" s="210">
        <f t="shared" si="2"/>
        <v>162</v>
      </c>
      <c r="AD25" s="210">
        <f t="shared" si="2"/>
        <v>1426</v>
      </c>
      <c r="AE25" s="210">
        <f t="shared" si="2"/>
        <v>0</v>
      </c>
      <c r="AF25" s="212">
        <f t="shared" si="2"/>
        <v>1426</v>
      </c>
    </row>
    <row r="26" spans="1:32" ht="15.75" thickBot="1">
      <c r="A26" s="214" t="s">
        <v>300</v>
      </c>
      <c r="B26" s="214" t="s">
        <v>256</v>
      </c>
      <c r="C26" s="90">
        <v>36688</v>
      </c>
      <c r="D26" s="91">
        <v>554235</v>
      </c>
      <c r="E26" s="90">
        <v>120126</v>
      </c>
      <c r="F26" s="91">
        <v>13589</v>
      </c>
      <c r="G26" s="90">
        <v>24</v>
      </c>
      <c r="H26" s="91">
        <v>119512</v>
      </c>
      <c r="I26" s="90">
        <v>1</v>
      </c>
      <c r="J26" s="91">
        <v>60378</v>
      </c>
      <c r="K26" s="90">
        <v>57</v>
      </c>
      <c r="L26" s="91">
        <v>28</v>
      </c>
      <c r="M26" s="90">
        <v>129554</v>
      </c>
      <c r="N26" s="90">
        <v>103575</v>
      </c>
      <c r="O26" s="90">
        <f t="shared" si="0"/>
        <v>1137767</v>
      </c>
      <c r="P26" s="91">
        <v>1241</v>
      </c>
      <c r="Q26" s="93">
        <v>1139008</v>
      </c>
      <c r="R26" s="210">
        <f t="shared" si="2"/>
        <v>32</v>
      </c>
      <c r="S26" s="210">
        <f t="shared" si="2"/>
        <v>684</v>
      </c>
      <c r="T26" s="210">
        <f t="shared" si="2"/>
        <v>138</v>
      </c>
      <c r="U26" s="210">
        <f t="shared" si="2"/>
        <v>4</v>
      </c>
      <c r="V26" s="210">
        <f t="shared" si="2"/>
        <v>0</v>
      </c>
      <c r="W26" s="210">
        <f t="shared" si="2"/>
        <v>320</v>
      </c>
      <c r="X26" s="210">
        <f t="shared" si="2"/>
        <v>0</v>
      </c>
      <c r="Y26" s="210">
        <f t="shared" si="2"/>
        <v>75</v>
      </c>
      <c r="Z26" s="210">
        <f t="shared" si="2"/>
        <v>1</v>
      </c>
      <c r="AA26" s="210">
        <f t="shared" si="2"/>
        <v>0</v>
      </c>
      <c r="AB26" s="210">
        <f t="shared" si="2"/>
        <v>146</v>
      </c>
      <c r="AC26" s="210">
        <f t="shared" si="2"/>
        <v>249</v>
      </c>
      <c r="AD26" s="210">
        <f t="shared" si="2"/>
        <v>1649</v>
      </c>
      <c r="AE26" s="210">
        <f t="shared" si="2"/>
        <v>1</v>
      </c>
      <c r="AF26" s="212">
        <f t="shared" si="2"/>
        <v>1650</v>
      </c>
    </row>
    <row r="27" spans="1:32" ht="15.75" thickBot="1">
      <c r="A27" s="214" t="s">
        <v>301</v>
      </c>
      <c r="B27" s="214" t="s">
        <v>256</v>
      </c>
      <c r="C27" s="90">
        <v>36736</v>
      </c>
      <c r="D27" s="91">
        <v>554895</v>
      </c>
      <c r="E27" s="90">
        <v>120316</v>
      </c>
      <c r="F27" s="91">
        <v>13568</v>
      </c>
      <c r="G27" s="90">
        <v>24</v>
      </c>
      <c r="H27" s="91">
        <v>119728</v>
      </c>
      <c r="I27" s="90">
        <v>1</v>
      </c>
      <c r="J27" s="91">
        <v>60445</v>
      </c>
      <c r="K27" s="90">
        <v>57</v>
      </c>
      <c r="L27" s="91">
        <v>28</v>
      </c>
      <c r="M27" s="90">
        <v>129950</v>
      </c>
      <c r="N27" s="90">
        <v>103677</v>
      </c>
      <c r="O27" s="90">
        <f t="shared" si="0"/>
        <v>1139425</v>
      </c>
      <c r="P27" s="91">
        <v>1240</v>
      </c>
      <c r="Q27" s="93">
        <v>1140665</v>
      </c>
      <c r="R27" s="210">
        <f t="shared" si="2"/>
        <v>48</v>
      </c>
      <c r="S27" s="210">
        <f t="shared" si="2"/>
        <v>660</v>
      </c>
      <c r="T27" s="210">
        <f t="shared" si="2"/>
        <v>190</v>
      </c>
      <c r="U27" s="210">
        <f t="shared" si="2"/>
        <v>-21</v>
      </c>
      <c r="V27" s="210">
        <f t="shared" si="2"/>
        <v>0</v>
      </c>
      <c r="W27" s="210">
        <f t="shared" si="2"/>
        <v>216</v>
      </c>
      <c r="X27" s="210">
        <f t="shared" si="2"/>
        <v>0</v>
      </c>
      <c r="Y27" s="210">
        <f t="shared" si="2"/>
        <v>67</v>
      </c>
      <c r="Z27" s="210">
        <f t="shared" si="2"/>
        <v>0</v>
      </c>
      <c r="AA27" s="210">
        <f t="shared" si="2"/>
        <v>0</v>
      </c>
      <c r="AB27" s="210">
        <f t="shared" si="2"/>
        <v>396</v>
      </c>
      <c r="AC27" s="210">
        <f t="shared" si="2"/>
        <v>102</v>
      </c>
      <c r="AD27" s="210">
        <f t="shared" si="2"/>
        <v>1658</v>
      </c>
      <c r="AE27" s="210">
        <f t="shared" si="2"/>
        <v>-1</v>
      </c>
      <c r="AF27" s="212">
        <f t="shared" si="2"/>
        <v>1657</v>
      </c>
    </row>
    <row r="28" spans="1:32" ht="15.75" thickBot="1">
      <c r="A28" s="214" t="s">
        <v>302</v>
      </c>
      <c r="B28" s="214" t="s">
        <v>256</v>
      </c>
      <c r="C28" s="90">
        <v>36798</v>
      </c>
      <c r="D28" s="91">
        <v>555407</v>
      </c>
      <c r="E28" s="90">
        <v>120454</v>
      </c>
      <c r="F28" s="91">
        <v>13595</v>
      </c>
      <c r="G28" s="90">
        <v>24</v>
      </c>
      <c r="H28" s="91">
        <v>120022</v>
      </c>
      <c r="I28" s="90">
        <v>1</v>
      </c>
      <c r="J28" s="91">
        <v>60579</v>
      </c>
      <c r="K28" s="90">
        <v>56</v>
      </c>
      <c r="L28" s="91">
        <v>30</v>
      </c>
      <c r="M28" s="90">
        <v>130069</v>
      </c>
      <c r="N28" s="90">
        <v>103778</v>
      </c>
      <c r="O28" s="90">
        <f t="shared" si="0"/>
        <v>1140813</v>
      </c>
      <c r="P28" s="91">
        <v>1240</v>
      </c>
      <c r="Q28" s="93">
        <v>1142053</v>
      </c>
      <c r="R28" s="210">
        <f t="shared" si="2"/>
        <v>62</v>
      </c>
      <c r="S28" s="210">
        <f t="shared" si="2"/>
        <v>512</v>
      </c>
      <c r="T28" s="210">
        <f t="shared" si="2"/>
        <v>138</v>
      </c>
      <c r="U28" s="210">
        <f t="shared" si="2"/>
        <v>27</v>
      </c>
      <c r="V28" s="210">
        <f t="shared" si="2"/>
        <v>0</v>
      </c>
      <c r="W28" s="210">
        <f t="shared" si="2"/>
        <v>294</v>
      </c>
      <c r="X28" s="210">
        <f t="shared" si="2"/>
        <v>0</v>
      </c>
      <c r="Y28" s="210">
        <f t="shared" si="2"/>
        <v>134</v>
      </c>
      <c r="Z28" s="210">
        <f t="shared" si="2"/>
        <v>-1</v>
      </c>
      <c r="AA28" s="210">
        <f t="shared" si="2"/>
        <v>2</v>
      </c>
      <c r="AB28" s="210">
        <f t="shared" si="2"/>
        <v>119</v>
      </c>
      <c r="AC28" s="210">
        <f t="shared" si="2"/>
        <v>101</v>
      </c>
      <c r="AD28" s="210">
        <f t="shared" si="2"/>
        <v>1388</v>
      </c>
      <c r="AE28" s="210">
        <f t="shared" si="2"/>
        <v>0</v>
      </c>
      <c r="AF28" s="212">
        <f t="shared" si="2"/>
        <v>1388</v>
      </c>
    </row>
    <row r="29" spans="1:32" ht="15.75" thickBot="1">
      <c r="A29" s="214" t="s">
        <v>303</v>
      </c>
      <c r="B29" s="214" t="s">
        <v>256</v>
      </c>
      <c r="C29" s="90">
        <v>36813</v>
      </c>
      <c r="D29" s="91">
        <v>556106</v>
      </c>
      <c r="E29" s="90">
        <v>120503</v>
      </c>
      <c r="F29" s="91">
        <v>13593</v>
      </c>
      <c r="G29" s="90">
        <v>23</v>
      </c>
      <c r="H29" s="91">
        <v>120172</v>
      </c>
      <c r="I29" s="90">
        <v>1</v>
      </c>
      <c r="J29" s="91">
        <v>60613</v>
      </c>
      <c r="K29" s="90">
        <v>57</v>
      </c>
      <c r="L29" s="91">
        <v>33</v>
      </c>
      <c r="M29" s="90">
        <v>130179</v>
      </c>
      <c r="N29" s="90">
        <v>103811</v>
      </c>
      <c r="O29" s="90">
        <f t="shared" si="0"/>
        <v>1141904</v>
      </c>
      <c r="P29" s="91">
        <v>1238</v>
      </c>
      <c r="Q29" s="93">
        <v>1143142</v>
      </c>
      <c r="R29" s="210">
        <f t="shared" si="2"/>
        <v>15</v>
      </c>
      <c r="S29" s="210">
        <f t="shared" si="2"/>
        <v>699</v>
      </c>
      <c r="T29" s="210">
        <f t="shared" si="2"/>
        <v>49</v>
      </c>
      <c r="U29" s="210">
        <f t="shared" si="2"/>
        <v>-2</v>
      </c>
      <c r="V29" s="210">
        <f t="shared" si="2"/>
        <v>-1</v>
      </c>
      <c r="W29" s="210">
        <f t="shared" si="2"/>
        <v>150</v>
      </c>
      <c r="X29" s="210">
        <f t="shared" si="2"/>
        <v>0</v>
      </c>
      <c r="Y29" s="210">
        <f t="shared" si="2"/>
        <v>34</v>
      </c>
      <c r="Z29" s="210">
        <f t="shared" si="2"/>
        <v>1</v>
      </c>
      <c r="AA29" s="210">
        <f t="shared" si="2"/>
        <v>3</v>
      </c>
      <c r="AB29" s="210">
        <f t="shared" si="2"/>
        <v>110</v>
      </c>
      <c r="AC29" s="210">
        <f t="shared" si="2"/>
        <v>33</v>
      </c>
      <c r="AD29" s="210">
        <f t="shared" si="2"/>
        <v>1091</v>
      </c>
      <c r="AE29" s="210">
        <f t="shared" si="2"/>
        <v>-2</v>
      </c>
      <c r="AF29" s="212">
        <f t="shared" si="2"/>
        <v>1089</v>
      </c>
    </row>
    <row r="30" spans="1:32" ht="15.75" thickBot="1">
      <c r="A30" s="214" t="s">
        <v>304</v>
      </c>
      <c r="B30" s="214" t="s">
        <v>256</v>
      </c>
      <c r="C30" s="90">
        <v>36853</v>
      </c>
      <c r="D30" s="91">
        <v>556811</v>
      </c>
      <c r="E30" s="90">
        <v>120640</v>
      </c>
      <c r="F30" s="91">
        <v>13611</v>
      </c>
      <c r="G30" s="90">
        <v>24</v>
      </c>
      <c r="H30" s="91">
        <v>120408</v>
      </c>
      <c r="I30" s="90">
        <v>1</v>
      </c>
      <c r="J30" s="91">
        <v>60654</v>
      </c>
      <c r="K30" s="90">
        <v>57</v>
      </c>
      <c r="L30" s="91">
        <v>33</v>
      </c>
      <c r="M30" s="90">
        <v>130281</v>
      </c>
      <c r="N30" s="90">
        <v>103950</v>
      </c>
      <c r="O30" s="90">
        <f t="shared" si="0"/>
        <v>1143323</v>
      </c>
      <c r="P30" s="91">
        <v>1244</v>
      </c>
      <c r="Q30" s="93">
        <v>1144567</v>
      </c>
      <c r="R30" s="210">
        <f t="shared" si="2"/>
        <v>40</v>
      </c>
      <c r="S30" s="210">
        <f t="shared" si="2"/>
        <v>705</v>
      </c>
      <c r="T30" s="210">
        <f t="shared" si="2"/>
        <v>137</v>
      </c>
      <c r="U30" s="210">
        <f t="shared" si="2"/>
        <v>18</v>
      </c>
      <c r="V30" s="210">
        <f t="shared" si="2"/>
        <v>1</v>
      </c>
      <c r="W30" s="210">
        <f t="shared" si="2"/>
        <v>236</v>
      </c>
      <c r="X30" s="210">
        <f t="shared" si="2"/>
        <v>0</v>
      </c>
      <c r="Y30" s="210">
        <f t="shared" si="2"/>
        <v>41</v>
      </c>
      <c r="Z30" s="210">
        <f t="shared" si="2"/>
        <v>0</v>
      </c>
      <c r="AA30" s="210">
        <f t="shared" si="2"/>
        <v>0</v>
      </c>
      <c r="AB30" s="210">
        <f t="shared" si="2"/>
        <v>102</v>
      </c>
      <c r="AC30" s="210">
        <f t="shared" si="2"/>
        <v>139</v>
      </c>
      <c r="AD30" s="210">
        <f t="shared" si="2"/>
        <v>1419</v>
      </c>
      <c r="AE30" s="210">
        <f t="shared" si="2"/>
        <v>6</v>
      </c>
      <c r="AF30" s="212">
        <f t="shared" si="2"/>
        <v>1425</v>
      </c>
    </row>
    <row r="31" spans="1:32" ht="15.75" thickBot="1">
      <c r="A31" s="214" t="s">
        <v>305</v>
      </c>
      <c r="B31" s="214" t="s">
        <v>256</v>
      </c>
      <c r="C31" s="90">
        <v>36852</v>
      </c>
      <c r="D31" s="91">
        <v>557296</v>
      </c>
      <c r="E31" s="90">
        <v>120655</v>
      </c>
      <c r="F31" s="91">
        <v>13633</v>
      </c>
      <c r="G31" s="90">
        <v>23</v>
      </c>
      <c r="H31" s="91">
        <v>120568</v>
      </c>
      <c r="I31" s="90">
        <v>1</v>
      </c>
      <c r="J31" s="91">
        <v>60718</v>
      </c>
      <c r="K31" s="90">
        <v>57</v>
      </c>
      <c r="L31" s="91">
        <v>33</v>
      </c>
      <c r="M31" s="90">
        <v>130377</v>
      </c>
      <c r="N31" s="90">
        <v>104056</v>
      </c>
      <c r="O31" s="90">
        <f t="shared" si="0"/>
        <v>1144269</v>
      </c>
      <c r="P31" s="91">
        <v>1231</v>
      </c>
      <c r="Q31" s="93">
        <v>1145500</v>
      </c>
      <c r="R31" s="210">
        <f t="shared" si="2"/>
        <v>-1</v>
      </c>
      <c r="S31" s="210">
        <f t="shared" si="2"/>
        <v>485</v>
      </c>
      <c r="T31" s="210">
        <f t="shared" si="2"/>
        <v>15</v>
      </c>
      <c r="U31" s="210">
        <f t="shared" si="2"/>
        <v>22</v>
      </c>
      <c r="V31" s="210">
        <f t="shared" si="2"/>
        <v>-1</v>
      </c>
      <c r="W31" s="210">
        <f t="shared" si="2"/>
        <v>160</v>
      </c>
      <c r="X31" s="210">
        <f t="shared" si="2"/>
        <v>0</v>
      </c>
      <c r="Y31" s="210">
        <f t="shared" si="2"/>
        <v>64</v>
      </c>
      <c r="Z31" s="210">
        <f t="shared" si="2"/>
        <v>0</v>
      </c>
      <c r="AA31" s="210">
        <f t="shared" si="2"/>
        <v>0</v>
      </c>
      <c r="AB31" s="210">
        <f t="shared" si="2"/>
        <v>96</v>
      </c>
      <c r="AC31" s="210">
        <f t="shared" si="2"/>
        <v>106</v>
      </c>
      <c r="AD31" s="210">
        <f t="shared" si="2"/>
        <v>946</v>
      </c>
      <c r="AE31" s="210">
        <f t="shared" si="2"/>
        <v>-13</v>
      </c>
      <c r="AF31" s="212">
        <f t="shared" si="2"/>
        <v>933</v>
      </c>
    </row>
    <row r="32" spans="1:32" ht="15.75" thickBot="1">
      <c r="A32" s="214" t="s">
        <v>306</v>
      </c>
      <c r="B32" s="214" t="s">
        <v>256</v>
      </c>
      <c r="C32" s="90">
        <v>36892</v>
      </c>
      <c r="D32" s="91">
        <v>557555</v>
      </c>
      <c r="E32" s="90">
        <v>120750</v>
      </c>
      <c r="F32" s="91">
        <v>13672</v>
      </c>
      <c r="G32" s="90">
        <v>24</v>
      </c>
      <c r="H32" s="91">
        <v>120649</v>
      </c>
      <c r="I32" s="90">
        <v>1</v>
      </c>
      <c r="J32" s="91">
        <v>60778</v>
      </c>
      <c r="K32" s="90">
        <v>57</v>
      </c>
      <c r="L32" s="91">
        <v>33</v>
      </c>
      <c r="M32" s="90">
        <v>130537</v>
      </c>
      <c r="N32" s="90">
        <v>104177</v>
      </c>
      <c r="O32" s="90">
        <f t="shared" si="0"/>
        <v>1145125</v>
      </c>
      <c r="P32" s="91">
        <v>1235</v>
      </c>
      <c r="Q32" s="93">
        <v>1146360</v>
      </c>
      <c r="R32" s="210">
        <f t="shared" si="2"/>
        <v>40</v>
      </c>
      <c r="S32" s="210">
        <f t="shared" si="2"/>
        <v>259</v>
      </c>
      <c r="T32" s="210">
        <f t="shared" si="2"/>
        <v>95</v>
      </c>
      <c r="U32" s="210">
        <f t="shared" si="2"/>
        <v>39</v>
      </c>
      <c r="V32" s="210">
        <f t="shared" si="2"/>
        <v>1</v>
      </c>
      <c r="W32" s="210">
        <f t="shared" si="2"/>
        <v>81</v>
      </c>
      <c r="X32" s="210">
        <f t="shared" si="2"/>
        <v>0</v>
      </c>
      <c r="Y32" s="210">
        <f t="shared" si="2"/>
        <v>60</v>
      </c>
      <c r="Z32" s="210">
        <f t="shared" si="2"/>
        <v>0</v>
      </c>
      <c r="AA32" s="210">
        <f t="shared" si="2"/>
        <v>0</v>
      </c>
      <c r="AB32" s="210">
        <f t="shared" si="2"/>
        <v>160</v>
      </c>
      <c r="AC32" s="210">
        <f t="shared" si="2"/>
        <v>121</v>
      </c>
      <c r="AD32" s="210">
        <f t="shared" si="2"/>
        <v>856</v>
      </c>
      <c r="AE32" s="210">
        <f t="shared" si="2"/>
        <v>4</v>
      </c>
      <c r="AF32" s="212">
        <f t="shared" si="2"/>
        <v>860</v>
      </c>
    </row>
    <row r="33" spans="1:35" ht="15.75" thickBot="1">
      <c r="A33" s="214" t="s">
        <v>307</v>
      </c>
      <c r="B33" s="214" t="s">
        <v>256</v>
      </c>
      <c r="C33" s="90">
        <v>36882</v>
      </c>
      <c r="D33" s="91">
        <v>558191</v>
      </c>
      <c r="E33" s="90">
        <v>120802</v>
      </c>
      <c r="F33" s="91">
        <v>13766</v>
      </c>
      <c r="G33" s="90">
        <v>24</v>
      </c>
      <c r="H33" s="91">
        <v>120815</v>
      </c>
      <c r="I33" s="90">
        <v>1</v>
      </c>
      <c r="J33" s="91">
        <v>60845</v>
      </c>
      <c r="K33" s="90">
        <v>58</v>
      </c>
      <c r="L33" s="91">
        <v>33</v>
      </c>
      <c r="M33" s="90">
        <v>130630</v>
      </c>
      <c r="N33" s="90">
        <v>104407</v>
      </c>
      <c r="O33" s="90">
        <f t="shared" si="0"/>
        <v>1146454</v>
      </c>
      <c r="P33" s="91">
        <v>1237</v>
      </c>
      <c r="Q33" s="93">
        <v>1147691</v>
      </c>
      <c r="R33" s="210">
        <f t="shared" si="2"/>
        <v>-10</v>
      </c>
      <c r="S33" s="210">
        <f t="shared" si="2"/>
        <v>636</v>
      </c>
      <c r="T33" s="210">
        <f t="shared" si="2"/>
        <v>52</v>
      </c>
      <c r="U33" s="210">
        <f t="shared" si="2"/>
        <v>94</v>
      </c>
      <c r="V33" s="210">
        <f t="shared" si="2"/>
        <v>0</v>
      </c>
      <c r="W33" s="210">
        <f t="shared" si="2"/>
        <v>166</v>
      </c>
      <c r="X33" s="210">
        <f t="shared" si="2"/>
        <v>0</v>
      </c>
      <c r="Y33" s="210">
        <f t="shared" si="2"/>
        <v>67</v>
      </c>
      <c r="Z33" s="210">
        <f t="shared" si="2"/>
        <v>1</v>
      </c>
      <c r="AA33" s="210">
        <f t="shared" si="2"/>
        <v>0</v>
      </c>
      <c r="AB33" s="210">
        <f t="shared" si="2"/>
        <v>93</v>
      </c>
      <c r="AC33" s="210">
        <f t="shared" si="2"/>
        <v>230</v>
      </c>
      <c r="AD33" s="210">
        <f t="shared" si="2"/>
        <v>1329</v>
      </c>
      <c r="AE33" s="210">
        <f t="shared" si="2"/>
        <v>2</v>
      </c>
      <c r="AF33" s="212">
        <f t="shared" si="2"/>
        <v>1331</v>
      </c>
    </row>
    <row r="34" spans="1:35" ht="15.75" thickBot="1">
      <c r="A34" s="214" t="s">
        <v>308</v>
      </c>
      <c r="B34" s="214" t="s">
        <v>256</v>
      </c>
      <c r="C34" s="90">
        <v>36918</v>
      </c>
      <c r="D34" s="91">
        <v>559011</v>
      </c>
      <c r="E34" s="90">
        <v>120901</v>
      </c>
      <c r="F34" s="91">
        <v>13792</v>
      </c>
      <c r="G34" s="90">
        <v>24</v>
      </c>
      <c r="H34" s="91">
        <v>120973</v>
      </c>
      <c r="I34" s="90">
        <v>1</v>
      </c>
      <c r="J34" s="91">
        <v>60898</v>
      </c>
      <c r="K34" s="90">
        <v>58</v>
      </c>
      <c r="L34" s="91">
        <v>33</v>
      </c>
      <c r="M34" s="90">
        <v>130719</v>
      </c>
      <c r="N34" s="90">
        <v>104504</v>
      </c>
      <c r="O34" s="90">
        <f t="shared" si="0"/>
        <v>1147832</v>
      </c>
      <c r="P34" s="91">
        <v>1227</v>
      </c>
      <c r="Q34" s="93">
        <v>1149059</v>
      </c>
      <c r="R34" s="210">
        <f t="shared" si="2"/>
        <v>36</v>
      </c>
      <c r="S34" s="210">
        <f t="shared" si="2"/>
        <v>820</v>
      </c>
      <c r="T34" s="210">
        <f t="shared" si="2"/>
        <v>99</v>
      </c>
      <c r="U34" s="210">
        <f t="shared" si="2"/>
        <v>26</v>
      </c>
      <c r="V34" s="210">
        <f t="shared" si="2"/>
        <v>0</v>
      </c>
      <c r="W34" s="210">
        <f t="shared" si="2"/>
        <v>158</v>
      </c>
      <c r="X34" s="210">
        <f t="shared" si="2"/>
        <v>0</v>
      </c>
      <c r="Y34" s="210">
        <f t="shared" si="2"/>
        <v>53</v>
      </c>
      <c r="Z34" s="210">
        <f t="shared" si="2"/>
        <v>0</v>
      </c>
      <c r="AA34" s="210">
        <f t="shared" si="2"/>
        <v>0</v>
      </c>
      <c r="AB34" s="210">
        <f t="shared" si="2"/>
        <v>89</v>
      </c>
      <c r="AC34" s="210">
        <f t="shared" si="2"/>
        <v>97</v>
      </c>
      <c r="AD34" s="210">
        <f t="shared" si="2"/>
        <v>1378</v>
      </c>
      <c r="AE34" s="210">
        <f t="shared" si="2"/>
        <v>-10</v>
      </c>
      <c r="AF34" s="212">
        <f t="shared" si="2"/>
        <v>1368</v>
      </c>
    </row>
    <row r="35" spans="1:35" ht="15.75" thickBot="1">
      <c r="A35" s="214" t="s">
        <v>309</v>
      </c>
      <c r="B35" s="214" t="s">
        <v>256</v>
      </c>
      <c r="C35" s="90">
        <v>36916</v>
      </c>
      <c r="D35" s="91">
        <v>559198</v>
      </c>
      <c r="E35" s="90">
        <v>120887</v>
      </c>
      <c r="F35" s="91">
        <v>13827</v>
      </c>
      <c r="G35" s="90">
        <v>24</v>
      </c>
      <c r="H35" s="91">
        <v>121070</v>
      </c>
      <c r="I35" s="90">
        <v>1</v>
      </c>
      <c r="J35" s="91">
        <v>60937</v>
      </c>
      <c r="K35" s="90">
        <v>58</v>
      </c>
      <c r="L35" s="91">
        <v>33</v>
      </c>
      <c r="M35" s="90">
        <v>130795</v>
      </c>
      <c r="N35" s="90">
        <v>104550</v>
      </c>
      <c r="O35" s="90">
        <f t="shared" si="0"/>
        <v>1148296</v>
      </c>
      <c r="P35" s="91">
        <v>1293</v>
      </c>
      <c r="Q35" s="93">
        <v>1149589</v>
      </c>
      <c r="R35" s="210">
        <f t="shared" si="2"/>
        <v>-2</v>
      </c>
      <c r="S35" s="210">
        <f t="shared" si="2"/>
        <v>187</v>
      </c>
      <c r="T35" s="210">
        <f t="shared" si="2"/>
        <v>-14</v>
      </c>
      <c r="U35" s="210">
        <f t="shared" si="2"/>
        <v>35</v>
      </c>
      <c r="V35" s="210">
        <f t="shared" si="2"/>
        <v>0</v>
      </c>
      <c r="W35" s="210">
        <f t="shared" si="2"/>
        <v>97</v>
      </c>
      <c r="X35" s="210">
        <f t="shared" si="2"/>
        <v>0</v>
      </c>
      <c r="Y35" s="210">
        <f t="shared" si="2"/>
        <v>39</v>
      </c>
      <c r="Z35" s="210">
        <f t="shared" si="2"/>
        <v>0</v>
      </c>
      <c r="AA35" s="210">
        <f t="shared" si="2"/>
        <v>0</v>
      </c>
      <c r="AB35" s="210">
        <f t="shared" si="2"/>
        <v>76</v>
      </c>
      <c r="AC35" s="210">
        <f t="shared" si="2"/>
        <v>46</v>
      </c>
      <c r="AD35" s="210">
        <f t="shared" si="2"/>
        <v>464</v>
      </c>
      <c r="AE35" s="210">
        <f t="shared" si="2"/>
        <v>66</v>
      </c>
      <c r="AF35" s="212">
        <f t="shared" si="2"/>
        <v>530</v>
      </c>
    </row>
    <row r="36" spans="1:35" ht="15.75" thickBot="1">
      <c r="A36" s="214" t="s">
        <v>310</v>
      </c>
      <c r="B36" s="214" t="s">
        <v>256</v>
      </c>
      <c r="C36" s="90">
        <v>36970</v>
      </c>
      <c r="D36" s="91">
        <v>559757</v>
      </c>
      <c r="E36" s="90">
        <v>121008</v>
      </c>
      <c r="F36" s="91">
        <v>13875</v>
      </c>
      <c r="G36" s="90">
        <v>24</v>
      </c>
      <c r="H36" s="91">
        <v>121220</v>
      </c>
      <c r="I36" s="90">
        <v>1</v>
      </c>
      <c r="J36" s="91">
        <v>61027</v>
      </c>
      <c r="K36" s="90">
        <v>58</v>
      </c>
      <c r="L36" s="91">
        <v>33</v>
      </c>
      <c r="M36" s="90">
        <v>130934</v>
      </c>
      <c r="N36" s="90">
        <v>104593</v>
      </c>
      <c r="O36" s="90">
        <f t="shared" si="0"/>
        <v>1149500</v>
      </c>
      <c r="P36" s="91">
        <v>1317</v>
      </c>
      <c r="Q36" s="93">
        <v>1150817</v>
      </c>
      <c r="R36" s="210">
        <f t="shared" si="2"/>
        <v>54</v>
      </c>
      <c r="S36" s="210">
        <f t="shared" si="2"/>
        <v>559</v>
      </c>
      <c r="T36" s="210">
        <f t="shared" si="2"/>
        <v>121</v>
      </c>
      <c r="U36" s="210">
        <f t="shared" si="2"/>
        <v>48</v>
      </c>
      <c r="V36" s="210">
        <f t="shared" si="2"/>
        <v>0</v>
      </c>
      <c r="W36" s="210">
        <f t="shared" si="2"/>
        <v>150</v>
      </c>
      <c r="X36" s="210">
        <f t="shared" si="2"/>
        <v>0</v>
      </c>
      <c r="Y36" s="210">
        <f t="shared" si="2"/>
        <v>90</v>
      </c>
      <c r="Z36" s="210">
        <f t="shared" si="2"/>
        <v>0</v>
      </c>
      <c r="AA36" s="210">
        <f t="shared" si="2"/>
        <v>0</v>
      </c>
      <c r="AB36" s="210">
        <f t="shared" si="2"/>
        <v>139</v>
      </c>
      <c r="AC36" s="210">
        <f t="shared" si="2"/>
        <v>43</v>
      </c>
      <c r="AD36" s="210">
        <f t="shared" si="2"/>
        <v>1204</v>
      </c>
      <c r="AE36" s="210">
        <f t="shared" si="2"/>
        <v>24</v>
      </c>
      <c r="AF36" s="212">
        <f t="shared" si="2"/>
        <v>1228</v>
      </c>
    </row>
    <row r="37" spans="1:35" ht="15.75" thickBot="1">
      <c r="A37" s="214" t="s">
        <v>311</v>
      </c>
      <c r="B37" s="214" t="s">
        <v>256</v>
      </c>
      <c r="C37" s="90">
        <v>36994</v>
      </c>
      <c r="D37" s="91">
        <v>560879</v>
      </c>
      <c r="E37" s="90">
        <v>121158</v>
      </c>
      <c r="F37" s="91">
        <v>13888</v>
      </c>
      <c r="G37" s="90">
        <v>24</v>
      </c>
      <c r="H37" s="91">
        <v>121404</v>
      </c>
      <c r="I37" s="90">
        <v>1</v>
      </c>
      <c r="J37" s="91">
        <v>61080</v>
      </c>
      <c r="K37" s="90">
        <v>59</v>
      </c>
      <c r="L37" s="91">
        <v>33</v>
      </c>
      <c r="M37" s="90">
        <v>131093</v>
      </c>
      <c r="N37" s="90">
        <v>104772</v>
      </c>
      <c r="O37" s="90">
        <f t="shared" si="0"/>
        <v>1151385</v>
      </c>
      <c r="P37" s="91">
        <v>1317</v>
      </c>
      <c r="Q37" s="93">
        <v>1152702</v>
      </c>
      <c r="R37" s="210">
        <f t="shared" ref="R37:AF40" si="3">C37-C36</f>
        <v>24</v>
      </c>
      <c r="S37" s="210">
        <f t="shared" si="3"/>
        <v>1122</v>
      </c>
      <c r="T37" s="210">
        <f t="shared" si="3"/>
        <v>150</v>
      </c>
      <c r="U37" s="210">
        <f t="shared" si="3"/>
        <v>13</v>
      </c>
      <c r="V37" s="210">
        <f t="shared" si="3"/>
        <v>0</v>
      </c>
      <c r="W37" s="210">
        <f t="shared" si="3"/>
        <v>184</v>
      </c>
      <c r="X37" s="210">
        <f t="shared" si="3"/>
        <v>0</v>
      </c>
      <c r="Y37" s="210">
        <f t="shared" si="3"/>
        <v>53</v>
      </c>
      <c r="Z37" s="210">
        <f t="shared" si="3"/>
        <v>1</v>
      </c>
      <c r="AA37" s="210">
        <f t="shared" si="3"/>
        <v>0</v>
      </c>
      <c r="AB37" s="210">
        <f t="shared" si="3"/>
        <v>159</v>
      </c>
      <c r="AC37" s="210">
        <f t="shared" si="3"/>
        <v>179</v>
      </c>
      <c r="AD37" s="210">
        <f t="shared" si="3"/>
        <v>1885</v>
      </c>
      <c r="AE37" s="210">
        <f t="shared" si="3"/>
        <v>0</v>
      </c>
      <c r="AF37" s="212">
        <f t="shared" si="3"/>
        <v>1885</v>
      </c>
    </row>
    <row r="38" spans="1:35" ht="15.75" thickBot="1">
      <c r="A38" s="214" t="s">
        <v>312</v>
      </c>
      <c r="B38" s="214" t="s">
        <v>256</v>
      </c>
      <c r="C38" s="90">
        <v>37041</v>
      </c>
      <c r="D38" s="91">
        <v>561545</v>
      </c>
      <c r="E38" s="90">
        <v>121290</v>
      </c>
      <c r="F38" s="91">
        <v>13917</v>
      </c>
      <c r="G38" s="90">
        <v>24</v>
      </c>
      <c r="H38" s="91">
        <v>121580</v>
      </c>
      <c r="I38" s="90">
        <v>1</v>
      </c>
      <c r="J38" s="91">
        <v>61153</v>
      </c>
      <c r="K38" s="90">
        <v>59</v>
      </c>
      <c r="L38" s="91">
        <v>33</v>
      </c>
      <c r="M38" s="90">
        <v>131255</v>
      </c>
      <c r="N38" s="90">
        <v>104992</v>
      </c>
      <c r="O38" s="90">
        <f t="shared" si="0"/>
        <v>1152890</v>
      </c>
      <c r="P38" s="91">
        <v>1342</v>
      </c>
      <c r="Q38" s="93">
        <v>1154232</v>
      </c>
      <c r="R38" s="210">
        <f t="shared" si="3"/>
        <v>47</v>
      </c>
      <c r="S38" s="210">
        <f t="shared" si="3"/>
        <v>666</v>
      </c>
      <c r="T38" s="210">
        <f t="shared" si="3"/>
        <v>132</v>
      </c>
      <c r="U38" s="210">
        <f t="shared" si="3"/>
        <v>29</v>
      </c>
      <c r="V38" s="210">
        <f t="shared" si="3"/>
        <v>0</v>
      </c>
      <c r="W38" s="210">
        <f t="shared" si="3"/>
        <v>176</v>
      </c>
      <c r="X38" s="210">
        <f t="shared" si="3"/>
        <v>0</v>
      </c>
      <c r="Y38" s="210">
        <f t="shared" si="3"/>
        <v>73</v>
      </c>
      <c r="Z38" s="210">
        <f t="shared" si="3"/>
        <v>0</v>
      </c>
      <c r="AA38" s="210">
        <f t="shared" si="3"/>
        <v>0</v>
      </c>
      <c r="AB38" s="210">
        <f t="shared" si="3"/>
        <v>162</v>
      </c>
      <c r="AC38" s="210">
        <f t="shared" si="3"/>
        <v>220</v>
      </c>
      <c r="AD38" s="210">
        <f t="shared" si="3"/>
        <v>1505</v>
      </c>
      <c r="AE38" s="210">
        <f t="shared" si="3"/>
        <v>25</v>
      </c>
      <c r="AF38" s="212">
        <f t="shared" si="3"/>
        <v>1530</v>
      </c>
    </row>
    <row r="39" spans="1:35" ht="15.75" thickBot="1">
      <c r="A39" s="214" t="s">
        <v>313</v>
      </c>
      <c r="B39" s="214" t="s">
        <v>256</v>
      </c>
      <c r="C39" s="90">
        <v>37088</v>
      </c>
      <c r="D39" s="91">
        <v>562881</v>
      </c>
      <c r="E39" s="90">
        <v>121421</v>
      </c>
      <c r="F39" s="91">
        <v>13896</v>
      </c>
      <c r="G39" s="90">
        <v>24</v>
      </c>
      <c r="H39" s="91">
        <v>121742</v>
      </c>
      <c r="I39" s="90">
        <v>1</v>
      </c>
      <c r="J39" s="91">
        <v>61224</v>
      </c>
      <c r="K39" s="90">
        <v>59</v>
      </c>
      <c r="L39" s="91">
        <v>33</v>
      </c>
      <c r="M39" s="90">
        <v>131431</v>
      </c>
      <c r="N39" s="90">
        <v>105140</v>
      </c>
      <c r="O39" s="90">
        <f t="shared" si="0"/>
        <v>1154940</v>
      </c>
      <c r="P39" s="91">
        <v>1376</v>
      </c>
      <c r="Q39" s="93">
        <v>1156316</v>
      </c>
      <c r="R39" s="210">
        <f t="shared" si="3"/>
        <v>47</v>
      </c>
      <c r="S39" s="210">
        <f t="shared" si="3"/>
        <v>1336</v>
      </c>
      <c r="T39" s="210">
        <f t="shared" si="3"/>
        <v>131</v>
      </c>
      <c r="U39" s="210">
        <f t="shared" si="3"/>
        <v>-21</v>
      </c>
      <c r="V39" s="210">
        <f t="shared" si="3"/>
        <v>0</v>
      </c>
      <c r="W39" s="210">
        <f t="shared" si="3"/>
        <v>162</v>
      </c>
      <c r="X39" s="210">
        <f t="shared" si="3"/>
        <v>0</v>
      </c>
      <c r="Y39" s="210">
        <f t="shared" si="3"/>
        <v>71</v>
      </c>
      <c r="Z39" s="210">
        <f t="shared" si="3"/>
        <v>0</v>
      </c>
      <c r="AA39" s="210">
        <f t="shared" si="3"/>
        <v>0</v>
      </c>
      <c r="AB39" s="210">
        <f t="shared" si="3"/>
        <v>176</v>
      </c>
      <c r="AC39" s="210">
        <f t="shared" si="3"/>
        <v>148</v>
      </c>
      <c r="AD39" s="210">
        <f t="shared" si="3"/>
        <v>2050</v>
      </c>
      <c r="AE39" s="210">
        <f t="shared" si="3"/>
        <v>34</v>
      </c>
      <c r="AF39" s="212">
        <f t="shared" si="3"/>
        <v>2084</v>
      </c>
    </row>
    <row r="40" spans="1:35" ht="15.75" thickBot="1">
      <c r="A40" s="214" t="s">
        <v>314</v>
      </c>
      <c r="B40" s="214" t="s">
        <v>256</v>
      </c>
      <c r="C40" s="90">
        <v>37110</v>
      </c>
      <c r="D40" s="91">
        <v>563382</v>
      </c>
      <c r="E40" s="90">
        <v>121555</v>
      </c>
      <c r="F40" s="91">
        <v>13914</v>
      </c>
      <c r="G40" s="90">
        <v>24</v>
      </c>
      <c r="H40" s="91">
        <v>121947</v>
      </c>
      <c r="I40" s="90">
        <v>1</v>
      </c>
      <c r="J40" s="91">
        <v>61267</v>
      </c>
      <c r="K40" s="90">
        <v>59</v>
      </c>
      <c r="L40" s="91">
        <v>33</v>
      </c>
      <c r="M40" s="90">
        <v>131554</v>
      </c>
      <c r="N40" s="90">
        <v>105274</v>
      </c>
      <c r="O40" s="90">
        <f t="shared" si="0"/>
        <v>1156120</v>
      </c>
      <c r="P40" s="91">
        <v>1376</v>
      </c>
      <c r="Q40" s="93">
        <v>1157496</v>
      </c>
      <c r="R40" s="210">
        <f t="shared" si="3"/>
        <v>22</v>
      </c>
      <c r="S40" s="210">
        <f t="shared" si="3"/>
        <v>501</v>
      </c>
      <c r="T40" s="210">
        <f t="shared" si="3"/>
        <v>134</v>
      </c>
      <c r="U40" s="210">
        <f t="shared" si="3"/>
        <v>18</v>
      </c>
      <c r="V40" s="210">
        <f t="shared" si="3"/>
        <v>0</v>
      </c>
      <c r="W40" s="210">
        <f t="shared" si="3"/>
        <v>205</v>
      </c>
      <c r="X40" s="210">
        <f t="shared" si="3"/>
        <v>0</v>
      </c>
      <c r="Y40" s="210">
        <f t="shared" si="3"/>
        <v>43</v>
      </c>
      <c r="Z40" s="210">
        <f t="shared" si="3"/>
        <v>0</v>
      </c>
      <c r="AA40" s="210">
        <f t="shared" si="3"/>
        <v>0</v>
      </c>
      <c r="AB40" s="210">
        <f t="shared" si="3"/>
        <v>123</v>
      </c>
      <c r="AC40" s="210">
        <f t="shared" si="3"/>
        <v>134</v>
      </c>
      <c r="AD40" s="210">
        <f t="shared" si="3"/>
        <v>1180</v>
      </c>
      <c r="AE40" s="210">
        <f t="shared" si="3"/>
        <v>0</v>
      </c>
      <c r="AF40" s="212">
        <f t="shared" si="3"/>
        <v>1180</v>
      </c>
    </row>
    <row r="41" spans="1:35">
      <c r="R41" s="94"/>
      <c r="S41" s="94"/>
      <c r="T41" s="94"/>
      <c r="U41" s="94"/>
      <c r="V41" s="94"/>
      <c r="W41" s="94"/>
      <c r="X41" s="94"/>
      <c r="Y41" s="94"/>
      <c r="Z41" s="94"/>
      <c r="AA41" s="94"/>
      <c r="AB41" s="94"/>
      <c r="AC41" s="94"/>
      <c r="AD41" s="94"/>
      <c r="AE41" s="94"/>
      <c r="AF41" s="94"/>
    </row>
    <row r="43" spans="1:35">
      <c r="A43" s="216" t="s">
        <v>315</v>
      </c>
      <c r="B43" s="216" t="s">
        <v>256</v>
      </c>
      <c r="R43" t="s">
        <v>316</v>
      </c>
    </row>
    <row r="44" spans="1:35">
      <c r="B44">
        <v>2015</v>
      </c>
      <c r="C44" s="94">
        <f>C4</f>
        <v>36090</v>
      </c>
      <c r="D44" s="94">
        <f t="shared" ref="D44:Q44" si="4">D4</f>
        <v>541503</v>
      </c>
      <c r="E44" s="94">
        <f t="shared" si="4"/>
        <v>117699</v>
      </c>
      <c r="F44" s="94">
        <f t="shared" si="4"/>
        <v>13009</v>
      </c>
      <c r="G44" s="94">
        <f t="shared" si="4"/>
        <v>21</v>
      </c>
      <c r="H44" s="94">
        <f t="shared" si="4"/>
        <v>115267</v>
      </c>
      <c r="I44" s="94">
        <f t="shared" si="4"/>
        <v>1</v>
      </c>
      <c r="J44" s="94">
        <f t="shared" si="4"/>
        <v>59081</v>
      </c>
      <c r="K44" s="94">
        <f t="shared" si="4"/>
        <v>55</v>
      </c>
      <c r="L44" s="94">
        <f t="shared" si="4"/>
        <v>0</v>
      </c>
      <c r="M44" s="94">
        <f t="shared" si="4"/>
        <v>125415</v>
      </c>
      <c r="N44" s="94">
        <f t="shared" si="4"/>
        <v>100816</v>
      </c>
      <c r="O44" s="94">
        <f t="shared" si="4"/>
        <v>1108957</v>
      </c>
      <c r="P44" s="94">
        <f t="shared" si="4"/>
        <v>1084</v>
      </c>
      <c r="Q44" s="94">
        <f t="shared" si="4"/>
        <v>1110041</v>
      </c>
    </row>
    <row r="45" spans="1:35">
      <c r="B45">
        <v>2016</v>
      </c>
      <c r="C45" s="94">
        <f>C16</f>
        <v>36497</v>
      </c>
      <c r="D45" s="94">
        <f t="shared" ref="D45:Q45" si="5">D16</f>
        <v>550393</v>
      </c>
      <c r="E45" s="94">
        <f t="shared" si="5"/>
        <v>119159</v>
      </c>
      <c r="F45" s="94">
        <f t="shared" si="5"/>
        <v>13322</v>
      </c>
      <c r="G45" s="94">
        <f t="shared" si="5"/>
        <v>22</v>
      </c>
      <c r="H45" s="94">
        <f t="shared" si="5"/>
        <v>117659</v>
      </c>
      <c r="I45" s="94">
        <f t="shared" si="5"/>
        <v>1</v>
      </c>
      <c r="J45" s="94">
        <f t="shared" si="5"/>
        <v>59905</v>
      </c>
      <c r="K45" s="94">
        <f t="shared" si="5"/>
        <v>54</v>
      </c>
      <c r="L45" s="94">
        <f t="shared" si="5"/>
        <v>11</v>
      </c>
      <c r="M45" s="94">
        <f t="shared" si="5"/>
        <v>127895</v>
      </c>
      <c r="N45" s="94">
        <f t="shared" si="5"/>
        <v>102564</v>
      </c>
      <c r="O45" s="94">
        <f t="shared" si="5"/>
        <v>1127482</v>
      </c>
      <c r="P45" s="94">
        <f t="shared" si="5"/>
        <v>1222</v>
      </c>
      <c r="Q45" s="94">
        <f t="shared" si="5"/>
        <v>1128704</v>
      </c>
      <c r="R45" s="94">
        <f>C45-C44</f>
        <v>407</v>
      </c>
      <c r="S45" s="95">
        <f t="shared" ref="S45:AF47" si="6">D45-D44</f>
        <v>8890</v>
      </c>
      <c r="T45" s="94">
        <f t="shared" si="6"/>
        <v>1460</v>
      </c>
      <c r="U45" s="94">
        <f t="shared" si="6"/>
        <v>313</v>
      </c>
      <c r="V45" s="94">
        <f t="shared" si="6"/>
        <v>1</v>
      </c>
      <c r="W45" s="94">
        <f t="shared" si="6"/>
        <v>2392</v>
      </c>
      <c r="X45" s="94">
        <f t="shared" si="6"/>
        <v>0</v>
      </c>
      <c r="Y45" s="94">
        <f t="shared" si="6"/>
        <v>824</v>
      </c>
      <c r="Z45" s="94">
        <f t="shared" si="6"/>
        <v>-1</v>
      </c>
      <c r="AA45" s="94">
        <f t="shared" si="6"/>
        <v>11</v>
      </c>
      <c r="AB45" s="94">
        <f t="shared" si="6"/>
        <v>2480</v>
      </c>
      <c r="AC45" s="94">
        <f t="shared" si="6"/>
        <v>1748</v>
      </c>
      <c r="AD45" s="94">
        <f t="shared" si="6"/>
        <v>18525</v>
      </c>
      <c r="AE45" s="94">
        <f t="shared" si="6"/>
        <v>138</v>
      </c>
      <c r="AF45" s="94">
        <f t="shared" si="6"/>
        <v>18663</v>
      </c>
    </row>
    <row r="46" spans="1:35">
      <c r="B46">
        <v>2017</v>
      </c>
      <c r="C46" s="94">
        <f>C28</f>
        <v>36798</v>
      </c>
      <c r="D46" s="94">
        <f t="shared" ref="D46:Q46" si="7">D28</f>
        <v>555407</v>
      </c>
      <c r="E46" s="94">
        <f t="shared" si="7"/>
        <v>120454</v>
      </c>
      <c r="F46" s="94">
        <f t="shared" si="7"/>
        <v>13595</v>
      </c>
      <c r="G46" s="94">
        <f t="shared" si="7"/>
        <v>24</v>
      </c>
      <c r="H46" s="94">
        <f t="shared" si="7"/>
        <v>120022</v>
      </c>
      <c r="I46" s="94">
        <f t="shared" si="7"/>
        <v>1</v>
      </c>
      <c r="J46" s="94">
        <f t="shared" si="7"/>
        <v>60579</v>
      </c>
      <c r="K46" s="94">
        <f t="shared" si="7"/>
        <v>56</v>
      </c>
      <c r="L46" s="94">
        <f t="shared" si="7"/>
        <v>30</v>
      </c>
      <c r="M46" s="94">
        <f t="shared" si="7"/>
        <v>130069</v>
      </c>
      <c r="N46" s="94">
        <f t="shared" si="7"/>
        <v>103778</v>
      </c>
      <c r="O46" s="94">
        <f t="shared" si="7"/>
        <v>1140813</v>
      </c>
      <c r="P46" s="94">
        <f t="shared" si="7"/>
        <v>1240</v>
      </c>
      <c r="Q46" s="94">
        <f t="shared" si="7"/>
        <v>1142053</v>
      </c>
      <c r="R46" s="94">
        <f t="shared" ref="R46:R47" si="8">C46-C45</f>
        <v>301</v>
      </c>
      <c r="S46" s="95">
        <f t="shared" si="6"/>
        <v>5014</v>
      </c>
      <c r="T46" s="94">
        <f t="shared" si="6"/>
        <v>1295</v>
      </c>
      <c r="U46" s="94">
        <f t="shared" si="6"/>
        <v>273</v>
      </c>
      <c r="V46" s="94">
        <f t="shared" si="6"/>
        <v>2</v>
      </c>
      <c r="W46" s="94">
        <f t="shared" si="6"/>
        <v>2363</v>
      </c>
      <c r="X46" s="94">
        <f t="shared" si="6"/>
        <v>0</v>
      </c>
      <c r="Y46" s="94">
        <f t="shared" si="6"/>
        <v>674</v>
      </c>
      <c r="Z46" s="94">
        <f t="shared" si="6"/>
        <v>2</v>
      </c>
      <c r="AA46" s="94">
        <f t="shared" si="6"/>
        <v>19</v>
      </c>
      <c r="AB46" s="94">
        <f t="shared" si="6"/>
        <v>2174</v>
      </c>
      <c r="AC46" s="94">
        <f t="shared" si="6"/>
        <v>1214</v>
      </c>
      <c r="AD46" s="94">
        <f t="shared" si="6"/>
        <v>13331</v>
      </c>
      <c r="AE46" s="94">
        <f t="shared" si="6"/>
        <v>18</v>
      </c>
      <c r="AF46" s="94">
        <f t="shared" si="6"/>
        <v>13349</v>
      </c>
      <c r="AH46" s="94"/>
      <c r="AI46" s="94"/>
    </row>
    <row r="47" spans="1:35">
      <c r="B47">
        <v>2018</v>
      </c>
      <c r="C47" s="94">
        <f>C40</f>
        <v>37110</v>
      </c>
      <c r="D47" s="94">
        <f t="shared" ref="D47:Q47" si="9">D40</f>
        <v>563382</v>
      </c>
      <c r="E47" s="94">
        <f t="shared" si="9"/>
        <v>121555</v>
      </c>
      <c r="F47" s="94">
        <f t="shared" si="9"/>
        <v>13914</v>
      </c>
      <c r="G47" s="94">
        <f t="shared" si="9"/>
        <v>24</v>
      </c>
      <c r="H47" s="94">
        <f t="shared" si="9"/>
        <v>121947</v>
      </c>
      <c r="I47" s="94">
        <f t="shared" si="9"/>
        <v>1</v>
      </c>
      <c r="J47" s="94">
        <f t="shared" si="9"/>
        <v>61267</v>
      </c>
      <c r="K47" s="94">
        <f t="shared" si="9"/>
        <v>59</v>
      </c>
      <c r="L47" s="94">
        <f t="shared" si="9"/>
        <v>33</v>
      </c>
      <c r="M47" s="94">
        <f t="shared" si="9"/>
        <v>131554</v>
      </c>
      <c r="N47" s="94">
        <f t="shared" si="9"/>
        <v>105274</v>
      </c>
      <c r="O47" s="94">
        <f t="shared" si="9"/>
        <v>1156120</v>
      </c>
      <c r="P47" s="94">
        <f t="shared" si="9"/>
        <v>1376</v>
      </c>
      <c r="Q47" s="94">
        <f t="shared" si="9"/>
        <v>1157496</v>
      </c>
      <c r="R47" s="94">
        <f t="shared" si="8"/>
        <v>312</v>
      </c>
      <c r="S47" s="95">
        <f t="shared" si="6"/>
        <v>7975</v>
      </c>
      <c r="T47" s="94">
        <f t="shared" si="6"/>
        <v>1101</v>
      </c>
      <c r="U47" s="94">
        <f t="shared" si="6"/>
        <v>319</v>
      </c>
      <c r="V47" s="94">
        <f t="shared" si="6"/>
        <v>0</v>
      </c>
      <c r="W47" s="94">
        <f t="shared" si="6"/>
        <v>1925</v>
      </c>
      <c r="X47" s="94">
        <f t="shared" si="6"/>
        <v>0</v>
      </c>
      <c r="Y47" s="94">
        <f t="shared" si="6"/>
        <v>688</v>
      </c>
      <c r="Z47" s="94">
        <f t="shared" si="6"/>
        <v>3</v>
      </c>
      <c r="AA47" s="94">
        <f t="shared" si="6"/>
        <v>3</v>
      </c>
      <c r="AB47" s="94">
        <f t="shared" si="6"/>
        <v>1485</v>
      </c>
      <c r="AC47" s="94">
        <f t="shared" si="6"/>
        <v>1496</v>
      </c>
      <c r="AD47" s="94">
        <f t="shared" si="6"/>
        <v>15307</v>
      </c>
      <c r="AE47" s="94">
        <f t="shared" si="6"/>
        <v>136</v>
      </c>
      <c r="AF47" s="94">
        <f t="shared" si="6"/>
        <v>15443</v>
      </c>
      <c r="AH47" s="96"/>
    </row>
    <row r="48" spans="1:35">
      <c r="S48" s="97"/>
    </row>
    <row r="49" spans="2:35">
      <c r="S49" s="97"/>
    </row>
    <row r="50" spans="2:35">
      <c r="S50" s="97"/>
      <c r="AH50" s="196" t="s">
        <v>317</v>
      </c>
    </row>
    <row r="51" spans="2:35">
      <c r="B51" s="98" t="s">
        <v>257</v>
      </c>
      <c r="O51" s="99"/>
      <c r="P51" s="100"/>
      <c r="Q51" s="98" t="s">
        <v>257</v>
      </c>
      <c r="S51" s="97"/>
      <c r="AH51" s="196"/>
    </row>
    <row r="52" spans="2:35">
      <c r="B52" s="101" t="s">
        <v>358</v>
      </c>
      <c r="O52" s="99"/>
      <c r="P52" s="102"/>
      <c r="Q52" s="101" t="s">
        <v>318</v>
      </c>
      <c r="R52" s="94">
        <f>SUM(R5:R40)</f>
        <v>1020</v>
      </c>
      <c r="S52" s="95">
        <f t="shared" ref="S52:AF52" si="10">SUM(S5:S40)</f>
        <v>21879</v>
      </c>
      <c r="T52" s="94">
        <f t="shared" si="10"/>
        <v>3856</v>
      </c>
      <c r="U52" s="94">
        <f t="shared" si="10"/>
        <v>905</v>
      </c>
      <c r="V52" s="94">
        <f t="shared" si="10"/>
        <v>3</v>
      </c>
      <c r="W52" s="94">
        <f t="shared" si="10"/>
        <v>6680</v>
      </c>
      <c r="X52" s="94">
        <f t="shared" si="10"/>
        <v>0</v>
      </c>
      <c r="Y52" s="94">
        <f t="shared" si="10"/>
        <v>2186</v>
      </c>
      <c r="Z52" s="94">
        <f t="shared" si="10"/>
        <v>4</v>
      </c>
      <c r="AA52" s="94">
        <f t="shared" si="10"/>
        <v>33</v>
      </c>
      <c r="AB52" s="94">
        <f t="shared" si="10"/>
        <v>6139</v>
      </c>
      <c r="AC52" s="94">
        <f t="shared" si="10"/>
        <v>4458</v>
      </c>
      <c r="AD52" s="94">
        <f t="shared" si="10"/>
        <v>47163</v>
      </c>
      <c r="AE52" s="94">
        <f t="shared" si="10"/>
        <v>292</v>
      </c>
      <c r="AF52" s="94">
        <f t="shared" si="10"/>
        <v>47455</v>
      </c>
      <c r="AH52" s="196"/>
    </row>
    <row r="53" spans="2:35">
      <c r="B53" s="101" t="s">
        <v>359</v>
      </c>
      <c r="O53" s="99"/>
      <c r="P53" s="102"/>
      <c r="Q53" s="101" t="s">
        <v>319</v>
      </c>
      <c r="R53" s="94">
        <f>SUM(R14:R40)</f>
        <v>707</v>
      </c>
      <c r="S53" s="247">
        <f t="shared" ref="S53:AF53" si="11">SUM(S14:S40)</f>
        <v>15501</v>
      </c>
      <c r="T53" s="94">
        <f t="shared" si="11"/>
        <v>2824</v>
      </c>
      <c r="U53" s="94">
        <f t="shared" si="11"/>
        <v>565</v>
      </c>
      <c r="V53" s="94">
        <f t="shared" si="11"/>
        <v>2</v>
      </c>
      <c r="W53" s="94">
        <f t="shared" si="11"/>
        <v>5105</v>
      </c>
      <c r="X53" s="94">
        <f t="shared" si="11"/>
        <v>0</v>
      </c>
      <c r="Y53" s="94">
        <f t="shared" si="11"/>
        <v>1499</v>
      </c>
      <c r="Z53" s="94">
        <f t="shared" si="11"/>
        <v>5</v>
      </c>
      <c r="AA53" s="94">
        <f t="shared" si="11"/>
        <v>26</v>
      </c>
      <c r="AB53" s="94">
        <f t="shared" si="11"/>
        <v>4287</v>
      </c>
      <c r="AC53" s="94">
        <f t="shared" si="11"/>
        <v>3214</v>
      </c>
      <c r="AD53" s="94">
        <f t="shared" si="11"/>
        <v>33735</v>
      </c>
      <c r="AE53" s="94">
        <f t="shared" si="11"/>
        <v>147</v>
      </c>
      <c r="AF53" s="248">
        <f t="shared" si="11"/>
        <v>33882</v>
      </c>
      <c r="AH53" s="249">
        <f>S53/AF53</f>
        <v>0.45749955728705505</v>
      </c>
      <c r="AI53" t="s">
        <v>317</v>
      </c>
    </row>
    <row r="54" spans="2:35">
      <c r="O54" s="103"/>
      <c r="P54" s="103"/>
      <c r="S54" s="97"/>
    </row>
    <row r="55" spans="2:35">
      <c r="B55" s="104" t="s">
        <v>360</v>
      </c>
      <c r="O55" s="103"/>
      <c r="P55" s="105"/>
      <c r="Q55" s="104" t="s">
        <v>320</v>
      </c>
      <c r="R55" s="106">
        <f>C40/C4-1</f>
        <v>2.8262676641729101E-2</v>
      </c>
      <c r="S55" s="107">
        <f t="shared" ref="S55:AF55" si="12">D40/D4-1</f>
        <v>4.0404208286934695E-2</v>
      </c>
      <c r="T55" s="106">
        <f t="shared" si="12"/>
        <v>3.2761535781952178E-2</v>
      </c>
      <c r="U55" s="106">
        <f t="shared" si="12"/>
        <v>6.9567222691982566E-2</v>
      </c>
      <c r="V55" s="106">
        <f t="shared" si="12"/>
        <v>0.14285714285714279</v>
      </c>
      <c r="W55" s="106">
        <f t="shared" si="12"/>
        <v>5.795240615267172E-2</v>
      </c>
      <c r="X55" s="106">
        <f t="shared" si="12"/>
        <v>0</v>
      </c>
      <c r="Y55" s="106">
        <f t="shared" si="12"/>
        <v>3.7000050777745708E-2</v>
      </c>
      <c r="Z55" s="106">
        <f t="shared" si="12"/>
        <v>7.2727272727272751E-2</v>
      </c>
      <c r="AA55" s="106" t="e">
        <f t="shared" si="12"/>
        <v>#DIV/0!</v>
      </c>
      <c r="AB55" s="106">
        <f t="shared" si="12"/>
        <v>4.8949487700833183E-2</v>
      </c>
      <c r="AC55" s="106">
        <f t="shared" si="12"/>
        <v>4.4219171560069936E-2</v>
      </c>
      <c r="AD55" s="106">
        <f t="shared" si="12"/>
        <v>4.2529151265558562E-2</v>
      </c>
      <c r="AE55" s="106">
        <f t="shared" si="12"/>
        <v>0.26937269372693717</v>
      </c>
      <c r="AF55" s="106">
        <f t="shared" si="12"/>
        <v>4.2750673173333142E-2</v>
      </c>
    </row>
    <row r="56" spans="2:35">
      <c r="B56" s="104" t="s">
        <v>361</v>
      </c>
      <c r="O56" s="103"/>
      <c r="P56" s="105"/>
      <c r="Q56" s="104" t="s">
        <v>321</v>
      </c>
      <c r="R56" s="106">
        <f>C40/C13-1</f>
        <v>1.9421476251957337E-2</v>
      </c>
      <c r="S56" s="107">
        <f t="shared" ref="S56:AF56" si="13">D40/D13-1</f>
        <v>2.8292640190114238E-2</v>
      </c>
      <c r="T56" s="106">
        <f t="shared" si="13"/>
        <v>2.3784858208892423E-2</v>
      </c>
      <c r="U56" s="106">
        <f t="shared" si="13"/>
        <v>4.2325267810322975E-2</v>
      </c>
      <c r="V56" s="106">
        <f t="shared" si="13"/>
        <v>9.0909090909090828E-2</v>
      </c>
      <c r="W56" s="106">
        <f t="shared" si="13"/>
        <v>4.3691480803135896E-2</v>
      </c>
      <c r="X56" s="106">
        <f t="shared" si="13"/>
        <v>0</v>
      </c>
      <c r="Y56" s="106">
        <f t="shared" si="13"/>
        <v>2.508031053406512E-2</v>
      </c>
      <c r="Z56" s="106">
        <f t="shared" si="13"/>
        <v>9.259259259259256E-2</v>
      </c>
      <c r="AA56" s="106">
        <f t="shared" si="13"/>
        <v>3.7142857142857144</v>
      </c>
      <c r="AB56" s="106">
        <f t="shared" si="13"/>
        <v>3.3685087257498081E-2</v>
      </c>
      <c r="AC56" s="106">
        <f t="shared" si="13"/>
        <v>3.1491279639427772E-2</v>
      </c>
      <c r="AD56" s="106">
        <f t="shared" si="13"/>
        <v>3.0056531404108133E-2</v>
      </c>
      <c r="AE56" s="106">
        <f t="shared" si="13"/>
        <v>0.11960943856794137</v>
      </c>
      <c r="AF56" s="246">
        <f t="shared" si="13"/>
        <v>3.0154483657198972E-2</v>
      </c>
    </row>
    <row r="57" spans="2:35">
      <c r="O57" s="103"/>
      <c r="P57" s="103"/>
      <c r="S57" s="97"/>
    </row>
    <row r="58" spans="2:35">
      <c r="B58" s="98" t="s">
        <v>322</v>
      </c>
      <c r="O58" s="103"/>
      <c r="P58" s="100"/>
      <c r="Q58" s="98" t="s">
        <v>322</v>
      </c>
      <c r="S58" s="97"/>
    </row>
    <row r="59" spans="2:35">
      <c r="B59" s="100">
        <v>2016</v>
      </c>
      <c r="O59" s="103"/>
      <c r="P59" s="100"/>
      <c r="Q59" s="100">
        <v>2016</v>
      </c>
      <c r="R59" s="106">
        <f>C45/C44-1</f>
        <v>1.1277362150180048E-2</v>
      </c>
      <c r="S59" s="107">
        <f t="shared" ref="S59:AF61" si="14">D45/D44-1</f>
        <v>1.6417268233047677E-2</v>
      </c>
      <c r="T59" s="106">
        <f t="shared" si="14"/>
        <v>1.2404523402917533E-2</v>
      </c>
      <c r="U59" s="106">
        <f t="shared" si="14"/>
        <v>2.4060265969713335E-2</v>
      </c>
      <c r="V59" s="106">
        <f t="shared" si="14"/>
        <v>4.7619047619047672E-2</v>
      </c>
      <c r="W59" s="106">
        <f t="shared" si="14"/>
        <v>2.0751819688202167E-2</v>
      </c>
      <c r="X59" s="106">
        <f t="shared" si="14"/>
        <v>0</v>
      </c>
      <c r="Y59" s="106">
        <f t="shared" si="14"/>
        <v>1.3946954181547344E-2</v>
      </c>
      <c r="Z59" s="106">
        <f t="shared" si="14"/>
        <v>-1.8181818181818188E-2</v>
      </c>
      <c r="AA59" s="106" t="e">
        <f t="shared" si="14"/>
        <v>#DIV/0!</v>
      </c>
      <c r="AB59" s="106">
        <f t="shared" si="14"/>
        <v>1.9774349160786242E-2</v>
      </c>
      <c r="AC59" s="106">
        <f t="shared" si="14"/>
        <v>1.7338517695603795E-2</v>
      </c>
      <c r="AD59" s="106">
        <f t="shared" si="14"/>
        <v>1.6704885762026889E-2</v>
      </c>
      <c r="AE59" s="106">
        <f t="shared" si="14"/>
        <v>0.12730627306273057</v>
      </c>
      <c r="AF59" s="106">
        <f t="shared" si="14"/>
        <v>1.6812892496763654E-2</v>
      </c>
    </row>
    <row r="60" spans="2:35">
      <c r="B60" s="100">
        <v>2017</v>
      </c>
      <c r="O60" s="103"/>
      <c r="P60" s="100"/>
      <c r="Q60" s="100">
        <v>2017</v>
      </c>
      <c r="R60" s="106">
        <f t="shared" ref="R60:R61" si="15">C46/C45-1</f>
        <v>8.2472531988930786E-3</v>
      </c>
      <c r="S60" s="107">
        <f t="shared" si="14"/>
        <v>9.1098542314309583E-3</v>
      </c>
      <c r="T60" s="106">
        <f t="shared" si="14"/>
        <v>1.086783205632802E-2</v>
      </c>
      <c r="U60" s="106">
        <f t="shared" si="14"/>
        <v>2.049241855577244E-2</v>
      </c>
      <c r="V60" s="106">
        <f t="shared" si="14"/>
        <v>9.0909090909090828E-2</v>
      </c>
      <c r="W60" s="106">
        <f t="shared" si="14"/>
        <v>2.0083461528654922E-2</v>
      </c>
      <c r="X60" s="106">
        <f t="shared" si="14"/>
        <v>0</v>
      </c>
      <c r="Y60" s="106">
        <f t="shared" si="14"/>
        <v>1.1251147650446436E-2</v>
      </c>
      <c r="Z60" s="106">
        <f t="shared" si="14"/>
        <v>3.7037037037036979E-2</v>
      </c>
      <c r="AA60" s="106">
        <f t="shared" si="14"/>
        <v>1.7272727272727271</v>
      </c>
      <c r="AB60" s="106">
        <f t="shared" si="14"/>
        <v>1.6998318933500123E-2</v>
      </c>
      <c r="AC60" s="106">
        <f t="shared" si="14"/>
        <v>1.1836511836511798E-2</v>
      </c>
      <c r="AD60" s="106">
        <f t="shared" si="14"/>
        <v>1.1823692085549897E-2</v>
      </c>
      <c r="AE60" s="106">
        <f t="shared" si="14"/>
        <v>1.4729950900163713E-2</v>
      </c>
      <c r="AF60" s="106">
        <f t="shared" si="14"/>
        <v>1.1826838568836484E-2</v>
      </c>
    </row>
    <row r="61" spans="2:35">
      <c r="B61" s="100">
        <v>2018</v>
      </c>
      <c r="O61" s="103"/>
      <c r="P61" s="100"/>
      <c r="Q61" s="100">
        <v>2018</v>
      </c>
      <c r="R61" s="106">
        <f t="shared" si="15"/>
        <v>8.4787216696560197E-3</v>
      </c>
      <c r="S61" s="107">
        <f t="shared" si="14"/>
        <v>1.4358839553696656E-2</v>
      </c>
      <c r="T61" s="106">
        <f t="shared" si="14"/>
        <v>9.1404187490660149E-3</v>
      </c>
      <c r="U61" s="106">
        <f t="shared" si="14"/>
        <v>2.3464509010665768E-2</v>
      </c>
      <c r="V61" s="106">
        <f t="shared" si="14"/>
        <v>0</v>
      </c>
      <c r="W61" s="106">
        <f t="shared" si="14"/>
        <v>1.6038726233523759E-2</v>
      </c>
      <c r="X61" s="106">
        <f t="shared" si="14"/>
        <v>0</v>
      </c>
      <c r="Y61" s="106">
        <f t="shared" si="14"/>
        <v>1.1357070932171309E-2</v>
      </c>
      <c r="Z61" s="106">
        <f t="shared" si="14"/>
        <v>5.3571428571428603E-2</v>
      </c>
      <c r="AA61" s="106">
        <f t="shared" si="14"/>
        <v>0.10000000000000009</v>
      </c>
      <c r="AB61" s="106">
        <f t="shared" si="14"/>
        <v>1.1417017121681639E-2</v>
      </c>
      <c r="AC61" s="106">
        <f t="shared" si="14"/>
        <v>1.4415386690820764E-2</v>
      </c>
      <c r="AD61" s="106">
        <f t="shared" si="14"/>
        <v>1.3417624097902037E-2</v>
      </c>
      <c r="AE61" s="106">
        <f t="shared" si="14"/>
        <v>0.10967741935483866</v>
      </c>
      <c r="AF61" s="106">
        <f t="shared" si="14"/>
        <v>1.3522139515416587E-2</v>
      </c>
    </row>
    <row r="62" spans="2:35">
      <c r="O62" s="103"/>
      <c r="P62" s="100"/>
      <c r="S62" s="97"/>
    </row>
    <row r="63" spans="2:35">
      <c r="B63" s="98" t="s">
        <v>323</v>
      </c>
      <c r="O63" s="108"/>
      <c r="P63" s="108"/>
      <c r="Q63" s="98" t="s">
        <v>324</v>
      </c>
      <c r="R63" s="109">
        <f>AVERAGE(R60:R61)</f>
        <v>8.3629874342745492E-3</v>
      </c>
      <c r="S63" s="110">
        <f t="shared" ref="S63:AF63" si="16">AVERAGE(S60:S61)</f>
        <v>1.1734346892563807E-2</v>
      </c>
      <c r="T63" s="109">
        <f t="shared" si="16"/>
        <v>1.0004125402697017E-2</v>
      </c>
      <c r="U63" s="109">
        <f t="shared" si="16"/>
        <v>2.1978463783219104E-2</v>
      </c>
      <c r="V63" s="109">
        <f t="shared" si="16"/>
        <v>4.5454545454545414E-2</v>
      </c>
      <c r="W63" s="109">
        <f t="shared" si="16"/>
        <v>1.8061093881089341E-2</v>
      </c>
      <c r="X63" s="109">
        <f t="shared" si="16"/>
        <v>0</v>
      </c>
      <c r="Y63" s="109">
        <f t="shared" si="16"/>
        <v>1.1304109291308873E-2</v>
      </c>
      <c r="Z63" s="109">
        <f t="shared" si="16"/>
        <v>4.5304232804232791E-2</v>
      </c>
      <c r="AA63" s="109">
        <f t="shared" si="16"/>
        <v>0.91363636363636358</v>
      </c>
      <c r="AB63" s="109">
        <f t="shared" si="16"/>
        <v>1.4207668027590881E-2</v>
      </c>
      <c r="AC63" s="109">
        <f t="shared" si="16"/>
        <v>1.3125949263666281E-2</v>
      </c>
      <c r="AD63" s="109">
        <f t="shared" si="16"/>
        <v>1.2620658091725967E-2</v>
      </c>
      <c r="AE63" s="109">
        <f t="shared" si="16"/>
        <v>6.2203685127501185E-2</v>
      </c>
      <c r="AF63" s="109">
        <f t="shared" si="16"/>
        <v>1.2674489042126535E-2</v>
      </c>
    </row>
    <row r="64" spans="2:35">
      <c r="B64" s="104" t="s">
        <v>325</v>
      </c>
      <c r="O64" s="105"/>
      <c r="P64" s="105"/>
      <c r="Q64" s="104" t="s">
        <v>326</v>
      </c>
      <c r="R64" s="109">
        <f>AVERAGE(R59:R61)</f>
        <v>9.334445672909716E-3</v>
      </c>
      <c r="S64" s="110">
        <f t="shared" ref="S64:AF64" si="17">AVERAGE(S59:S61)</f>
        <v>1.3295320672725097E-2</v>
      </c>
      <c r="T64" s="109">
        <f t="shared" si="17"/>
        <v>1.0804258069437189E-2</v>
      </c>
      <c r="U64" s="109">
        <f t="shared" si="17"/>
        <v>2.2672397845383847E-2</v>
      </c>
      <c r="V64" s="109">
        <f t="shared" si="17"/>
        <v>4.6176046176046169E-2</v>
      </c>
      <c r="W64" s="109">
        <f t="shared" si="17"/>
        <v>1.8958002483460284E-2</v>
      </c>
      <c r="X64" s="109">
        <f t="shared" si="17"/>
        <v>0</v>
      </c>
      <c r="Y64" s="109">
        <f t="shared" si="17"/>
        <v>1.2185057588055029E-2</v>
      </c>
      <c r="Z64" s="109">
        <f t="shared" si="17"/>
        <v>2.4142215808882466E-2</v>
      </c>
      <c r="AA64" s="109" t="e">
        <f t="shared" si="17"/>
        <v>#DIV/0!</v>
      </c>
      <c r="AB64" s="109">
        <f t="shared" si="17"/>
        <v>1.6063228405322667E-2</v>
      </c>
      <c r="AC64" s="109">
        <f t="shared" si="17"/>
        <v>1.4530138740978785E-2</v>
      </c>
      <c r="AD64" s="109">
        <f t="shared" si="17"/>
        <v>1.3982067315159608E-2</v>
      </c>
      <c r="AE64" s="109">
        <f t="shared" si="17"/>
        <v>8.3904547772577651E-2</v>
      </c>
      <c r="AF64" s="250">
        <f t="shared" si="17"/>
        <v>1.4053956860338909E-2</v>
      </c>
    </row>
    <row r="66" spans="12:12">
      <c r="L66" s="106"/>
    </row>
    <row r="67" spans="12:12">
      <c r="L67" s="106"/>
    </row>
  </sheetData>
  <mergeCells count="1">
    <mergeCell ref="AH50:AH52"/>
  </mergeCells>
  <pageMargins left="1.45" right="0.7" top="0.5" bottom="0.5" header="0.3" footer="0.3"/>
  <pageSetup paperSize="17" scale="73" orientation="landscape" r:id="rId1"/>
  <headerFooter>
    <oddFooter>&amp;L&amp;F,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showGridLines="0" workbookViewId="0">
      <selection activeCell="D18" sqref="D18"/>
    </sheetView>
  </sheetViews>
  <sheetFormatPr defaultColWidth="9.140625" defaultRowHeight="14.25"/>
  <cols>
    <col min="1" max="1" width="9.140625" style="166"/>
    <col min="2" max="2" width="21.5703125" style="166" bestFit="1" customWidth="1"/>
    <col min="3" max="3" width="22.42578125" style="166" bestFit="1" customWidth="1"/>
    <col min="4" max="4" width="38" style="166" bestFit="1" customWidth="1"/>
    <col min="5" max="16384" width="9.140625" style="166"/>
  </cols>
  <sheetData>
    <row r="1" spans="1:4">
      <c r="A1" s="165" t="s">
        <v>394</v>
      </c>
      <c r="B1" s="165" t="s">
        <v>395</v>
      </c>
      <c r="C1" s="165" t="s">
        <v>396</v>
      </c>
      <c r="D1" s="165" t="s">
        <v>397</v>
      </c>
    </row>
    <row r="2" spans="1:4">
      <c r="A2" s="167">
        <v>43374</v>
      </c>
      <c r="B2" s="168">
        <v>1644</v>
      </c>
      <c r="C2" s="169">
        <v>358</v>
      </c>
      <c r="D2" s="170">
        <f t="shared" ref="D2:D9" si="0">B2/C2</f>
        <v>4.5921787709497206</v>
      </c>
    </row>
    <row r="3" spans="1:4">
      <c r="A3" s="167">
        <v>43405</v>
      </c>
      <c r="B3" s="168">
        <v>1777</v>
      </c>
      <c r="C3" s="169">
        <v>404</v>
      </c>
      <c r="D3" s="170">
        <f t="shared" si="0"/>
        <v>4.3985148514851486</v>
      </c>
    </row>
    <row r="4" spans="1:4">
      <c r="A4" s="167">
        <v>43435</v>
      </c>
      <c r="B4" s="168">
        <v>1552</v>
      </c>
      <c r="C4" s="169">
        <v>350</v>
      </c>
      <c r="D4" s="170">
        <f t="shared" si="0"/>
        <v>4.4342857142857142</v>
      </c>
    </row>
    <row r="5" spans="1:4">
      <c r="A5" s="167">
        <v>43466</v>
      </c>
      <c r="B5" s="168">
        <v>2192</v>
      </c>
      <c r="C5" s="169">
        <v>447</v>
      </c>
      <c r="D5" s="170">
        <f t="shared" si="0"/>
        <v>4.9038031319910518</v>
      </c>
    </row>
    <row r="6" spans="1:4">
      <c r="A6" s="167">
        <v>43497</v>
      </c>
      <c r="B6" s="168">
        <v>1336</v>
      </c>
      <c r="C6" s="169">
        <v>318</v>
      </c>
      <c r="D6" s="170">
        <f t="shared" si="0"/>
        <v>4.2012578616352201</v>
      </c>
    </row>
    <row r="7" spans="1:4">
      <c r="A7" s="167">
        <v>43525</v>
      </c>
      <c r="B7" s="168">
        <v>2238</v>
      </c>
      <c r="C7" s="169">
        <v>471</v>
      </c>
      <c r="D7" s="170">
        <f t="shared" si="0"/>
        <v>4.7515923566878984</v>
      </c>
    </row>
    <row r="8" spans="1:4">
      <c r="A8" s="167">
        <v>43556</v>
      </c>
      <c r="B8" s="168">
        <v>2509</v>
      </c>
      <c r="C8" s="169">
        <v>481</v>
      </c>
      <c r="D8" s="170">
        <f t="shared" si="0"/>
        <v>5.2162162162162158</v>
      </c>
    </row>
    <row r="9" spans="1:4">
      <c r="A9" s="171" t="s">
        <v>107</v>
      </c>
      <c r="B9" s="168">
        <f>SUM(B2:B8)</f>
        <v>13248</v>
      </c>
      <c r="C9" s="169">
        <f>SUM(C2:C8)</f>
        <v>2829</v>
      </c>
      <c r="D9" s="251">
        <f t="shared" si="0"/>
        <v>4.6829268292682924</v>
      </c>
    </row>
    <row r="10" spans="1:4">
      <c r="C10" s="172"/>
      <c r="D10" s="172"/>
    </row>
    <row r="11" spans="1:4">
      <c r="C11" s="173" t="s">
        <v>398</v>
      </c>
      <c r="D11" s="174">
        <f>'[1]2016-2017 Baseline Data'!I26</f>
        <v>4.207195817195708</v>
      </c>
    </row>
    <row r="12" spans="1:4">
      <c r="C12" s="173" t="s">
        <v>399</v>
      </c>
      <c r="D12" s="175">
        <f>(D9/D11)-1</f>
        <v>0.11307555738864594</v>
      </c>
    </row>
    <row r="13" spans="1:4">
      <c r="C13" s="172"/>
    </row>
    <row r="14" spans="1:4">
      <c r="C14" s="172"/>
    </row>
    <row r="15" spans="1:4">
      <c r="C15" s="172"/>
    </row>
    <row r="16" spans="1:4">
      <c r="C16" s="172"/>
    </row>
    <row r="17" spans="3:3">
      <c r="C17" s="172"/>
    </row>
    <row r="18" spans="3:3">
      <c r="C18" s="172"/>
    </row>
    <row r="19" spans="3:3">
      <c r="C19" s="172"/>
    </row>
    <row r="20" spans="3:3">
      <c r="C20" s="172"/>
    </row>
    <row r="21" spans="3:3">
      <c r="C21" s="172"/>
    </row>
    <row r="22" spans="3:3">
      <c r="C22" s="172"/>
    </row>
  </sheetData>
  <pageMargins left="1.2" right="0.7" top="1.25" bottom="0.75" header="0.3" footer="0.3"/>
  <pageSetup paperSize="17" scale="95" orientation="landscape" r:id="rId1"/>
  <headerFooter>
    <oddFooter>&amp;L&amp;F, &amp;A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zoomScaleNormal="100" zoomScaleSheetLayoutView="100" workbookViewId="0">
      <selection activeCell="L22" sqref="L22"/>
    </sheetView>
  </sheetViews>
  <sheetFormatPr defaultRowHeight="15"/>
  <cols>
    <col min="1" max="1" width="36.5703125" customWidth="1"/>
    <col min="2" max="2" width="1.7109375" customWidth="1"/>
    <col min="3" max="3" width="15.7109375" customWidth="1"/>
    <col min="4" max="4" width="1.7109375" customWidth="1"/>
    <col min="5" max="5" width="15.7109375" customWidth="1"/>
    <col min="6" max="6" width="1.7109375" customWidth="1"/>
    <col min="7" max="7" width="16.42578125" customWidth="1"/>
    <col min="8" max="8" width="1.7109375" customWidth="1"/>
  </cols>
  <sheetData>
    <row r="1" spans="1:9">
      <c r="A1" s="152" t="s">
        <v>400</v>
      </c>
    </row>
    <row r="2" spans="1:9" ht="15.75" thickBot="1">
      <c r="A2" s="197"/>
      <c r="B2" s="198"/>
      <c r="C2" s="197"/>
      <c r="D2" s="198"/>
      <c r="E2" s="197"/>
      <c r="F2" s="198"/>
    </row>
    <row r="3" spans="1:9" s="13" customFormat="1" ht="64.5" customHeight="1">
      <c r="A3" s="9" t="s">
        <v>56</v>
      </c>
      <c r="B3" s="10"/>
      <c r="C3" s="11">
        <v>2018</v>
      </c>
      <c r="D3" s="12"/>
      <c r="E3" s="11">
        <v>2017</v>
      </c>
      <c r="F3" s="12"/>
      <c r="G3" s="11" t="s">
        <v>57</v>
      </c>
      <c r="H3" s="12"/>
    </row>
    <row r="4" spans="1:9">
      <c r="A4" s="14" t="s">
        <v>58</v>
      </c>
      <c r="B4" s="15"/>
      <c r="C4" s="16">
        <v>8.4499999999999993</v>
      </c>
      <c r="D4" s="17"/>
      <c r="E4" s="16">
        <v>8.25</v>
      </c>
      <c r="F4" s="17"/>
      <c r="G4" s="16">
        <v>6.24</v>
      </c>
      <c r="H4" s="18"/>
    </row>
    <row r="5" spans="1:9">
      <c r="A5" s="14" t="s">
        <v>59</v>
      </c>
      <c r="B5" s="15"/>
      <c r="C5" s="16">
        <v>8.1999999999999993</v>
      </c>
      <c r="D5" s="17"/>
      <c r="E5" s="16">
        <v>7.98</v>
      </c>
      <c r="F5" s="17"/>
      <c r="G5" s="16">
        <v>6</v>
      </c>
      <c r="H5" s="18"/>
    </row>
    <row r="6" spans="1:9">
      <c r="A6" s="14" t="s">
        <v>60</v>
      </c>
      <c r="B6" s="15"/>
      <c r="C6" s="16">
        <v>8.75</v>
      </c>
      <c r="D6" s="17"/>
      <c r="E6" s="16">
        <v>8.4600000000000009</v>
      </c>
      <c r="F6" s="17"/>
      <c r="G6" s="16">
        <v>5.44</v>
      </c>
      <c r="H6" s="18"/>
    </row>
    <row r="7" spans="1:9">
      <c r="A7" s="14" t="s">
        <v>61</v>
      </c>
      <c r="B7" s="15"/>
      <c r="C7" s="16">
        <v>8.92</v>
      </c>
      <c r="D7" s="17"/>
      <c r="E7" s="16">
        <v>8.99</v>
      </c>
      <c r="F7" s="17"/>
      <c r="G7" s="16">
        <v>6.78</v>
      </c>
      <c r="H7" s="18"/>
    </row>
    <row r="8" spans="1:9">
      <c r="A8" s="14" t="s">
        <v>62</v>
      </c>
      <c r="B8" s="15"/>
      <c r="C8" s="16">
        <v>8.67</v>
      </c>
      <c r="D8" s="17"/>
      <c r="E8" s="16">
        <v>8.4600000000000009</v>
      </c>
      <c r="F8" s="17"/>
      <c r="G8" s="16">
        <v>6.34</v>
      </c>
      <c r="H8" s="18"/>
    </row>
    <row r="9" spans="1:9">
      <c r="A9" s="14"/>
      <c r="B9" s="15"/>
      <c r="C9" s="16"/>
      <c r="D9" s="17"/>
      <c r="E9" s="16"/>
      <c r="F9" s="17"/>
      <c r="G9" s="16"/>
      <c r="H9" s="18"/>
    </row>
    <row r="10" spans="1:9">
      <c r="A10" s="14" t="s">
        <v>63</v>
      </c>
      <c r="B10" s="15"/>
      <c r="C10" s="16">
        <f>AVERAGE(C4:C8)</f>
        <v>8.5980000000000008</v>
      </c>
      <c r="D10" s="17"/>
      <c r="E10" s="16">
        <f>AVERAGE(E4:E8)</f>
        <v>8.4280000000000008</v>
      </c>
      <c r="F10" s="17"/>
      <c r="G10" s="16">
        <f>AVERAGE(G4:G8)</f>
        <v>6.16</v>
      </c>
      <c r="H10" s="18"/>
    </row>
    <row r="11" spans="1:9">
      <c r="A11" s="19"/>
      <c r="B11" s="20"/>
      <c r="C11" s="21"/>
      <c r="D11" s="20"/>
      <c r="E11" s="22"/>
      <c r="F11" s="20"/>
      <c r="G11" s="21"/>
      <c r="H11" s="20"/>
      <c r="I11" s="3"/>
    </row>
    <row r="12" spans="1:9" ht="36.75" customHeight="1" thickBot="1">
      <c r="A12" s="23" t="s">
        <v>64</v>
      </c>
      <c r="B12" s="24"/>
      <c r="C12" s="252">
        <v>8.4600000000000009</v>
      </c>
      <c r="D12" s="25"/>
      <c r="E12" s="252">
        <v>8.2899999999999991</v>
      </c>
      <c r="F12" s="25"/>
      <c r="G12" s="252">
        <v>6.32</v>
      </c>
      <c r="H12" s="26"/>
    </row>
    <row r="13" spans="1:9" ht="15.75" thickBot="1"/>
    <row r="14" spans="1:9" ht="28.5">
      <c r="A14" s="9" t="s">
        <v>56</v>
      </c>
      <c r="B14" s="12"/>
      <c r="C14" s="27" t="s">
        <v>65</v>
      </c>
      <c r="D14" s="12"/>
      <c r="E14" s="27" t="s">
        <v>66</v>
      </c>
      <c r="F14" s="12"/>
    </row>
    <row r="15" spans="1:9">
      <c r="A15" s="14" t="s">
        <v>58</v>
      </c>
      <c r="B15" s="18"/>
      <c r="C15" s="28">
        <f t="shared" ref="C15:C20" si="0">C4-E4</f>
        <v>0.19999999999999929</v>
      </c>
      <c r="D15" s="18"/>
      <c r="E15" s="28">
        <f t="shared" ref="E15:E20" si="1">E4-G4</f>
        <v>2.0099999999999998</v>
      </c>
      <c r="F15" s="18"/>
    </row>
    <row r="16" spans="1:9">
      <c r="A16" s="14" t="s">
        <v>59</v>
      </c>
      <c r="B16" s="18"/>
      <c r="C16" s="28">
        <f t="shared" si="0"/>
        <v>0.21999999999999886</v>
      </c>
      <c r="D16" s="18"/>
      <c r="E16" s="28">
        <f t="shared" si="1"/>
        <v>1.9800000000000004</v>
      </c>
      <c r="F16" s="18"/>
    </row>
    <row r="17" spans="1:6">
      <c r="A17" s="14" t="s">
        <v>60</v>
      </c>
      <c r="B17" s="18"/>
      <c r="C17" s="28">
        <f t="shared" si="0"/>
        <v>0.28999999999999915</v>
      </c>
      <c r="D17" s="18"/>
      <c r="E17" s="28">
        <f t="shared" si="1"/>
        <v>3.0200000000000005</v>
      </c>
      <c r="F17" s="18"/>
    </row>
    <row r="18" spans="1:6">
      <c r="A18" s="14" t="s">
        <v>61</v>
      </c>
      <c r="B18" s="18"/>
      <c r="C18" s="28">
        <f t="shared" si="0"/>
        <v>-7.0000000000000284E-2</v>
      </c>
      <c r="D18" s="18"/>
      <c r="E18" s="28">
        <f t="shared" si="1"/>
        <v>2.21</v>
      </c>
      <c r="F18" s="18"/>
    </row>
    <row r="19" spans="1:6">
      <c r="A19" s="14" t="s">
        <v>62</v>
      </c>
      <c r="B19" s="18"/>
      <c r="C19" s="28">
        <f t="shared" si="0"/>
        <v>0.20999999999999908</v>
      </c>
      <c r="D19" s="18"/>
      <c r="E19" s="28">
        <f t="shared" si="1"/>
        <v>2.120000000000001</v>
      </c>
      <c r="F19" s="18"/>
    </row>
    <row r="20" spans="1:6">
      <c r="A20" s="14" t="s">
        <v>67</v>
      </c>
      <c r="B20" s="18"/>
      <c r="C20" s="28">
        <f t="shared" si="0"/>
        <v>0</v>
      </c>
      <c r="D20" s="18"/>
      <c r="E20" s="28">
        <f t="shared" si="1"/>
        <v>0</v>
      </c>
      <c r="F20" s="18"/>
    </row>
    <row r="21" spans="1:6" ht="15.75" thickBot="1">
      <c r="A21" s="29"/>
      <c r="B21" s="24"/>
      <c r="C21" s="30"/>
      <c r="D21" s="24"/>
      <c r="E21" s="30"/>
      <c r="F21" s="24"/>
    </row>
    <row r="24" spans="1:6">
      <c r="A24" s="31" t="s">
        <v>68</v>
      </c>
      <c r="B24" s="31"/>
      <c r="C24" s="31"/>
      <c r="D24" s="31"/>
    </row>
    <row r="25" spans="1:6">
      <c r="A25" s="32" t="s">
        <v>69</v>
      </c>
    </row>
    <row r="26" spans="1:6">
      <c r="A26" s="32" t="s">
        <v>70</v>
      </c>
    </row>
    <row r="27" spans="1:6">
      <c r="A27" s="32" t="s">
        <v>71</v>
      </c>
    </row>
    <row r="28" spans="1:6">
      <c r="A28" s="32" t="s">
        <v>72</v>
      </c>
    </row>
    <row r="29" spans="1:6">
      <c r="A29" s="32" t="s">
        <v>73</v>
      </c>
    </row>
    <row r="30" spans="1:6">
      <c r="A30" s="32"/>
    </row>
    <row r="31" spans="1:6">
      <c r="A31" s="31" t="s">
        <v>74</v>
      </c>
      <c r="B31" s="31"/>
      <c r="D31" s="31"/>
    </row>
    <row r="32" spans="1:6">
      <c r="A32" s="32" t="s">
        <v>75</v>
      </c>
    </row>
    <row r="33" spans="1:1">
      <c r="A33" s="32" t="s">
        <v>76</v>
      </c>
    </row>
    <row r="34" spans="1:1">
      <c r="A34" s="32" t="s">
        <v>77</v>
      </c>
    </row>
    <row r="35" spans="1:1">
      <c r="A35" s="32" t="s">
        <v>78</v>
      </c>
    </row>
  </sheetData>
  <mergeCells count="1">
    <mergeCell ref="A2:F2"/>
  </mergeCells>
  <pageMargins left="0.95" right="0.7" top="1" bottom="0.75" header="0.3" footer="0.3"/>
  <pageSetup scale="95" orientation="portrait" r:id="rId1"/>
  <headerFooter>
    <oddFooter>&amp;L&amp;F,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4081C303D597F46A51B1E34376944AC" ma:contentTypeVersion="56" ma:contentTypeDescription="" ma:contentTypeScope="" ma:versionID="e22e9193f40833cf40870f67854ce1a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2019-06-20T07:00:00+00:00</OpenedDate>
    <SignificantOrder xmlns="dc463f71-b30c-4ab2-9473-d307f9d35888">false</SignificantOrder>
    <Date1 xmlns="dc463f71-b30c-4ab2-9473-d307f9d35888">2019-07-02T07:00:00+00:00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190529</DocketNumber>
    <DelegatedOrder xmlns="dc463f71-b30c-4ab2-9473-d307f9d35888">false</DelegatedOrder>
  </documentManagement>
</p:properties>
</file>

<file path=customXml/itemProps1.xml><?xml version="1.0" encoding="utf-8"?>
<ds:datastoreItem xmlns:ds="http://schemas.openxmlformats.org/officeDocument/2006/customXml" ds:itemID="{BA7E962F-BE1D-4A16-B5B6-204242646BD2}"/>
</file>

<file path=customXml/itemProps2.xml><?xml version="1.0" encoding="utf-8"?>
<ds:datastoreItem xmlns:ds="http://schemas.openxmlformats.org/officeDocument/2006/customXml" ds:itemID="{DF8358D1-3139-4A37-BC24-04A42EC952B4}"/>
</file>

<file path=customXml/itemProps3.xml><?xml version="1.0" encoding="utf-8"?>
<ds:datastoreItem xmlns:ds="http://schemas.openxmlformats.org/officeDocument/2006/customXml" ds:itemID="{FA03D3E0-2E83-4E8A-805A-C64DA04867BE}"/>
</file>

<file path=customXml/itemProps4.xml><?xml version="1.0" encoding="utf-8"?>
<ds:datastoreItem xmlns:ds="http://schemas.openxmlformats.org/officeDocument/2006/customXml" ds:itemID="{29C7E794-A41C-4EE6-BE07-CDCAB0E1BC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Growth Stats NG EIA US</vt:lpstr>
      <vt:lpstr>Growth Stats ELEC EIA US</vt:lpstr>
      <vt:lpstr>Gas &amp; Elec Damages</vt:lpstr>
      <vt:lpstr>Cable_Repl_Hist Outages</vt:lpstr>
      <vt:lpstr>PSE Growth Stats Gas County</vt:lpstr>
      <vt:lpstr>Public Improvement Projects</vt:lpstr>
      <vt:lpstr>PSE Growth Stats Elec County</vt:lpstr>
      <vt:lpstr>IWM Ops Per Worker Per Day</vt:lpstr>
      <vt:lpstr>Cust Satisfaction Survey</vt:lpstr>
      <vt:lpstr>20 yr Model - Truss comparison</vt:lpstr>
      <vt:lpstr>DA circuits enabled</vt:lpstr>
      <vt:lpstr>DA Event Tracking Overview</vt:lpstr>
      <vt:lpstr>DA 2018 Operations</vt:lpstr>
      <vt:lpstr>DA 2019 Operations</vt:lpstr>
      <vt:lpstr>'Cust Satisfaction Survey'!Print_Area</vt:lpstr>
      <vt:lpstr>'Gas &amp; Elec Damages'!Print_Area</vt:lpstr>
      <vt:lpstr>'PSE Growth Stats Elec County'!Print_Area</vt:lpstr>
      <vt:lpstr>'Growth Stats ELEC EIA US'!Print_Titles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Pagano</dc:creator>
  <cp:lastModifiedBy>Tony Pagano</cp:lastModifiedBy>
  <dcterms:created xsi:type="dcterms:W3CDTF">2019-06-26T20:35:34Z</dcterms:created>
  <dcterms:modified xsi:type="dcterms:W3CDTF">2019-06-26T22:52:25Z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0x0101006E56B4D1795A2E4DB2F0B01679ED314A0074081C303D597F46A51B1E34376944AC</vt:lpwstr>
  </property>
  <property fmtid="{D5CDD505-2E9C-101B-9397-08002B2CF9AE}" pid="3" name="_docset_NoMedatataSyncRequired">
    <vt:lpwstr>False</vt:lpwstr>
  </property>
  <property fmtid="{D5CDD505-2E9C-101B-9397-08002B2CF9AE}" pid="4" name="IsEFSEC">
    <vt:bool>false</vt:bool>
  </property>
</Properties>
</file>