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M:\2020\2020 WA Elec and Gas GRC\Adjustments\"/>
    </mc:Choice>
  </mc:AlternateContent>
  <xr:revisionPtr revIDLastSave="0" documentId="13_ncr:1_{DA750549-DAAA-46AA-93A9-263B083D0799}" xr6:coauthVersionLast="44" xr6:coauthVersionMax="44" xr10:uidLastSave="{00000000-0000-0000-0000-000000000000}"/>
  <bookViews>
    <workbookView xWindow="28680" yWindow="-195" windowWidth="29040" windowHeight="15840" xr2:uid="{00000000-000D-0000-FFFF-FFFF00000000}"/>
  </bookViews>
  <sheets>
    <sheet name="CF WA Elec" sheetId="1" r:id="rId1"/>
    <sheet name="CF WA Gas" sheetId="2" r:id="rId2"/>
    <sheet name="CF ID Elec" sheetId="3" r:id="rId3"/>
    <sheet name="CF ID Gas" sheetId="4" r:id="rId4"/>
    <sheet name="C-UE-1" sheetId="23" r:id="rId5"/>
    <sheet name="C-UE-2" sheetId="24" r:id="rId6"/>
    <sheet name="C-UE-3" sheetId="20" r:id="rId7"/>
    <sheet name="Acerno_Cache_XXXXX" sheetId="22" state="veryHidden" r:id="rId8"/>
    <sheet name="SharedInputs" sheetId="8" r:id="rId9"/>
  </sheets>
  <externalReferences>
    <externalReference r:id="rId10"/>
    <externalReference r:id="rId11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4">'C-UE-1'!$A$1:$H$68</definedName>
    <definedName name="_xlnm.Print_Area" localSheetId="5">'C-UE-2'!$A$1:$AD$28</definedName>
    <definedName name="_xlnm.Print_Titles" localSheetId="4">'C-UE-1'!$1:$4</definedName>
    <definedName name="PrintAll">#REF!</definedName>
    <definedName name="Recover">[1]Macro1!$A$85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8" i="24" l="1"/>
  <c r="B148" i="24"/>
  <c r="C146" i="24"/>
  <c r="B146" i="24"/>
  <c r="A146" i="24"/>
  <c r="A148" i="24" s="1"/>
  <c r="C141" i="24"/>
  <c r="B141" i="24"/>
  <c r="A141" i="24"/>
  <c r="C126" i="24"/>
  <c r="C124" i="24"/>
  <c r="B124" i="24"/>
  <c r="B126" i="24" s="1"/>
  <c r="A124" i="24"/>
  <c r="A126" i="24" s="1"/>
  <c r="C119" i="24"/>
  <c r="B119" i="24"/>
  <c r="A119" i="24"/>
  <c r="A104" i="24"/>
  <c r="C102" i="24"/>
  <c r="C104" i="24" s="1"/>
  <c r="B102" i="24"/>
  <c r="A102" i="24"/>
  <c r="C95" i="24"/>
  <c r="B95" i="24"/>
  <c r="B104" i="24" s="1"/>
  <c r="A95" i="24"/>
  <c r="B77" i="24"/>
  <c r="A77" i="24"/>
  <c r="C75" i="24"/>
  <c r="B75" i="24"/>
  <c r="A75" i="24"/>
  <c r="C72" i="24"/>
  <c r="C77" i="24" s="1"/>
  <c r="B72" i="24"/>
  <c r="A72" i="24"/>
  <c r="C56" i="24"/>
  <c r="B56" i="24"/>
  <c r="C54" i="24"/>
  <c r="B54" i="24"/>
  <c r="A54" i="24"/>
  <c r="A56" i="24" s="1"/>
  <c r="C49" i="24"/>
  <c r="B49" i="24"/>
  <c r="A49" i="24"/>
  <c r="N41" i="24"/>
  <c r="T43" i="23" s="1"/>
  <c r="U43" i="23" s="1"/>
  <c r="M41" i="24"/>
  <c r="K41" i="24"/>
  <c r="M40" i="24"/>
  <c r="N40" i="24" s="1"/>
  <c r="S43" i="23" s="1"/>
  <c r="K40" i="24"/>
  <c r="M39" i="24"/>
  <c r="K39" i="24"/>
  <c r="N39" i="24" s="1"/>
  <c r="R43" i="23" s="1"/>
  <c r="M38" i="24"/>
  <c r="K38" i="24"/>
  <c r="N38" i="24" s="1"/>
  <c r="Q43" i="23" s="1"/>
  <c r="N37" i="24"/>
  <c r="M37" i="24"/>
  <c r="K37" i="24"/>
  <c r="M36" i="24"/>
  <c r="N36" i="24" s="1"/>
  <c r="O43" i="23" s="1"/>
  <c r="K36" i="24"/>
  <c r="M35" i="24"/>
  <c r="K35" i="24"/>
  <c r="N35" i="24" s="1"/>
  <c r="N43" i="23" s="1"/>
  <c r="M34" i="24"/>
  <c r="K34" i="24"/>
  <c r="N34" i="24" s="1"/>
  <c r="M43" i="23" s="1"/>
  <c r="N33" i="24"/>
  <c r="L43" i="23" s="1"/>
  <c r="M33" i="24"/>
  <c r="K33" i="24"/>
  <c r="B33" i="24"/>
  <c r="M32" i="24"/>
  <c r="K32" i="24"/>
  <c r="N32" i="24" s="1"/>
  <c r="K43" i="23" s="1"/>
  <c r="M31" i="24"/>
  <c r="K31" i="24"/>
  <c r="N31" i="24" s="1"/>
  <c r="J43" i="23" s="1"/>
  <c r="C31" i="24"/>
  <c r="C33" i="24" s="1"/>
  <c r="B31" i="24"/>
  <c r="A31" i="24"/>
  <c r="A33" i="24" s="1"/>
  <c r="M30" i="24"/>
  <c r="N30" i="24" s="1"/>
  <c r="I43" i="23" s="1"/>
  <c r="I11" i="23" s="1"/>
  <c r="K30" i="24"/>
  <c r="R23" i="24"/>
  <c r="C23" i="23" s="1"/>
  <c r="Q23" i="24"/>
  <c r="N23" i="24"/>
  <c r="M23" i="24"/>
  <c r="K26" i="24" s="1"/>
  <c r="L23" i="24"/>
  <c r="K27" i="24" s="1"/>
  <c r="K23" i="24"/>
  <c r="J23" i="24"/>
  <c r="I23" i="24"/>
  <c r="C23" i="24"/>
  <c r="B23" i="24"/>
  <c r="A23" i="24"/>
  <c r="H22" i="24"/>
  <c r="G22" i="24"/>
  <c r="F22" i="24"/>
  <c r="E22" i="24"/>
  <c r="H21" i="24"/>
  <c r="G21" i="24"/>
  <c r="F21" i="24"/>
  <c r="E21" i="24"/>
  <c r="H20" i="24"/>
  <c r="G20" i="24"/>
  <c r="F20" i="24"/>
  <c r="E20" i="24"/>
  <c r="H19" i="24"/>
  <c r="G19" i="24"/>
  <c r="F19" i="24"/>
  <c r="E19" i="24"/>
  <c r="H18" i="24"/>
  <c r="G18" i="24"/>
  <c r="F18" i="24"/>
  <c r="E18" i="24"/>
  <c r="H17" i="24"/>
  <c r="G17" i="24"/>
  <c r="F17" i="24"/>
  <c r="E17" i="24"/>
  <c r="H16" i="24"/>
  <c r="G16" i="24"/>
  <c r="F16" i="24"/>
  <c r="E16" i="24"/>
  <c r="H15" i="24"/>
  <c r="G15" i="24"/>
  <c r="F15" i="24"/>
  <c r="E15" i="24"/>
  <c r="H14" i="24"/>
  <c r="G14" i="24"/>
  <c r="F14" i="24"/>
  <c r="E14" i="24"/>
  <c r="H13" i="24"/>
  <c r="G13" i="24"/>
  <c r="F13" i="24"/>
  <c r="E13" i="24"/>
  <c r="H12" i="24"/>
  <c r="G12" i="24"/>
  <c r="F12" i="24"/>
  <c r="E12" i="24"/>
  <c r="P11" i="24"/>
  <c r="P12" i="24" s="1"/>
  <c r="P13" i="24" s="1"/>
  <c r="H11" i="24"/>
  <c r="H23" i="24" s="1"/>
  <c r="C65" i="23" s="1"/>
  <c r="G11" i="24"/>
  <c r="G23" i="24" s="1"/>
  <c r="C61" i="23" s="1"/>
  <c r="C62" i="23" s="1"/>
  <c r="F11" i="24"/>
  <c r="F23" i="24" s="1"/>
  <c r="C64" i="23" s="1"/>
  <c r="C66" i="23" s="1"/>
  <c r="G50" i="23" s="1"/>
  <c r="E11" i="24"/>
  <c r="E23" i="24" s="1"/>
  <c r="C60" i="23" s="1"/>
  <c r="D11" i="24"/>
  <c r="D12" i="24" s="1"/>
  <c r="D13" i="24" s="1"/>
  <c r="D14" i="24" s="1"/>
  <c r="D3" i="24"/>
  <c r="C49" i="23"/>
  <c r="C48" i="23"/>
  <c r="P43" i="23"/>
  <c r="R42" i="23"/>
  <c r="Q42" i="23"/>
  <c r="N42" i="23"/>
  <c r="M42" i="23"/>
  <c r="J42" i="23"/>
  <c r="I42" i="23"/>
  <c r="I21" i="23" s="1"/>
  <c r="I25" i="23" s="1"/>
  <c r="C42" i="23"/>
  <c r="T41" i="23"/>
  <c r="T42" i="23" s="1"/>
  <c r="S41" i="23"/>
  <c r="S42" i="23" s="1"/>
  <c r="R41" i="23"/>
  <c r="Q41" i="23"/>
  <c r="P41" i="23"/>
  <c r="P42" i="23" s="1"/>
  <c r="O41" i="23"/>
  <c r="O42" i="23" s="1"/>
  <c r="N41" i="23"/>
  <c r="M41" i="23"/>
  <c r="L41" i="23"/>
  <c r="L42" i="23" s="1"/>
  <c r="K41" i="23"/>
  <c r="K42" i="23" s="1"/>
  <c r="J41" i="23"/>
  <c r="I41" i="23"/>
  <c r="C41" i="23"/>
  <c r="C43" i="23" s="1"/>
  <c r="G27" i="23"/>
  <c r="E27" i="23"/>
  <c r="C27" i="23" s="1"/>
  <c r="A27" i="23"/>
  <c r="T23" i="23"/>
  <c r="R23" i="23"/>
  <c r="Q23" i="23"/>
  <c r="P23" i="23"/>
  <c r="N23" i="23"/>
  <c r="M23" i="23"/>
  <c r="L23" i="23"/>
  <c r="K23" i="23"/>
  <c r="J23" i="23"/>
  <c r="I23" i="23"/>
  <c r="G17" i="23"/>
  <c r="E17" i="23"/>
  <c r="R13" i="23" s="1"/>
  <c r="C17" i="23"/>
  <c r="A17" i="23"/>
  <c r="T13" i="23"/>
  <c r="S13" i="23"/>
  <c r="P13" i="23"/>
  <c r="O13" i="23"/>
  <c r="L13" i="23"/>
  <c r="K13" i="23"/>
  <c r="G13" i="23"/>
  <c r="E13" i="23"/>
  <c r="C13" i="23"/>
  <c r="J9" i="23"/>
  <c r="K9" i="23" s="1"/>
  <c r="L9" i="23" s="1"/>
  <c r="M9" i="23" s="1"/>
  <c r="N9" i="23" s="1"/>
  <c r="O9" i="23" s="1"/>
  <c r="P9" i="23" s="1"/>
  <c r="Q9" i="23" s="1"/>
  <c r="R9" i="23" s="1"/>
  <c r="S9" i="23" s="1"/>
  <c r="T9" i="23" s="1"/>
  <c r="I9" i="23"/>
  <c r="A3" i="23"/>
  <c r="G23" i="23" l="1"/>
  <c r="E23" i="23"/>
  <c r="J21" i="23"/>
  <c r="K21" i="23" s="1"/>
  <c r="J11" i="23"/>
  <c r="K11" i="23" s="1"/>
  <c r="E48" i="23"/>
  <c r="G48" i="23" s="1"/>
  <c r="I13" i="23"/>
  <c r="M13" i="23"/>
  <c r="Q13" i="23"/>
  <c r="O23" i="23"/>
  <c r="U23" i="23" s="1"/>
  <c r="S23" i="23"/>
  <c r="U41" i="23"/>
  <c r="U42" i="23" s="1"/>
  <c r="C50" i="23"/>
  <c r="C52" i="23" s="1"/>
  <c r="J13" i="23"/>
  <c r="N13" i="23"/>
  <c r="M21" i="23"/>
  <c r="P14" i="24"/>
  <c r="P15" i="24" s="1"/>
  <c r="P16" i="24" s="1"/>
  <c r="P17" i="24" s="1"/>
  <c r="P18" i="24" s="1"/>
  <c r="P19" i="24" s="1"/>
  <c r="P20" i="24" s="1"/>
  <c r="P21" i="24" s="1"/>
  <c r="P22" i="24" s="1"/>
  <c r="D15" i="24"/>
  <c r="D16" i="24" s="1"/>
  <c r="D17" i="24" s="1"/>
  <c r="D18" i="24" s="1"/>
  <c r="D19" i="24" s="1"/>
  <c r="D20" i="24" s="1"/>
  <c r="D21" i="24" s="1"/>
  <c r="D22" i="24" s="1"/>
  <c r="L11" i="23"/>
  <c r="L15" i="23" s="1"/>
  <c r="K15" i="23"/>
  <c r="G43" i="23"/>
  <c r="C68" i="23"/>
  <c r="L21" i="23"/>
  <c r="L25" i="23" s="1"/>
  <c r="K25" i="23"/>
  <c r="J25" i="23"/>
  <c r="E41" i="23"/>
  <c r="G11" i="23" l="1"/>
  <c r="G49" i="23"/>
  <c r="G21" i="23" s="1"/>
  <c r="E49" i="23"/>
  <c r="E50" i="23" s="1"/>
  <c r="J15" i="23"/>
  <c r="U13" i="23"/>
  <c r="I15" i="23"/>
  <c r="G41" i="23"/>
  <c r="E11" i="23" s="1"/>
  <c r="D27" i="1" s="1"/>
  <c r="E42" i="23"/>
  <c r="E43" i="23" s="1"/>
  <c r="G52" i="23"/>
  <c r="E68" i="23" s="1"/>
  <c r="M25" i="23"/>
  <c r="N21" i="23"/>
  <c r="M11" i="23"/>
  <c r="G25" i="23" l="1"/>
  <c r="D31" i="4"/>
  <c r="G15" i="23"/>
  <c r="D32" i="3"/>
  <c r="E15" i="23"/>
  <c r="C11" i="23"/>
  <c r="C15" i="23" s="1"/>
  <c r="M15" i="23"/>
  <c r="N11" i="23"/>
  <c r="O21" i="23"/>
  <c r="N25" i="23"/>
  <c r="G42" i="23"/>
  <c r="E21" i="23" s="1"/>
  <c r="D26" i="2" s="1"/>
  <c r="O11" i="23" l="1"/>
  <c r="N15" i="23"/>
  <c r="P21" i="23"/>
  <c r="O25" i="23"/>
  <c r="E25" i="23"/>
  <c r="C21" i="23"/>
  <c r="C25" i="23" s="1"/>
  <c r="P25" i="23" l="1"/>
  <c r="Q21" i="23"/>
  <c r="P11" i="23"/>
  <c r="O15" i="23"/>
  <c r="L13" i="8"/>
  <c r="P15" i="23" l="1"/>
  <c r="Q11" i="23"/>
  <c r="Q25" i="23"/>
  <c r="R21" i="23"/>
  <c r="E13" i="8"/>
  <c r="C13" i="8"/>
  <c r="Q15" i="23" l="1"/>
  <c r="R11" i="23"/>
  <c r="S21" i="23"/>
  <c r="R25" i="23"/>
  <c r="J10" i="20"/>
  <c r="V10" i="20" s="1"/>
  <c r="AF10" i="20" s="1"/>
  <c r="T21" i="23" l="1"/>
  <c r="S25" i="23"/>
  <c r="S11" i="23"/>
  <c r="R15" i="23"/>
  <c r="H19" i="20"/>
  <c r="H20" i="20"/>
  <c r="AD18" i="20"/>
  <c r="AD17" i="20"/>
  <c r="AD16" i="20"/>
  <c r="AD15" i="20"/>
  <c r="AD14" i="20"/>
  <c r="AD13" i="20"/>
  <c r="AD12" i="20"/>
  <c r="AD11" i="20"/>
  <c r="AD10" i="20"/>
  <c r="AN11" i="20"/>
  <c r="AN12" i="20"/>
  <c r="AN13" i="20"/>
  <c r="AN14" i="20"/>
  <c r="AN15" i="20"/>
  <c r="AN16" i="20"/>
  <c r="AN17" i="20"/>
  <c r="AN18" i="20"/>
  <c r="AN19" i="20"/>
  <c r="AN20" i="20"/>
  <c r="AN21" i="20"/>
  <c r="AN10" i="20"/>
  <c r="AD19" i="20"/>
  <c r="AD20" i="20"/>
  <c r="AD21" i="20"/>
  <c r="T11" i="20"/>
  <c r="T12" i="20"/>
  <c r="T13" i="20"/>
  <c r="T14" i="20"/>
  <c r="T15" i="20"/>
  <c r="T16" i="20"/>
  <c r="T17" i="20"/>
  <c r="T18" i="20"/>
  <c r="T19" i="20"/>
  <c r="T20" i="20"/>
  <c r="T21" i="20"/>
  <c r="T10" i="20"/>
  <c r="C22" i="20"/>
  <c r="D22" i="20"/>
  <c r="E22" i="20"/>
  <c r="F22" i="20"/>
  <c r="G22" i="20"/>
  <c r="B22" i="20"/>
  <c r="H11" i="20"/>
  <c r="H12" i="20"/>
  <c r="H13" i="20"/>
  <c r="H14" i="20"/>
  <c r="H15" i="20"/>
  <c r="H16" i="20"/>
  <c r="H17" i="20"/>
  <c r="H18" i="20"/>
  <c r="H21" i="20"/>
  <c r="H10" i="20"/>
  <c r="T11" i="23" l="1"/>
  <c r="S15" i="23"/>
  <c r="T25" i="23"/>
  <c r="U21" i="23"/>
  <c r="U25" i="23" s="1"/>
  <c r="H22" i="20"/>
  <c r="T15" i="23" l="1"/>
  <c r="U11" i="23"/>
  <c r="U15" i="23" s="1"/>
  <c r="A3" i="20" l="1"/>
  <c r="J3" i="20" s="1"/>
  <c r="V3" i="20" s="1"/>
  <c r="AF3" i="20" s="1"/>
  <c r="B14" i="8" l="1"/>
  <c r="AM22" i="20"/>
  <c r="AL22" i="20"/>
  <c r="AK22" i="20"/>
  <c r="AJ22" i="20"/>
  <c r="AI22" i="20"/>
  <c r="AH22" i="20"/>
  <c r="AG22" i="20"/>
  <c r="AC22" i="20"/>
  <c r="AB22" i="20"/>
  <c r="AA22" i="20"/>
  <c r="Z22" i="20"/>
  <c r="Y22" i="20"/>
  <c r="X22" i="20"/>
  <c r="W22" i="20"/>
  <c r="S22" i="20"/>
  <c r="R22" i="20"/>
  <c r="Q22" i="20"/>
  <c r="P22" i="20"/>
  <c r="O22" i="20"/>
  <c r="N22" i="20"/>
  <c r="M22" i="20"/>
  <c r="L22" i="20"/>
  <c r="K22" i="20"/>
  <c r="AF11" i="20"/>
  <c r="AF12" i="20" s="1"/>
  <c r="AF13" i="20" s="1"/>
  <c r="AF14" i="20" s="1"/>
  <c r="AF15" i="20" s="1"/>
  <c r="AF16" i="20" s="1"/>
  <c r="AF17" i="20" s="1"/>
  <c r="AF18" i="20" s="1"/>
  <c r="AF19" i="20" s="1"/>
  <c r="AF20" i="20" s="1"/>
  <c r="AF21" i="20" s="1"/>
  <c r="V11" i="20"/>
  <c r="V12" i="20" s="1"/>
  <c r="V13" i="20" s="1"/>
  <c r="V14" i="20" s="1"/>
  <c r="V15" i="20" s="1"/>
  <c r="V16" i="20" s="1"/>
  <c r="V17" i="20" s="1"/>
  <c r="V18" i="20" s="1"/>
  <c r="V19" i="20" s="1"/>
  <c r="V20" i="20" s="1"/>
  <c r="V21" i="20" s="1"/>
  <c r="J11" i="20"/>
  <c r="J12" i="20" s="1"/>
  <c r="J13" i="20" s="1"/>
  <c r="J14" i="20" s="1"/>
  <c r="J15" i="20" s="1"/>
  <c r="J16" i="20" s="1"/>
  <c r="J17" i="20" s="1"/>
  <c r="J18" i="20" s="1"/>
  <c r="J19" i="20" s="1"/>
  <c r="J20" i="20" s="1"/>
  <c r="J21" i="20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M13" i="8"/>
  <c r="D24" i="8" s="1"/>
  <c r="A3" i="2"/>
  <c r="A3" i="3"/>
  <c r="A3" i="4"/>
  <c r="D33" i="4"/>
  <c r="D28" i="2"/>
  <c r="D34" i="3"/>
  <c r="E13" i="3"/>
  <c r="C49" i="3" s="1"/>
  <c r="D42" i="3"/>
  <c r="D44" i="3"/>
  <c r="B21" i="3"/>
  <c r="D29" i="1"/>
  <c r="E11" i="1"/>
  <c r="D37" i="1"/>
  <c r="A1" i="3"/>
  <c r="A51" i="3"/>
  <c r="A39" i="3"/>
  <c r="A3" i="1"/>
  <c r="D41" i="4"/>
  <c r="D43" i="4"/>
  <c r="E13" i="4"/>
  <c r="C48" i="4" s="1"/>
  <c r="A1" i="4"/>
  <c r="A50" i="4"/>
  <c r="A38" i="4"/>
  <c r="B21" i="4"/>
  <c r="A1" i="1"/>
  <c r="A34" i="1"/>
  <c r="B20" i="1"/>
  <c r="A1" i="2"/>
  <c r="A33" i="2"/>
  <c r="D36" i="2"/>
  <c r="B20" i="2"/>
  <c r="E11" i="2"/>
  <c r="D44" i="4" l="1"/>
  <c r="D45" i="3"/>
  <c r="AD22" i="20"/>
  <c r="C14" i="8" s="1"/>
  <c r="AN22" i="20"/>
  <c r="T22" i="20"/>
  <c r="D45" i="4"/>
  <c r="D46" i="4" s="1"/>
  <c r="D46" i="3"/>
  <c r="D47" i="3" l="1"/>
  <c r="E14" i="8"/>
  <c r="D14" i="8"/>
  <c r="E30" i="1" l="1"/>
  <c r="E9" i="1" s="1"/>
  <c r="E35" i="3"/>
  <c r="E29" i="2" l="1"/>
  <c r="C40" i="2" s="1"/>
  <c r="D40" i="2" s="1"/>
  <c r="E41" i="2" s="1"/>
  <c r="E13" i="2" s="1"/>
  <c r="E34" i="4"/>
  <c r="E11" i="4" s="1"/>
  <c r="C42" i="1"/>
  <c r="E11" i="3"/>
  <c r="C48" i="3"/>
  <c r="D49" i="3" s="1"/>
  <c r="D42" i="1" l="1"/>
  <c r="E43" i="1" s="1"/>
  <c r="E13" i="1" s="1"/>
  <c r="E16" i="1" s="1"/>
  <c r="E18" i="1" s="1"/>
  <c r="E20" i="1" s="1"/>
  <c r="E22" i="1" s="1"/>
  <c r="C47" i="4"/>
  <c r="D48" i="4" s="1"/>
  <c r="E9" i="2"/>
  <c r="E16" i="2" s="1"/>
  <c r="E18" i="2" s="1"/>
  <c r="E20" i="2" s="1"/>
  <c r="E22" i="2" s="1"/>
  <c r="E50" i="3"/>
  <c r="E15" i="3" s="1"/>
  <c r="E17" i="3" s="1"/>
  <c r="E19" i="3" s="1"/>
  <c r="E21" i="3" s="1"/>
  <c r="E23" i="3" s="1"/>
  <c r="A50" i="3"/>
  <c r="A49" i="4"/>
  <c r="E49" i="4"/>
  <c r="E15" i="4" s="1"/>
  <c r="E17" i="4" s="1"/>
  <c r="E19" i="4" s="1"/>
  <c r="E21" i="4" s="1"/>
  <c r="E2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Jen Buss</author>
  </authors>
  <commentList>
    <comment ref="C4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  <comment ref="C4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Jen Buss:
</t>
        </r>
        <r>
          <rPr>
            <sz val="9"/>
            <color indexed="81"/>
            <rFont val="Tahoma"/>
            <family val="2"/>
          </rPr>
          <t>Total sales for ultimate customers + (489300)Transportation for others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rzk7kq</author>
    <author>kznwdg</author>
  </authors>
  <commentList>
    <comment ref="C13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E13" authorId="0" shapeId="0" xr:uid="{00000000-0006-0000-0800-000002000000}">
      <text>
        <r>
          <rPr>
            <b/>
            <sz val="8"/>
            <color indexed="81"/>
            <rFont val="Tahoma"/>
            <family val="2"/>
          </rPr>
          <t>Jen Buss: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L13" authorId="0" shapeId="0" xr:uid="{00000000-0006-0000-0800-000003000000}">
      <text>
        <r>
          <rPr>
            <b/>
            <sz val="8"/>
            <color indexed="81"/>
            <rFont val="Tahoma"/>
            <family val="2"/>
          </rPr>
          <t>TLK:</t>
        </r>
        <r>
          <rPr>
            <sz val="8"/>
            <color indexed="81"/>
            <rFont val="Tahoma"/>
            <family val="2"/>
          </rPr>
          <t xml:space="preserve">
Total sales for ultimate customers + (489300)Transportation for others </t>
        </r>
      </text>
    </comment>
    <comment ref="D22" authorId="1" shapeId="0" xr:uid="{00000000-0006-0000-0800-000004000000}">
      <text>
        <r>
          <rPr>
            <b/>
            <sz val="8"/>
            <color indexed="81"/>
            <rFont val="Tahoma"/>
            <family val="2"/>
          </rPr>
          <t>kznwdg:  2014</t>
        </r>
        <r>
          <rPr>
            <sz val="8"/>
            <color indexed="81"/>
            <rFont val="Tahoma"/>
            <family val="2"/>
          </rPr>
          <t xml:space="preserve">
this</t>
        </r>
        <r>
          <rPr>
            <sz val="8"/>
            <color indexed="81"/>
            <rFont val="Tahoma"/>
            <family val="2"/>
          </rPr>
          <t xml:space="preserve"> rate changes infrequently </t>
        </r>
      </text>
    </comment>
  </commentList>
</comments>
</file>

<file path=xl/sharedStrings.xml><?xml version="1.0" encoding="utf-8"?>
<sst xmlns="http://schemas.openxmlformats.org/spreadsheetml/2006/main" count="361" uniqueCount="170">
  <si>
    <t>Revenue:</t>
  </si>
  <si>
    <t>Expense:</t>
  </si>
  <si>
    <t xml:space="preserve">  Uncollectibles  (1)</t>
  </si>
  <si>
    <t xml:space="preserve">  Commission Fees  (2)</t>
  </si>
  <si>
    <t xml:space="preserve">  Washington Excise Tax  (3)</t>
  </si>
  <si>
    <t xml:space="preserve">    Total Expense</t>
  </si>
  <si>
    <t>Net Operating Income Before FIT</t>
  </si>
  <si>
    <t xml:space="preserve">  Federal Income Tax @</t>
  </si>
  <si>
    <t>REVENUE CONVERSION FACTOR</t>
  </si>
  <si>
    <t>NOTES:</t>
  </si>
  <si>
    <t>(1)  Calculation of Effective Uncollectibles Rate:</t>
  </si>
  <si>
    <t xml:space="preserve">       Net Write-Offs *</t>
  </si>
  <si>
    <t xml:space="preserve">         Divided by:</t>
  </si>
  <si>
    <t xml:space="preserve">       Sales to Ultimate Customers **</t>
  </si>
  <si>
    <t xml:space="preserve">       EFFECTIVE RATE</t>
  </si>
  <si>
    <t xml:space="preserve">     *  From Uncollectibles Adjustment Workpapers.</t>
  </si>
  <si>
    <t xml:space="preserve">     ** From Results of Operations Report E-OPS-12A</t>
  </si>
  <si>
    <t>(3)  Calculation of Effective Washington Excise Tax Rate:</t>
  </si>
  <si>
    <t xml:space="preserve">     Nominal Rate  *</t>
  </si>
  <si>
    <t xml:space="preserve">       Multiplied by</t>
  </si>
  <si>
    <t xml:space="preserve">       Uncollectibles Factor:</t>
  </si>
  <si>
    <t xml:space="preserve">         Revenue</t>
  </si>
  <si>
    <t xml:space="preserve">         Less:</t>
  </si>
  <si>
    <t xml:space="preserve">         Effective Uncol Rate</t>
  </si>
  <si>
    <t xml:space="preserve">     EFFECTIVE RATE</t>
  </si>
  <si>
    <t xml:space="preserve">     *  From Combined Excise Tax Return.</t>
  </si>
  <si>
    <t>Revenues</t>
  </si>
  <si>
    <t xml:space="preserve">  Commission Fees (2)</t>
  </si>
  <si>
    <t>(1)  Calculation of Effective Uncollectible Rate:</t>
  </si>
  <si>
    <t xml:space="preserve">       Sales to Ultimate Customers + Transport **</t>
  </si>
  <si>
    <t xml:space="preserve">     *  From Uncollectible Adjustment Workpapers.</t>
  </si>
  <si>
    <t xml:space="preserve">     ** From Results of Operations Report G-OPS-12A.</t>
  </si>
  <si>
    <t>(3)  Calculation of Effective Washington Excise Tax :</t>
  </si>
  <si>
    <t xml:space="preserve">     Nominal Rate *</t>
  </si>
  <si>
    <t xml:space="preserve">         Less: Effective Uncoll Rate</t>
  </si>
  <si>
    <t>CALCULATION OF CONVERSION FACTOR:  IDAHO ELECTRIC</t>
  </si>
  <si>
    <t xml:space="preserve">  Idaho Income Tax (3)</t>
  </si>
  <si>
    <t xml:space="preserve">     ** From Results of Operations Report E-OPS-12A.</t>
  </si>
  <si>
    <t>(3)   Calculation of effective Idaho Income Tax</t>
  </si>
  <si>
    <t xml:space="preserve">       Net Income attributible to Idaho ***</t>
  </si>
  <si>
    <t xml:space="preserve">         Multliplied by:</t>
  </si>
  <si>
    <t xml:space="preserve">         Idaho Income Tax</t>
  </si>
  <si>
    <t xml:space="preserve">      Adjusted Rate</t>
  </si>
  <si>
    <t xml:space="preserve">         Adj for: Effective Uncoll </t>
  </si>
  <si>
    <t xml:space="preserve">                  Commission fees</t>
  </si>
  <si>
    <t>CALCULATION OF CONVERSION FACTOR:  IDAHO GAS</t>
  </si>
  <si>
    <t xml:space="preserve">  Uncollectibles (1)</t>
  </si>
  <si>
    <t xml:space="preserve">     Net Write-Offs *</t>
  </si>
  <si>
    <t xml:space="preserve">       Divided by:</t>
  </si>
  <si>
    <t xml:space="preserve">     Sales to Ultimate Customers + Transport **</t>
  </si>
  <si>
    <t xml:space="preserve">     ** From Results of Operations Report G-OPS-12A</t>
  </si>
  <si>
    <t>(3)  Calculation of effective Idaho Income Tax:</t>
  </si>
  <si>
    <t xml:space="preserve">         Multiplied by:</t>
  </si>
  <si>
    <t xml:space="preserve">       Idaho Income Tax</t>
  </si>
  <si>
    <t xml:space="preserve">     Adjusted Rate</t>
  </si>
  <si>
    <t xml:space="preserve">       Adj For: Uncollectible Rate</t>
  </si>
  <si>
    <t xml:space="preserve">                Commission fees</t>
  </si>
  <si>
    <t>UNCOLLECTIBLES ADJUSTMENT</t>
  </si>
  <si>
    <t>CALCULATION OF ADJUSTMENT:</t>
  </si>
  <si>
    <t xml:space="preserve">  SYSTEM  </t>
  </si>
  <si>
    <t xml:space="preserve"> WASHINGTON </t>
  </si>
  <si>
    <t xml:space="preserve">  IDAHO  </t>
  </si>
  <si>
    <t>ELECTRIC</t>
  </si>
  <si>
    <t>Actual Net Write-offs (1)</t>
  </si>
  <si>
    <t xml:space="preserve">Less: </t>
  </si>
  <si>
    <t>Accrual for Write-offs  (2)</t>
  </si>
  <si>
    <t>Net Under (Over) Accrued</t>
  </si>
  <si>
    <t>GAS</t>
  </si>
  <si>
    <t>Notes:</t>
  </si>
  <si>
    <t>(2)  Accrual for Write-offs from E-OPS and G-OPS Results of Operations reports, Account 904 totals.</t>
  </si>
  <si>
    <t>Twelve Month Period</t>
  </si>
  <si>
    <t>WA</t>
  </si>
  <si>
    <t>ID</t>
  </si>
  <si>
    <t>WA EL</t>
  </si>
  <si>
    <t>WA GAS</t>
  </si>
  <si>
    <t>ID EL</t>
  </si>
  <si>
    <t>Company Name</t>
  </si>
  <si>
    <t>AVISTA UTILITIES</t>
  </si>
  <si>
    <t>CALCULATION OF CONVERSION FACTOR:  WASHINGTON ELECTRIC</t>
  </si>
  <si>
    <t>CALCULATION OF CONVERSION FACTOR: WASHINGTON GAS</t>
  </si>
  <si>
    <t>ID GAS</t>
  </si>
  <si>
    <t>Revised</t>
  </si>
  <si>
    <t xml:space="preserve">(1)  Actual Net Write-offs from calculation below, "Allocation of Write-offs to Services." </t>
  </si>
  <si>
    <t>Sales to Ultimate Customers</t>
  </si>
  <si>
    <t>Nominal Rate - from backup to Combined Excise Tax Return</t>
  </si>
  <si>
    <t>Washington Excise Tax</t>
  </si>
  <si>
    <t>Idaho Income Tax Rate***</t>
  </si>
  <si>
    <t xml:space="preserve">             Form 42 is filed each year in October for the previous year.</t>
  </si>
  <si>
    <t>Commission Fees  (2)</t>
  </si>
  <si>
    <t>Federal Income Tax Rate</t>
  </si>
  <si>
    <t xml:space="preserve">  (Sales to Ultimate Customers plus Transportation Revenue from E-OPS and G-OPS Results of Operations reports)</t>
  </si>
  <si>
    <t xml:space="preserve"> Per Catherine these don't change often and she doesn't anticipate these changing next year. </t>
  </si>
  <si>
    <t>.</t>
  </si>
  <si>
    <t>C-UE-2</t>
  </si>
  <si>
    <t>C-UE-1</t>
  </si>
  <si>
    <t>ED</t>
  </si>
  <si>
    <t>GD</t>
  </si>
  <si>
    <t>OR</t>
  </si>
  <si>
    <t>Shared Inputs</t>
  </si>
  <si>
    <t>Idaho Share of System Revenues</t>
  </si>
  <si>
    <t>Total</t>
  </si>
  <si>
    <t>Idaho Share of System Net Income</t>
  </si>
  <si>
    <t>Idaho Effective Tax Rate</t>
  </si>
  <si>
    <t>ALLOCATION OF WRITE-OFFS TO SERVICES:</t>
  </si>
  <si>
    <t>Sales to Ultimate</t>
  </si>
  <si>
    <t>Allocated Net</t>
  </si>
  <si>
    <t>Customers (1)</t>
  </si>
  <si>
    <t>Percent</t>
  </si>
  <si>
    <t>Write-offs (2)</t>
  </si>
  <si>
    <t>(a)</t>
  </si>
  <si>
    <t>(b)</t>
  </si>
  <si>
    <t>(c)</t>
  </si>
  <si>
    <t>WASHINGTON TOTALS</t>
  </si>
  <si>
    <t xml:space="preserve">     Electric</t>
  </si>
  <si>
    <t>C-UE-3</t>
  </si>
  <si>
    <t xml:space="preserve">     Gas</t>
  </si>
  <si>
    <t>IDAHO TOTALS</t>
  </si>
  <si>
    <t>Total Company</t>
  </si>
  <si>
    <t>(1)    Sales to Ultimate Customers plus Transportation Revenue from E-OPS and G-OPS Results of Operations reports.</t>
  </si>
  <si>
    <t>(2)    Allocated Write-offs from Account 144xxx Query.</t>
  </si>
  <si>
    <t>Acct 144 Sub</t>
  </si>
  <si>
    <t>Amount</t>
  </si>
  <si>
    <t>Washington</t>
  </si>
  <si>
    <t>Write-Offs WA</t>
  </si>
  <si>
    <t>Idaho</t>
  </si>
  <si>
    <t>Write-Offs ID</t>
  </si>
  <si>
    <t>check</t>
  </si>
  <si>
    <t>ACTUAL</t>
  </si>
  <si>
    <t>ACCRUAL</t>
  </si>
  <si>
    <t>WRITE-OFFS</t>
  </si>
  <si>
    <t>REINSTATEMENTS</t>
  </si>
  <si>
    <t>RECOVERIES</t>
  </si>
  <si>
    <t>WRITE-OFFS, net of Reinstatements and Recoveries</t>
  </si>
  <si>
    <t>UNCOLLECTIBLE EXPENSE</t>
  </si>
  <si>
    <t>CD</t>
  </si>
  <si>
    <t>E1</t>
  </si>
  <si>
    <t>G1</t>
  </si>
  <si>
    <t>AN</t>
  </si>
  <si>
    <t xml:space="preserve"> WA total</t>
  </si>
  <si>
    <t>ID total</t>
  </si>
  <si>
    <t>Washington Electric Revenue</t>
  </si>
  <si>
    <t>Idaho Electric Revenue</t>
  </si>
  <si>
    <t>Washington Natural Gas Revenue</t>
  </si>
  <si>
    <t>Idaho Natural Gas Revenue</t>
  </si>
  <si>
    <t>499%0</t>
  </si>
  <si>
    <t>4812%0</t>
  </si>
  <si>
    <t>4893%0</t>
  </si>
  <si>
    <t>MT</t>
  </si>
  <si>
    <t>Check</t>
  </si>
  <si>
    <t xml:space="preserve">     *** From 2017 Form 42 - Idaho Corporation Income Tax (unaudited)</t>
  </si>
  <si>
    <t>Idaho Apportionment Rate from 2017 ID State Return</t>
  </si>
  <si>
    <t>TWELVE MONTHS ENDED DECEMBER 31, 2019</t>
  </si>
  <si>
    <t>JAA 03/11/19</t>
  </si>
  <si>
    <t>(2) IPUC fees rate per Regulatory Fee Calculation; Assessment rate is .002593  ID, Order No. 34630; dated 04/20/2020</t>
  </si>
  <si>
    <t>JP 9/23/2020</t>
  </si>
  <si>
    <t>(2) WUTC fees rate per Regulatory Fee Calculation Schedule, Annual Report Year 2020 dated 04/21/2020</t>
  </si>
  <si>
    <t>Washington Monthly Earnings Test Adjustments</t>
  </si>
  <si>
    <t>Reinstatements/Recoveries WA</t>
  </si>
  <si>
    <t>Reinstatements/Recoveries ID</t>
  </si>
  <si>
    <t>Write-Offs</t>
  </si>
  <si>
    <t>Reinstatements/Recoveries</t>
  </si>
  <si>
    <t>Beginning Balance</t>
  </si>
  <si>
    <t>Monthly Activity Amt</t>
  </si>
  <si>
    <t>Ending Balance</t>
  </si>
  <si>
    <t>ED.ID</t>
  </si>
  <si>
    <t>ED.WA</t>
  </si>
  <si>
    <t>GD.ID</t>
  </si>
  <si>
    <t>GD.OR</t>
  </si>
  <si>
    <t>GD.WA</t>
  </si>
  <si>
    <t>ED/GD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</si>
</sst>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00000"/>
    <numFmt numFmtId="165" formatCode="#,##0.00000_);\(#,##0.00000\)"/>
    <numFmt numFmtId="166" formatCode="#,##0\ ;\(#,##0\)"/>
    <numFmt numFmtId="167" formatCode="0.000%"/>
    <numFmt numFmtId="168" formatCode="#,##0.00\ ;\(#,##0.00\)"/>
    <numFmt numFmtId="169" formatCode="_(* #,##0.000000_);_(* \(#,##0.000000\);_(* &quot;-&quot;??_);_(@_)"/>
    <numFmt numFmtId="170" formatCode="_(* #,##0_);_(* \(#,##0\);_(* &quot;-&quot;??_);_(@_)"/>
  </numFmts>
  <fonts count="28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color indexed="10"/>
      <name val="Times New Roman"/>
      <family val="1"/>
    </font>
    <font>
      <sz val="10"/>
      <name val="Tms Rmn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b/>
      <sz val="10"/>
      <color indexed="48"/>
      <name val="Times New Roman"/>
      <family val="1"/>
    </font>
    <font>
      <i/>
      <sz val="10"/>
      <name val="Times New Roman"/>
      <family val="1"/>
    </font>
    <font>
      <sz val="10"/>
      <color indexed="16"/>
      <name val="Times New Roman"/>
      <family val="1"/>
    </font>
    <font>
      <sz val="10"/>
      <color indexed="12"/>
      <name val="Times New Roman"/>
      <family val="1"/>
    </font>
    <font>
      <sz val="10"/>
      <color indexed="56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Tahoma"/>
      <family val="2"/>
    </font>
    <font>
      <sz val="10"/>
      <color rgb="FF7030A0"/>
      <name val="Times New Roman"/>
      <family val="1"/>
    </font>
    <font>
      <b/>
      <sz val="7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color indexed="1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/>
      <right/>
      <top/>
      <bottom style="medium">
        <color indexed="64"/>
      </bottom>
      <diagonal/>
    </border>
    <border>
      <left style="medium">
        <color rgb="FFEFEFEF"/>
      </left>
      <right style="medium">
        <color rgb="FFEFEFEF"/>
      </right>
      <top/>
      <bottom style="thin">
        <color indexed="64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164" fontId="2" fillId="0" borderId="0" xfId="0" applyNumberFormat="1" applyFont="1"/>
    <xf numFmtId="0" fontId="2" fillId="0" borderId="0" xfId="0" applyFont="1"/>
    <xf numFmtId="164" fontId="2" fillId="0" borderId="1" xfId="0" applyNumberFormat="1" applyFont="1" applyBorder="1"/>
    <xf numFmtId="10" fontId="2" fillId="0" borderId="0" xfId="0" applyNumberFormat="1" applyFont="1"/>
    <xf numFmtId="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2" fillId="0" borderId="2" xfId="0" applyFont="1" applyBorder="1"/>
    <xf numFmtId="164" fontId="2" fillId="0" borderId="0" xfId="0" applyNumberFormat="1" applyFont="1" applyAlignment="1">
      <alignment horizontal="center"/>
    </xf>
    <xf numFmtId="168" fontId="5" fillId="0" borderId="0" xfId="5" applyNumberFormat="1" applyFont="1"/>
    <xf numFmtId="168" fontId="2" fillId="0" borderId="0" xfId="5" applyNumberFormat="1" applyFont="1"/>
    <xf numFmtId="168" fontId="6" fillId="0" borderId="0" xfId="5" applyNumberFormat="1" applyFont="1" applyBorder="1" applyAlignment="1">
      <alignment horizontal="center"/>
    </xf>
    <xf numFmtId="168" fontId="2" fillId="0" borderId="0" xfId="5" applyNumberFormat="1" applyFont="1" applyBorder="1"/>
    <xf numFmtId="37" fontId="2" fillId="0" borderId="0" xfId="5" applyNumberFormat="1" applyFont="1"/>
    <xf numFmtId="37" fontId="2" fillId="0" borderId="2" xfId="5" applyNumberFormat="1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/>
    <xf numFmtId="164" fontId="7" fillId="0" borderId="0" xfId="0" applyNumberFormat="1" applyFont="1"/>
    <xf numFmtId="10" fontId="7" fillId="0" borderId="0" xfId="0" applyNumberFormat="1" applyFont="1"/>
    <xf numFmtId="3" fontId="7" fillId="0" borderId="0" xfId="0" applyNumberFormat="1" applyFont="1"/>
    <xf numFmtId="3" fontId="7" fillId="0" borderId="2" xfId="0" applyNumberFormat="1" applyFont="1" applyBorder="1"/>
    <xf numFmtId="164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164" fontId="5" fillId="0" borderId="0" xfId="0" applyNumberFormat="1" applyFont="1" applyAlignment="1">
      <alignment horizontal="right"/>
    </xf>
    <xf numFmtId="164" fontId="9" fillId="0" borderId="0" xfId="0" applyNumberFormat="1" applyFont="1"/>
    <xf numFmtId="0" fontId="3" fillId="0" borderId="0" xfId="0" applyFont="1"/>
    <xf numFmtId="164" fontId="8" fillId="0" borderId="0" xfId="0" applyNumberFormat="1" applyFont="1"/>
    <xf numFmtId="0" fontId="10" fillId="0" borderId="0" xfId="0" applyFont="1"/>
    <xf numFmtId="37" fontId="2" fillId="0" borderId="4" xfId="5" applyNumberFormat="1" applyFont="1" applyBorder="1"/>
    <xf numFmtId="37" fontId="2" fillId="0" borderId="0" xfId="5" applyNumberFormat="1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164" fontId="12" fillId="0" borderId="0" xfId="0" applyNumberFormat="1" applyFont="1"/>
    <xf numFmtId="0" fontId="12" fillId="0" borderId="0" xfId="0" applyFont="1"/>
    <xf numFmtId="0" fontId="12" fillId="0" borderId="0" xfId="0" applyFont="1" applyFill="1"/>
    <xf numFmtId="0" fontId="2" fillId="0" borderId="0" xfId="0" applyFont="1" applyFill="1"/>
    <xf numFmtId="10" fontId="12" fillId="0" borderId="0" xfId="0" applyNumberFormat="1" applyFont="1"/>
    <xf numFmtId="0" fontId="2" fillId="0" borderId="2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164" fontId="2" fillId="0" borderId="0" xfId="0" applyNumberFormat="1" applyFont="1" applyAlignment="1"/>
    <xf numFmtId="0" fontId="17" fillId="0" borderId="0" xfId="0" applyFont="1" applyFill="1"/>
    <xf numFmtId="168" fontId="2" fillId="0" borderId="0" xfId="5" applyNumberFormat="1" applyFont="1" applyFill="1"/>
    <xf numFmtId="0" fontId="17" fillId="0" borderId="0" xfId="0" applyFont="1"/>
    <xf numFmtId="0" fontId="17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wrapText="1"/>
    </xf>
    <xf numFmtId="164" fontId="2" fillId="0" borderId="0" xfId="0" applyNumberFormat="1" applyFont="1" applyFill="1"/>
    <xf numFmtId="164" fontId="7" fillId="0" borderId="0" xfId="0" applyNumberFormat="1" applyFont="1" applyFill="1"/>
    <xf numFmtId="164" fontId="7" fillId="0" borderId="2" xfId="0" applyNumberFormat="1" applyFont="1" applyFill="1" applyBorder="1"/>
    <xf numFmtId="164" fontId="2" fillId="0" borderId="2" xfId="0" applyNumberFormat="1" applyFont="1" applyFill="1" applyBorder="1"/>
    <xf numFmtId="164" fontId="2" fillId="0" borderId="0" xfId="0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4" fontId="2" fillId="0" borderId="0" xfId="0" applyNumberFormat="1" applyFont="1" applyFill="1"/>
    <xf numFmtId="0" fontId="2" fillId="0" borderId="0" xfId="0" applyFont="1" applyFill="1" applyAlignment="1">
      <alignment horizontal="center"/>
    </xf>
    <xf numFmtId="4" fontId="18" fillId="0" borderId="0" xfId="0" applyNumberFormat="1" applyFont="1" applyAlignment="1">
      <alignment horizontal="right"/>
    </xf>
    <xf numFmtId="3" fontId="2" fillId="0" borderId="2" xfId="0" applyNumberFormat="1" applyFont="1" applyBorder="1"/>
    <xf numFmtId="4" fontId="18" fillId="0" borderId="0" xfId="0" applyNumberFormat="1" applyFont="1" applyAlignment="1">
      <alignment horizontal="left"/>
    </xf>
    <xf numFmtId="0" fontId="2" fillId="0" borderId="0" xfId="4" applyFont="1"/>
    <xf numFmtId="37" fontId="2" fillId="0" borderId="0" xfId="0" applyNumberFormat="1" applyFont="1"/>
    <xf numFmtId="164" fontId="2" fillId="0" borderId="0" xfId="4" applyNumberFormat="1" applyFont="1"/>
    <xf numFmtId="164" fontId="2" fillId="0" borderId="2" xfId="4" applyNumberFormat="1" applyFont="1" applyBorder="1"/>
    <xf numFmtId="164" fontId="7" fillId="0" borderId="0" xfId="0" applyNumberFormat="1" applyFont="1" applyFill="1" applyBorder="1"/>
    <xf numFmtId="164" fontId="2" fillId="0" borderId="0" xfId="4" applyNumberFormat="1" applyFont="1" applyFill="1"/>
    <xf numFmtId="0" fontId="18" fillId="0" borderId="0" xfId="5" applyFont="1" applyAlignment="1">
      <alignment horizontal="left"/>
    </xf>
    <xf numFmtId="37" fontId="2" fillId="0" borderId="2" xfId="5" applyNumberFormat="1" applyFont="1" applyFill="1" applyBorder="1"/>
    <xf numFmtId="37" fontId="2" fillId="0" borderId="0" xfId="5" applyNumberFormat="1" applyFont="1" applyFill="1"/>
    <xf numFmtId="37" fontId="17" fillId="0" borderId="0" xfId="5" applyNumberFormat="1" applyFont="1"/>
    <xf numFmtId="167" fontId="19" fillId="0" borderId="0" xfId="6" applyNumberFormat="1" applyFont="1" applyBorder="1"/>
    <xf numFmtId="167" fontId="19" fillId="0" borderId="0" xfId="6" applyNumberFormat="1" applyFont="1"/>
    <xf numFmtId="0" fontId="2" fillId="0" borderId="0" xfId="5" applyFont="1"/>
    <xf numFmtId="168" fontId="2" fillId="0" borderId="5" xfId="5" applyNumberFormat="1" applyFont="1" applyBorder="1" applyAlignment="1">
      <alignment horizontal="center"/>
    </xf>
    <xf numFmtId="168" fontId="2" fillId="0" borderId="6" xfId="5" applyNumberFormat="1" applyFont="1" applyBorder="1" applyAlignment="1">
      <alignment horizontal="center"/>
    </xf>
    <xf numFmtId="168" fontId="2" fillId="0" borderId="7" xfId="5" applyNumberFormat="1" applyFont="1" applyBorder="1" applyAlignment="1">
      <alignment horizontal="center"/>
    </xf>
    <xf numFmtId="167" fontId="2" fillId="0" borderId="0" xfId="5" applyNumberFormat="1" applyFont="1" applyAlignment="1">
      <alignment horizontal="center"/>
    </xf>
    <xf numFmtId="0" fontId="18" fillId="0" borderId="0" xfId="5" applyFont="1" applyAlignment="1">
      <alignment horizontal="right"/>
    </xf>
    <xf numFmtId="37" fontId="2" fillId="0" borderId="0" xfId="5" applyNumberFormat="1" applyFont="1" applyFill="1" applyBorder="1"/>
    <xf numFmtId="167" fontId="20" fillId="0" borderId="0" xfId="5" applyNumberFormat="1" applyFont="1" applyAlignment="1">
      <alignment horizontal="center"/>
    </xf>
    <xf numFmtId="167" fontId="20" fillId="0" borderId="2" xfId="5" applyNumberFormat="1" applyFont="1" applyBorder="1" applyAlignment="1">
      <alignment horizontal="center"/>
    </xf>
    <xf numFmtId="37" fontId="2" fillId="0" borderId="7" xfId="5" applyNumberFormat="1" applyFont="1" applyBorder="1"/>
    <xf numFmtId="37" fontId="2" fillId="0" borderId="8" xfId="5" applyNumberFormat="1" applyFont="1" applyBorder="1"/>
    <xf numFmtId="168" fontId="6" fillId="0" borderId="0" xfId="5" applyNumberFormat="1" applyFont="1" applyAlignment="1">
      <alignment horizontal="center"/>
    </xf>
    <xf numFmtId="168" fontId="6" fillId="0" borderId="0" xfId="5" applyNumberFormat="1" applyFont="1" applyAlignment="1">
      <alignment horizontal="right"/>
    </xf>
    <xf numFmtId="168" fontId="6" fillId="0" borderId="0" xfId="5" applyNumberFormat="1" applyFont="1"/>
    <xf numFmtId="166" fontId="2" fillId="0" borderId="0" xfId="5" applyNumberFormat="1" applyFont="1" applyAlignment="1">
      <alignment horizontal="center"/>
    </xf>
    <xf numFmtId="166" fontId="2" fillId="0" borderId="0" xfId="1" applyNumberFormat="1" applyFont="1" applyFill="1"/>
    <xf numFmtId="0" fontId="21" fillId="0" borderId="0" xfId="0" applyFont="1"/>
    <xf numFmtId="166" fontId="2" fillId="0" borderId="3" xfId="5" applyNumberFormat="1" applyFont="1" applyBorder="1"/>
    <xf numFmtId="166" fontId="2" fillId="0" borderId="0" xfId="5" applyNumberFormat="1" applyFont="1"/>
    <xf numFmtId="0" fontId="11" fillId="0" borderId="0" xfId="0" applyFont="1"/>
    <xf numFmtId="0" fontId="24" fillId="0" borderId="0" xfId="0" applyFont="1" applyAlignment="1">
      <alignment horizontal="center"/>
    </xf>
    <xf numFmtId="170" fontId="0" fillId="0" borderId="0" xfId="1" applyNumberFormat="1" applyFont="1"/>
    <xf numFmtId="170" fontId="0" fillId="0" borderId="12" xfId="0" applyNumberFormat="1" applyBorder="1"/>
    <xf numFmtId="0" fontId="18" fillId="0" borderId="0" xfId="5" applyFont="1" applyBorder="1" applyAlignment="1">
      <alignment horizontal="center"/>
    </xf>
    <xf numFmtId="170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4" fillId="0" borderId="0" xfId="0" applyFont="1"/>
    <xf numFmtId="1" fontId="24" fillId="0" borderId="0" xfId="0" applyNumberFormat="1" applyFont="1" applyAlignment="1">
      <alignment horizontal="center"/>
    </xf>
    <xf numFmtId="37" fontId="19" fillId="0" borderId="0" xfId="0" applyNumberFormat="1" applyFont="1"/>
    <xf numFmtId="0" fontId="0" fillId="0" borderId="0" xfId="0" applyAlignment="1">
      <alignment shrinkToFit="1"/>
    </xf>
    <xf numFmtId="170" fontId="0" fillId="0" borderId="0" xfId="1" applyNumberFormat="1" applyFont="1" applyFill="1"/>
    <xf numFmtId="164" fontId="12" fillId="0" borderId="0" xfId="0" applyNumberFormat="1" applyFont="1" applyFill="1"/>
    <xf numFmtId="37" fontId="25" fillId="0" borderId="0" xfId="1" applyNumberFormat="1" applyFont="1" applyFill="1"/>
    <xf numFmtId="37" fontId="25" fillId="0" borderId="0" xfId="0" applyNumberFormat="1" applyFont="1" applyFill="1"/>
    <xf numFmtId="37" fontId="25" fillId="0" borderId="13" xfId="0" applyNumberFormat="1" applyFont="1" applyBorder="1" applyAlignment="1">
      <alignment horizontal="right" vertical="top"/>
    </xf>
    <xf numFmtId="37" fontId="25" fillId="0" borderId="0" xfId="0" applyNumberFormat="1" applyFont="1"/>
    <xf numFmtId="37" fontId="25" fillId="0" borderId="16" xfId="0" applyNumberFormat="1" applyFont="1" applyBorder="1" applyAlignment="1">
      <alignment horizontal="right" vertical="top"/>
    </xf>
    <xf numFmtId="37" fontId="25" fillId="0" borderId="15" xfId="0" applyNumberFormat="1" applyFont="1" applyBorder="1" applyAlignment="1">
      <alignment horizontal="right" vertical="top"/>
    </xf>
    <xf numFmtId="37" fontId="25" fillId="0" borderId="2" xfId="0" applyNumberFormat="1" applyFont="1" applyBorder="1"/>
    <xf numFmtId="37" fontId="25" fillId="0" borderId="2" xfId="0" applyNumberFormat="1" applyFont="1" applyFill="1" applyBorder="1"/>
    <xf numFmtId="37" fontId="25" fillId="0" borderId="14" xfId="1" applyNumberFormat="1" applyFont="1" applyBorder="1"/>
    <xf numFmtId="37" fontId="25" fillId="0" borderId="0" xfId="1" applyNumberFormat="1" applyFont="1"/>
    <xf numFmtId="37" fontId="25" fillId="0" borderId="12" xfId="1" applyNumberFormat="1" applyFont="1" applyBorder="1"/>
    <xf numFmtId="37" fontId="25" fillId="0" borderId="2" xfId="1" applyNumberFormat="1" applyFont="1" applyFill="1" applyBorder="1"/>
    <xf numFmtId="37" fontId="25" fillId="0" borderId="2" xfId="1" applyNumberFormat="1" applyFont="1" applyBorder="1"/>
    <xf numFmtId="37" fontId="17" fillId="0" borderId="2" xfId="5" applyNumberFormat="1" applyFont="1" applyFill="1" applyBorder="1"/>
    <xf numFmtId="169" fontId="12" fillId="0" borderId="0" xfId="1" applyNumberFormat="1" applyFont="1" applyFill="1"/>
    <xf numFmtId="164" fontId="26" fillId="0" borderId="0" xfId="0" applyNumberFormat="1" applyFont="1" applyFill="1"/>
    <xf numFmtId="168" fontId="5" fillId="0" borderId="0" xfId="5" applyNumberFormat="1" applyFont="1" applyFill="1"/>
    <xf numFmtId="0" fontId="5" fillId="0" borderId="0" xfId="5" applyNumberFormat="1" applyFont="1" applyFill="1" applyAlignment="1">
      <alignment horizontal="center"/>
    </xf>
    <xf numFmtId="0" fontId="5" fillId="0" borderId="0" xfId="5" applyNumberFormat="1" applyFont="1" applyAlignment="1">
      <alignment horizontal="center"/>
    </xf>
    <xf numFmtId="168" fontId="5" fillId="0" borderId="0" xfId="5" applyNumberFormat="1" applyFont="1" applyAlignment="1">
      <alignment horizontal="center"/>
    </xf>
    <xf numFmtId="170" fontId="2" fillId="0" borderId="0" xfId="1" applyNumberFormat="1" applyFont="1" applyFill="1"/>
    <xf numFmtId="170" fontId="2" fillId="0" borderId="0" xfId="1" applyNumberFormat="1" applyFont="1"/>
    <xf numFmtId="170" fontId="2" fillId="0" borderId="2" xfId="1" applyNumberFormat="1" applyFont="1" applyFill="1" applyBorder="1"/>
    <xf numFmtId="170" fontId="2" fillId="0" borderId="2" xfId="1" applyNumberFormat="1" applyFont="1" applyBorder="1"/>
    <xf numFmtId="170" fontId="2" fillId="0" borderId="4" xfId="1" applyNumberFormat="1" applyFont="1" applyFill="1" applyBorder="1"/>
    <xf numFmtId="170" fontId="2" fillId="0" borderId="4" xfId="1" applyNumberFormat="1" applyFont="1" applyBorder="1"/>
    <xf numFmtId="170" fontId="17" fillId="0" borderId="0" xfId="1" applyNumberFormat="1" applyFont="1"/>
    <xf numFmtId="167" fontId="2" fillId="0" borderId="0" xfId="6" applyNumberFormat="1" applyFont="1" applyFill="1"/>
    <xf numFmtId="167" fontId="2" fillId="0" borderId="0" xfId="6" applyNumberFormat="1" applyFont="1"/>
    <xf numFmtId="43" fontId="0" fillId="0" borderId="0" xfId="1" applyFont="1"/>
    <xf numFmtId="43" fontId="1" fillId="0" borderId="0" xfId="1"/>
    <xf numFmtId="0" fontId="0" fillId="0" borderId="17" xfId="0" applyBorder="1"/>
    <xf numFmtId="0" fontId="27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43" fontId="0" fillId="0" borderId="12" xfId="2" applyFont="1" applyBorder="1"/>
    <xf numFmtId="170" fontId="0" fillId="0" borderId="12" xfId="0" applyNumberFormat="1" applyFill="1" applyBorder="1"/>
    <xf numFmtId="170" fontId="1" fillId="0" borderId="0" xfId="1" applyNumberFormat="1" applyFont="1"/>
    <xf numFmtId="43" fontId="24" fillId="0" borderId="8" xfId="1" applyFont="1" applyBorder="1"/>
    <xf numFmtId="43" fontId="24" fillId="0" borderId="0" xfId="1" applyFont="1" applyBorder="1"/>
    <xf numFmtId="43" fontId="0" fillId="0" borderId="12" xfId="1" applyFont="1" applyBorder="1"/>
    <xf numFmtId="43" fontId="1" fillId="0" borderId="0" xfId="1" applyFont="1"/>
    <xf numFmtId="164" fontId="2" fillId="2" borderId="1" xfId="0" applyNumberFormat="1" applyFont="1" applyFill="1" applyBorder="1"/>
    <xf numFmtId="164" fontId="2" fillId="0" borderId="0" xfId="0" applyNumberFormat="1" applyFont="1" applyFill="1" applyAlignment="1">
      <alignment horizontal="left" wrapText="1"/>
    </xf>
    <xf numFmtId="164" fontId="7" fillId="0" borderId="0" xfId="0" applyNumberFormat="1" applyFont="1" applyFill="1" applyAlignment="1">
      <alignment horizontal="left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3" fontId="1" fillId="0" borderId="9" xfId="1" applyBorder="1" applyAlignment="1">
      <alignment horizontal="center"/>
    </xf>
    <xf numFmtId="43" fontId="1" fillId="0" borderId="11" xfId="1" applyBorder="1" applyAlignment="1">
      <alignment horizontal="center"/>
    </xf>
    <xf numFmtId="43" fontId="1" fillId="0" borderId="10" xfId="1" applyBorder="1" applyAlignment="1">
      <alignment horizontal="center"/>
    </xf>
    <xf numFmtId="168" fontId="2" fillId="0" borderId="0" xfId="5" applyNumberFormat="1" applyFont="1" applyAlignment="1">
      <alignment wrapText="1"/>
    </xf>
    <xf numFmtId="0" fontId="0" fillId="0" borderId="0" xfId="0" applyAlignment="1">
      <alignment wrapText="1"/>
    </xf>
    <xf numFmtId="164" fontId="2" fillId="0" borderId="0" xfId="0" applyNumberFormat="1" applyFont="1" applyAlignment="1">
      <alignment wrapText="1"/>
    </xf>
    <xf numFmtId="164" fontId="12" fillId="0" borderId="0" xfId="0" applyNumberFormat="1" applyFont="1" applyFill="1" applyAlignment="1">
      <alignment horizontal="left" wrapText="1"/>
    </xf>
  </cellXfs>
  <cellStyles count="7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_uncollectcalc" xfId="5" xr:uid="{00000000-0005-0000-0000-000005000000}"/>
    <cellStyle name="Percent" xfId="6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1m107\c01m107\2017\2017%20ID%20Elec%20and%20Gas%20GRC\Adjustments\Adjustments\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3%20UNCOLLECTIBLE%20EXPENSE/1)12.2019%20Uncollectible%20Exp%20Adj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UE-1"/>
      <sheetName val="C-UE-2  "/>
      <sheetName val="Acerno_Cache_XXXXX"/>
      <sheetName val="C-UE-3"/>
      <sheetName val="Input"/>
    </sheetNames>
    <sheetDataSet>
      <sheetData sheetId="0"/>
      <sheetData sheetId="1"/>
      <sheetData sheetId="2"/>
      <sheetData sheetId="3">
        <row r="22">
          <cell r="H22">
            <v>-547776885.26999998</v>
          </cell>
          <cell r="T22">
            <v>-262394266.39000002</v>
          </cell>
          <cell r="AD22">
            <v>-147734982.24000001</v>
          </cell>
          <cell r="AN22">
            <v>-63112613.719999999</v>
          </cell>
        </row>
        <row r="25">
          <cell r="K25">
            <v>0.72109999999999996</v>
          </cell>
        </row>
        <row r="26">
          <cell r="K26">
            <v>0.70940000000000003</v>
          </cell>
        </row>
        <row r="27">
          <cell r="K27">
            <v>0.72370000000000001</v>
          </cell>
        </row>
        <row r="28">
          <cell r="K28">
            <v>0.73829999999999996</v>
          </cell>
        </row>
        <row r="29">
          <cell r="K29">
            <v>0.75829999999999997</v>
          </cell>
        </row>
        <row r="30">
          <cell r="K30">
            <v>0.7762</v>
          </cell>
        </row>
        <row r="31">
          <cell r="K31">
            <v>0.79220000000000002</v>
          </cell>
        </row>
        <row r="32">
          <cell r="K32">
            <v>0.80520000000000003</v>
          </cell>
        </row>
        <row r="33">
          <cell r="K33">
            <v>0.81140000000000001</v>
          </cell>
        </row>
        <row r="34">
          <cell r="K34">
            <v>0.80759999999999998</v>
          </cell>
        </row>
        <row r="35">
          <cell r="K35">
            <v>0.79849999999999999</v>
          </cell>
        </row>
        <row r="36">
          <cell r="K36">
            <v>0.78759999999999997</v>
          </cell>
        </row>
      </sheetData>
      <sheetData sheetId="4">
        <row r="2">
          <cell r="B2" t="str">
            <v>TWELVE MONTHS ENDED December 31, 2019</v>
          </cell>
        </row>
        <row r="4">
          <cell r="B4" t="str">
            <v>201901</v>
          </cell>
        </row>
        <row r="8">
          <cell r="A8" t="str">
            <v>Allocation Note 2: Customers</v>
          </cell>
          <cell r="C8">
            <v>0.65532999999999997</v>
          </cell>
          <cell r="D8">
            <v>0.34466999999999998</v>
          </cell>
        </row>
        <row r="9">
          <cell r="A9" t="str">
            <v>Allocation Note 2:  Customers</v>
          </cell>
          <cell r="C9">
            <v>0.66241000000000005</v>
          </cell>
          <cell r="D9">
            <v>0.33759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5"/>
  <sheetViews>
    <sheetView tabSelected="1" workbookViewId="0">
      <selection activeCell="E22" sqref="E22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9.7109375" style="2" customWidth="1"/>
    <col min="4" max="4" width="15.140625" style="2" customWidth="1"/>
    <col min="5" max="5" width="12" style="2" customWidth="1"/>
    <col min="6" max="9" width="9.140625" style="2"/>
    <col min="10" max="10" width="9.42578125" style="2" customWidth="1"/>
    <col min="11" max="16384" width="9.140625" style="2"/>
  </cols>
  <sheetData>
    <row r="1" spans="1:11" s="24" customFormat="1" x14ac:dyDescent="0.2">
      <c r="A1" s="22" t="str">
        <f>SharedInputs!B4</f>
        <v>AVISTA UTILITIES</v>
      </c>
      <c r="B1" s="22"/>
      <c r="C1" s="22"/>
      <c r="D1" s="22"/>
      <c r="E1" s="23"/>
      <c r="F1" s="22"/>
    </row>
    <row r="2" spans="1:11" s="24" customFormat="1" x14ac:dyDescent="0.2">
      <c r="A2" s="22" t="s">
        <v>78</v>
      </c>
      <c r="B2" s="22"/>
      <c r="C2" s="22"/>
      <c r="D2" s="22"/>
      <c r="E2" s="25"/>
      <c r="F2" s="22"/>
    </row>
    <row r="3" spans="1:11" s="24" customFormat="1" x14ac:dyDescent="0.2">
      <c r="A3" s="22" t="str">
        <f>SharedInputs!B2</f>
        <v>TWELVE MONTHS ENDED DECEMBER 31, 2019</v>
      </c>
      <c r="B3" s="22"/>
      <c r="C3" s="22"/>
      <c r="D3" s="22"/>
      <c r="E3" s="22"/>
      <c r="F3" s="22"/>
    </row>
    <row r="4" spans="1:11" x14ac:dyDescent="0.2">
      <c r="A4" s="1"/>
      <c r="B4" s="1"/>
      <c r="C4" s="1"/>
      <c r="E4" s="1"/>
      <c r="F4" s="1"/>
    </row>
    <row r="5" spans="1:11" x14ac:dyDescent="0.2">
      <c r="A5" s="1" t="s">
        <v>0</v>
      </c>
      <c r="B5" s="1"/>
      <c r="C5" s="1"/>
      <c r="E5" s="1">
        <v>1</v>
      </c>
      <c r="F5" s="1"/>
    </row>
    <row r="6" spans="1:11" x14ac:dyDescent="0.2">
      <c r="A6" s="1"/>
      <c r="B6" s="1"/>
      <c r="C6" s="1"/>
      <c r="E6" s="1"/>
      <c r="F6" s="1"/>
    </row>
    <row r="7" spans="1:11" x14ac:dyDescent="0.2">
      <c r="A7" s="1" t="s">
        <v>1</v>
      </c>
      <c r="B7" s="1"/>
      <c r="C7" s="1"/>
      <c r="E7" s="1"/>
      <c r="F7" s="1"/>
    </row>
    <row r="8" spans="1:11" x14ac:dyDescent="0.2">
      <c r="A8" s="1"/>
      <c r="B8" s="1"/>
      <c r="C8" s="1"/>
      <c r="E8" s="1"/>
      <c r="F8" s="1"/>
    </row>
    <row r="9" spans="1:11" x14ac:dyDescent="0.2">
      <c r="A9" s="1" t="s">
        <v>2</v>
      </c>
      <c r="B9" s="1"/>
      <c r="C9" s="1"/>
      <c r="E9" s="1">
        <f>E30</f>
        <v>3.3262885794710221E-3</v>
      </c>
      <c r="F9" s="1"/>
    </row>
    <row r="10" spans="1:11" x14ac:dyDescent="0.2">
      <c r="A10" s="1"/>
      <c r="B10" s="1"/>
      <c r="C10" s="1"/>
      <c r="E10" s="1"/>
      <c r="F10" s="1"/>
    </row>
    <row r="11" spans="1:11" x14ac:dyDescent="0.2">
      <c r="A11" s="1" t="s">
        <v>3</v>
      </c>
      <c r="B11" s="1"/>
      <c r="C11" s="1"/>
      <c r="E11" s="1">
        <f>SharedInputs!B7</f>
        <v>2E-3</v>
      </c>
      <c r="F11" s="1"/>
    </row>
    <row r="12" spans="1:11" x14ac:dyDescent="0.2">
      <c r="A12" s="1"/>
      <c r="B12" s="1"/>
      <c r="C12" s="1"/>
      <c r="E12" s="1"/>
      <c r="F12" s="1"/>
    </row>
    <row r="13" spans="1:11" x14ac:dyDescent="0.2">
      <c r="A13" s="1" t="s">
        <v>4</v>
      </c>
      <c r="B13" s="1"/>
      <c r="C13" s="1"/>
      <c r="E13" s="1">
        <f>E43</f>
        <v>3.8605159538162764E-2</v>
      </c>
      <c r="F13" s="1"/>
    </row>
    <row r="14" spans="1:11" x14ac:dyDescent="0.2">
      <c r="A14" s="1"/>
      <c r="B14" s="1"/>
      <c r="C14" s="1"/>
      <c r="E14" s="1"/>
      <c r="F14" s="1"/>
    </row>
    <row r="15" spans="1:11" x14ac:dyDescent="0.2">
      <c r="A15" s="1"/>
      <c r="B15" s="1"/>
      <c r="C15" s="1"/>
      <c r="E15" s="1"/>
    </row>
    <row r="16" spans="1:11" x14ac:dyDescent="0.2">
      <c r="A16" s="1" t="s">
        <v>5</v>
      </c>
      <c r="B16" s="1"/>
      <c r="C16" s="1"/>
      <c r="E16" s="3">
        <f>SUM(E8:E14)</f>
        <v>4.393144811763379E-2</v>
      </c>
      <c r="F16" s="1"/>
      <c r="K16" s="46"/>
    </row>
    <row r="17" spans="1:6" x14ac:dyDescent="0.2">
      <c r="A17" s="1"/>
      <c r="B17" s="1"/>
      <c r="C17" s="1"/>
      <c r="E17" s="1"/>
    </row>
    <row r="18" spans="1:6" x14ac:dyDescent="0.2">
      <c r="A18" s="1" t="s">
        <v>6</v>
      </c>
      <c r="B18" s="1"/>
      <c r="C18" s="1"/>
      <c r="E18" s="1">
        <f>E5-E16</f>
        <v>0.95606855188236617</v>
      </c>
      <c r="F18" s="1"/>
    </row>
    <row r="19" spans="1:6" x14ac:dyDescent="0.2">
      <c r="A19" s="1"/>
      <c r="B19" s="1"/>
      <c r="C19" s="1"/>
      <c r="E19" s="1"/>
      <c r="F19" s="1"/>
    </row>
    <row r="20" spans="1:6" x14ac:dyDescent="0.2">
      <c r="A20" s="1" t="s">
        <v>7</v>
      </c>
      <c r="B20" s="4">
        <f>SharedInputs!B10</f>
        <v>0.21</v>
      </c>
      <c r="C20" s="59" t="s">
        <v>98</v>
      </c>
      <c r="E20" s="1">
        <f>E18*$B$20</f>
        <v>0.20077439589529689</v>
      </c>
      <c r="F20" s="1"/>
    </row>
    <row r="21" spans="1:6" x14ac:dyDescent="0.2">
      <c r="A21" s="1"/>
      <c r="B21" s="1"/>
      <c r="C21" s="1"/>
      <c r="E21" s="1"/>
      <c r="F21" s="1"/>
    </row>
    <row r="22" spans="1:6" x14ac:dyDescent="0.2">
      <c r="A22" s="1" t="s">
        <v>8</v>
      </c>
      <c r="B22" s="1"/>
      <c r="C22" s="1"/>
      <c r="E22" s="147">
        <f>E18-E20</f>
        <v>0.75529415598706928</v>
      </c>
      <c r="F22" s="1"/>
    </row>
    <row r="23" spans="1:6" x14ac:dyDescent="0.2">
      <c r="A23" s="1"/>
      <c r="B23" s="1"/>
      <c r="C23" s="1"/>
      <c r="E23" s="1"/>
      <c r="F23" s="1"/>
    </row>
    <row r="24" spans="1:6" x14ac:dyDescent="0.2">
      <c r="A24" s="1"/>
      <c r="B24" s="1"/>
      <c r="C24" s="1"/>
      <c r="E24" s="1"/>
      <c r="F24" s="1"/>
    </row>
    <row r="25" spans="1:6" x14ac:dyDescent="0.2">
      <c r="A25" s="1" t="s">
        <v>9</v>
      </c>
      <c r="B25" s="1"/>
      <c r="C25" s="1"/>
      <c r="E25" s="1"/>
      <c r="F25" s="1"/>
    </row>
    <row r="26" spans="1:6" x14ac:dyDescent="0.2">
      <c r="A26" s="1" t="s">
        <v>10</v>
      </c>
      <c r="B26" s="1"/>
      <c r="C26" s="1"/>
      <c r="E26" s="1"/>
      <c r="F26" s="1"/>
    </row>
    <row r="27" spans="1:6" x14ac:dyDescent="0.2">
      <c r="A27" s="1" t="s">
        <v>11</v>
      </c>
      <c r="B27" s="1"/>
      <c r="C27" s="57" t="s">
        <v>94</v>
      </c>
      <c r="D27" s="17">
        <f>'C-UE-1'!E11</f>
        <v>1822064</v>
      </c>
      <c r="E27" s="5"/>
      <c r="F27" s="1"/>
    </row>
    <row r="28" spans="1:6" x14ac:dyDescent="0.2">
      <c r="A28" s="1" t="s">
        <v>12</v>
      </c>
      <c r="B28" s="1"/>
      <c r="C28" s="1"/>
      <c r="D28" s="17"/>
      <c r="E28" s="5"/>
      <c r="F28" s="1"/>
    </row>
    <row r="29" spans="1:6" x14ac:dyDescent="0.2">
      <c r="A29" s="1" t="s">
        <v>13</v>
      </c>
      <c r="B29" s="1"/>
      <c r="C29" s="57" t="s">
        <v>98</v>
      </c>
      <c r="D29" s="58">
        <f>SharedInputs!B13</f>
        <v>547776886</v>
      </c>
      <c r="E29" s="5"/>
      <c r="F29" s="1"/>
    </row>
    <row r="30" spans="1:6" x14ac:dyDescent="0.2">
      <c r="A30" s="1" t="s">
        <v>14</v>
      </c>
      <c r="B30" s="1"/>
      <c r="C30" s="1"/>
      <c r="E30" s="3">
        <f>D27/D29</f>
        <v>3.3262885794710221E-3</v>
      </c>
      <c r="F30" s="1"/>
    </row>
    <row r="31" spans="1:6" x14ac:dyDescent="0.2">
      <c r="A31" s="1" t="s">
        <v>15</v>
      </c>
      <c r="B31" s="1"/>
      <c r="C31" s="1"/>
      <c r="E31" s="1"/>
      <c r="F31" s="1"/>
    </row>
    <row r="32" spans="1:6" x14ac:dyDescent="0.2">
      <c r="A32" s="1" t="s">
        <v>16</v>
      </c>
      <c r="B32" s="1"/>
      <c r="E32" s="1"/>
      <c r="F32" s="1"/>
    </row>
    <row r="33" spans="1:6" x14ac:dyDescent="0.2">
      <c r="A33" s="1"/>
      <c r="B33" s="1"/>
      <c r="C33" s="1"/>
      <c r="E33" s="1"/>
      <c r="F33" s="1"/>
    </row>
    <row r="34" spans="1:6" s="38" customFormat="1" ht="24" customHeight="1" x14ac:dyDescent="0.2">
      <c r="A34" s="148" t="str">
        <f>SharedInputs!C7</f>
        <v>(2) WUTC fees rate per Regulatory Fee Calculation Schedule, Annual Report Year 2020 dated 04/21/2020</v>
      </c>
      <c r="B34" s="148"/>
      <c r="C34" s="148"/>
      <c r="D34" s="148"/>
      <c r="E34" s="148"/>
      <c r="F34" s="49"/>
    </row>
    <row r="35" spans="1:6" x14ac:dyDescent="0.2">
      <c r="A35" s="1"/>
      <c r="B35" s="1"/>
      <c r="C35" s="1"/>
      <c r="E35" s="1"/>
      <c r="F35" s="1"/>
    </row>
    <row r="36" spans="1:6" x14ac:dyDescent="0.2">
      <c r="A36" s="1" t="s">
        <v>17</v>
      </c>
      <c r="B36" s="1"/>
      <c r="C36" s="1"/>
      <c r="E36" s="1"/>
      <c r="F36" s="1"/>
    </row>
    <row r="37" spans="1:6" x14ac:dyDescent="0.2">
      <c r="A37" s="1" t="s">
        <v>18</v>
      </c>
      <c r="B37" s="1"/>
      <c r="C37" s="1"/>
      <c r="D37" s="1">
        <f>SharedInputs!B17</f>
        <v>3.8733999999999998E-2</v>
      </c>
      <c r="E37" s="1"/>
      <c r="F37" s="1"/>
    </row>
    <row r="38" spans="1:6" x14ac:dyDescent="0.2">
      <c r="A38" s="1" t="s">
        <v>19</v>
      </c>
      <c r="B38" s="1"/>
      <c r="C38" s="1"/>
      <c r="D38" s="1"/>
      <c r="E38" s="1"/>
      <c r="F38" s="1"/>
    </row>
    <row r="39" spans="1:6" x14ac:dyDescent="0.2">
      <c r="A39" s="1" t="s">
        <v>20</v>
      </c>
      <c r="B39" s="1"/>
      <c r="C39" s="1"/>
      <c r="D39" s="1"/>
      <c r="E39" s="1"/>
      <c r="F39" s="1"/>
    </row>
    <row r="40" spans="1:6" x14ac:dyDescent="0.2">
      <c r="A40" s="1" t="s">
        <v>21</v>
      </c>
      <c r="C40" s="1">
        <v>1</v>
      </c>
      <c r="D40" s="1"/>
      <c r="E40" s="1"/>
      <c r="F40" s="1"/>
    </row>
    <row r="41" spans="1:6" x14ac:dyDescent="0.2">
      <c r="A41" s="1" t="s">
        <v>22</v>
      </c>
      <c r="C41" s="1"/>
      <c r="D41" s="1"/>
      <c r="E41" s="1"/>
      <c r="F41" s="1"/>
    </row>
    <row r="42" spans="1:6" x14ac:dyDescent="0.2">
      <c r="A42" s="1" t="s">
        <v>23</v>
      </c>
      <c r="C42" s="6">
        <f>E30</f>
        <v>3.3262885794710221E-3</v>
      </c>
      <c r="D42" s="6">
        <f>C40-C42</f>
        <v>0.99667371142052896</v>
      </c>
      <c r="E42" s="6"/>
      <c r="F42" s="1"/>
    </row>
    <row r="43" spans="1:6" x14ac:dyDescent="0.2">
      <c r="A43" s="1" t="s">
        <v>24</v>
      </c>
      <c r="B43" s="1"/>
      <c r="C43" s="1"/>
      <c r="D43" s="1"/>
      <c r="E43" s="6">
        <f>D37*D42</f>
        <v>3.8605159538162764E-2</v>
      </c>
      <c r="F43" s="1"/>
    </row>
    <row r="44" spans="1:6" x14ac:dyDescent="0.2">
      <c r="A44" s="1" t="s">
        <v>25</v>
      </c>
      <c r="B44" s="1"/>
      <c r="C44" s="1"/>
      <c r="D44" s="1"/>
      <c r="E44" s="1"/>
      <c r="F44" s="1"/>
    </row>
    <row r="45" spans="1:6" x14ac:dyDescent="0.2">
      <c r="A45" s="1"/>
      <c r="B45" s="1"/>
      <c r="C45" s="1"/>
      <c r="D45" s="1"/>
      <c r="E45" s="1"/>
      <c r="F45" s="1"/>
    </row>
  </sheetData>
  <mergeCells count="1">
    <mergeCell ref="A34:E34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43"/>
  <sheetViews>
    <sheetView workbookViewId="0">
      <selection activeCell="E22" sqref="E22"/>
    </sheetView>
  </sheetViews>
  <sheetFormatPr defaultColWidth="9.140625" defaultRowHeight="12.75" x14ac:dyDescent="0.2"/>
  <cols>
    <col min="1" max="1" width="30.85546875" style="2" customWidth="1"/>
    <col min="2" max="3" width="9.140625" style="2" customWidth="1"/>
    <col min="4" max="4" width="16.5703125" style="2" customWidth="1"/>
    <col min="5" max="5" width="16.140625" style="2" customWidth="1"/>
    <col min="6" max="9" width="9.140625" style="2"/>
    <col min="10" max="10" width="9.42578125" style="2" customWidth="1"/>
    <col min="11" max="16384" width="9.140625" style="2"/>
  </cols>
  <sheetData>
    <row r="1" spans="1:11" s="24" customFormat="1" x14ac:dyDescent="0.2">
      <c r="A1" s="28" t="str">
        <f>SharedInputs!B4</f>
        <v>AVISTA UTILITIES</v>
      </c>
      <c r="B1" s="22"/>
      <c r="C1" s="22"/>
      <c r="D1" s="22"/>
      <c r="E1" s="23"/>
    </row>
    <row r="2" spans="1:11" s="24" customFormat="1" x14ac:dyDescent="0.2">
      <c r="A2" s="22" t="s">
        <v>79</v>
      </c>
      <c r="B2" s="22"/>
      <c r="C2" s="22"/>
      <c r="E2" s="25"/>
    </row>
    <row r="3" spans="1:11" s="24" customFormat="1" x14ac:dyDescent="0.2">
      <c r="A3" s="26" t="str">
        <f>SharedInputs!B2</f>
        <v>TWELVE MONTHS ENDED DECEMBER 31, 2019</v>
      </c>
      <c r="B3" s="22"/>
      <c r="C3" s="22"/>
      <c r="D3" s="22"/>
      <c r="E3" s="22"/>
    </row>
    <row r="4" spans="1:11" x14ac:dyDescent="0.2">
      <c r="A4" s="1"/>
      <c r="B4" s="1"/>
      <c r="C4" s="1"/>
      <c r="D4" s="1"/>
      <c r="E4" s="1"/>
    </row>
    <row r="5" spans="1:11" x14ac:dyDescent="0.2">
      <c r="A5" s="1" t="s">
        <v>26</v>
      </c>
      <c r="B5" s="1"/>
      <c r="C5" s="1"/>
      <c r="D5" s="1"/>
      <c r="E5" s="1">
        <v>1</v>
      </c>
    </row>
    <row r="6" spans="1:11" x14ac:dyDescent="0.2">
      <c r="A6" s="1"/>
      <c r="B6" s="1"/>
      <c r="C6" s="1"/>
      <c r="D6" s="1"/>
      <c r="E6" s="1"/>
    </row>
    <row r="7" spans="1:11" x14ac:dyDescent="0.2">
      <c r="A7" s="1" t="s">
        <v>1</v>
      </c>
      <c r="B7" s="1"/>
      <c r="C7" s="1"/>
      <c r="D7" s="1"/>
      <c r="E7" s="1"/>
    </row>
    <row r="8" spans="1:11" x14ac:dyDescent="0.2">
      <c r="A8" s="1"/>
      <c r="B8" s="1"/>
      <c r="C8" s="1"/>
      <c r="D8" s="1"/>
      <c r="E8" s="1"/>
    </row>
    <row r="9" spans="1:11" x14ac:dyDescent="0.2">
      <c r="A9" s="1" t="s">
        <v>2</v>
      </c>
      <c r="B9" s="1"/>
      <c r="C9" s="1"/>
      <c r="D9" s="1"/>
      <c r="E9" s="1">
        <f>E29</f>
        <v>3.3260504272441039E-3</v>
      </c>
    </row>
    <row r="10" spans="1:11" x14ac:dyDescent="0.2">
      <c r="A10" s="1"/>
      <c r="B10" s="1"/>
      <c r="C10" s="1"/>
      <c r="D10" s="1"/>
      <c r="E10" s="1"/>
    </row>
    <row r="11" spans="1:11" x14ac:dyDescent="0.2">
      <c r="A11" s="1" t="s">
        <v>27</v>
      </c>
      <c r="B11" s="1"/>
      <c r="C11" s="1"/>
      <c r="D11" s="1"/>
      <c r="E11" s="18">
        <f>SharedInputs!B7</f>
        <v>2E-3</v>
      </c>
    </row>
    <row r="12" spans="1:11" x14ac:dyDescent="0.2">
      <c r="A12" s="1"/>
      <c r="B12" s="1"/>
      <c r="C12" s="1"/>
      <c r="D12" s="1"/>
      <c r="E12" s="1"/>
    </row>
    <row r="13" spans="1:11" x14ac:dyDescent="0.2">
      <c r="A13" s="1" t="s">
        <v>4</v>
      </c>
      <c r="B13" s="1"/>
      <c r="C13" s="1"/>
      <c r="D13" s="1"/>
      <c r="E13" s="1">
        <f>E41</f>
        <v>3.8391880537542555E-2</v>
      </c>
    </row>
    <row r="14" spans="1:11" x14ac:dyDescent="0.2">
      <c r="A14" s="1"/>
      <c r="B14" s="1"/>
      <c r="C14" s="1"/>
      <c r="D14" s="1"/>
      <c r="E14" s="1"/>
    </row>
    <row r="15" spans="1:11" x14ac:dyDescent="0.2">
      <c r="A15" s="1"/>
      <c r="B15" s="1"/>
      <c r="C15" s="1"/>
      <c r="D15" s="1"/>
    </row>
    <row r="16" spans="1:11" x14ac:dyDescent="0.2">
      <c r="A16" s="1" t="s">
        <v>5</v>
      </c>
      <c r="B16" s="1"/>
      <c r="C16" s="1"/>
      <c r="D16" s="1"/>
      <c r="E16" s="3">
        <f>SUM(E8:E14)</f>
        <v>4.3717930964786655E-2</v>
      </c>
      <c r="K16" s="46"/>
    </row>
    <row r="17" spans="1:5" x14ac:dyDescent="0.2">
      <c r="A17" s="1"/>
      <c r="B17" s="1"/>
      <c r="C17" s="1"/>
      <c r="D17" s="1"/>
      <c r="E17" s="1"/>
    </row>
    <row r="18" spans="1:5" x14ac:dyDescent="0.2">
      <c r="A18" s="1" t="s">
        <v>6</v>
      </c>
      <c r="C18" s="1"/>
      <c r="D18" s="1"/>
      <c r="E18" s="1">
        <f>E5-E16</f>
        <v>0.9562820690352134</v>
      </c>
    </row>
    <row r="19" spans="1:5" x14ac:dyDescent="0.2">
      <c r="A19" s="1"/>
      <c r="B19" s="1"/>
      <c r="C19" s="1"/>
      <c r="D19" s="1"/>
      <c r="E19" s="1"/>
    </row>
    <row r="20" spans="1:5" x14ac:dyDescent="0.2">
      <c r="A20" s="1" t="s">
        <v>7</v>
      </c>
      <c r="B20" s="19">
        <f>SharedInputs!B10</f>
        <v>0.21</v>
      </c>
      <c r="C20" s="59" t="s">
        <v>98</v>
      </c>
      <c r="D20" s="1"/>
      <c r="E20" s="1">
        <f>E18*$B$20</f>
        <v>0.20081923449739481</v>
      </c>
    </row>
    <row r="21" spans="1:5" x14ac:dyDescent="0.2">
      <c r="A21" s="1"/>
      <c r="B21" s="1"/>
      <c r="C21" s="1"/>
      <c r="E21" s="1"/>
    </row>
    <row r="22" spans="1:5" x14ac:dyDescent="0.2">
      <c r="A22" s="1" t="s">
        <v>8</v>
      </c>
      <c r="B22" s="1"/>
      <c r="C22" s="1"/>
      <c r="E22" s="147">
        <f>E18-E20</f>
        <v>0.75546283453781859</v>
      </c>
    </row>
    <row r="23" spans="1:5" x14ac:dyDescent="0.2">
      <c r="A23" s="1"/>
      <c r="B23" s="1"/>
      <c r="C23" s="1"/>
      <c r="E23" s="1"/>
    </row>
    <row r="24" spans="1:5" x14ac:dyDescent="0.2">
      <c r="A24" s="1" t="s">
        <v>9</v>
      </c>
      <c r="B24" s="1"/>
      <c r="C24" s="1"/>
      <c r="E24" s="1"/>
    </row>
    <row r="25" spans="1:5" x14ac:dyDescent="0.2">
      <c r="A25" s="1" t="s">
        <v>28</v>
      </c>
      <c r="B25" s="1"/>
      <c r="C25" s="1"/>
      <c r="E25" s="1"/>
    </row>
    <row r="26" spans="1:5" x14ac:dyDescent="0.2">
      <c r="A26" s="1" t="s">
        <v>11</v>
      </c>
      <c r="B26" s="1"/>
      <c r="C26" s="57" t="s">
        <v>94</v>
      </c>
      <c r="D26" s="17">
        <f>'C-UE-1'!E21</f>
        <v>491374</v>
      </c>
      <c r="E26" s="1"/>
    </row>
    <row r="27" spans="1:5" x14ac:dyDescent="0.2">
      <c r="A27" s="1" t="s">
        <v>12</v>
      </c>
      <c r="B27" s="1"/>
      <c r="C27" s="1"/>
      <c r="D27" s="20"/>
      <c r="E27" s="1"/>
    </row>
    <row r="28" spans="1:5" x14ac:dyDescent="0.2">
      <c r="A28" s="1" t="s">
        <v>29</v>
      </c>
      <c r="B28" s="1"/>
      <c r="C28" s="57" t="s">
        <v>98</v>
      </c>
      <c r="D28" s="58">
        <f>SharedInputs!C13</f>
        <v>147734982</v>
      </c>
      <c r="E28" s="1"/>
    </row>
    <row r="29" spans="1:5" x14ac:dyDescent="0.2">
      <c r="A29" s="1" t="s">
        <v>14</v>
      </c>
      <c r="B29" s="1"/>
      <c r="C29" s="1"/>
      <c r="E29" s="3">
        <f>D26/D28</f>
        <v>3.3260504272441039E-3</v>
      </c>
    </row>
    <row r="30" spans="1:5" x14ac:dyDescent="0.2">
      <c r="A30" s="1" t="s">
        <v>30</v>
      </c>
      <c r="B30" s="1"/>
      <c r="C30" s="1"/>
      <c r="E30" s="1"/>
    </row>
    <row r="31" spans="1:5" x14ac:dyDescent="0.2">
      <c r="A31" s="1" t="s">
        <v>31</v>
      </c>
      <c r="B31" s="1"/>
      <c r="C31" s="1"/>
      <c r="E31" s="1"/>
    </row>
    <row r="32" spans="1:5" x14ac:dyDescent="0.2">
      <c r="A32" s="1"/>
      <c r="B32" s="1"/>
      <c r="E32" s="1"/>
    </row>
    <row r="33" spans="1:5" s="38" customFormat="1" x14ac:dyDescent="0.2">
      <c r="A33" s="148" t="str">
        <f>SharedInputs!C7</f>
        <v>(2) WUTC fees rate per Regulatory Fee Calculation Schedule, Annual Report Year 2020 dated 04/21/2020</v>
      </c>
      <c r="B33" s="148"/>
      <c r="C33" s="148"/>
      <c r="D33" s="148"/>
      <c r="E33" s="148"/>
    </row>
    <row r="34" spans="1:5" x14ac:dyDescent="0.2">
      <c r="A34" s="1"/>
      <c r="B34" s="1"/>
      <c r="C34" s="1"/>
      <c r="E34" s="1"/>
    </row>
    <row r="35" spans="1:5" x14ac:dyDescent="0.2">
      <c r="A35" s="1" t="s">
        <v>32</v>
      </c>
      <c r="B35" s="1"/>
      <c r="C35" s="1"/>
      <c r="E35" s="1"/>
    </row>
    <row r="36" spans="1:5" x14ac:dyDescent="0.2">
      <c r="A36" s="1" t="s">
        <v>33</v>
      </c>
      <c r="B36" s="1"/>
      <c r="C36" s="1"/>
      <c r="D36" s="1">
        <f>SharedInputs!C17</f>
        <v>3.8519999999999999E-2</v>
      </c>
      <c r="E36" s="1"/>
    </row>
    <row r="37" spans="1:5" x14ac:dyDescent="0.2">
      <c r="A37" s="1" t="s">
        <v>19</v>
      </c>
      <c r="B37" s="1"/>
      <c r="C37" s="1"/>
      <c r="D37" s="1"/>
      <c r="E37" s="1"/>
    </row>
    <row r="38" spans="1:5" x14ac:dyDescent="0.2">
      <c r="A38" s="1" t="s">
        <v>20</v>
      </c>
      <c r="B38" s="1"/>
      <c r="C38" s="1"/>
      <c r="D38" s="1"/>
      <c r="E38" s="1"/>
    </row>
    <row r="39" spans="1:5" x14ac:dyDescent="0.2">
      <c r="A39" s="1" t="s">
        <v>21</v>
      </c>
      <c r="C39" s="1">
        <v>1</v>
      </c>
      <c r="D39" s="1"/>
      <c r="E39" s="1"/>
    </row>
    <row r="40" spans="1:5" x14ac:dyDescent="0.2">
      <c r="A40" s="1" t="s">
        <v>34</v>
      </c>
      <c r="C40" s="6">
        <f>E29</f>
        <v>3.3260504272441039E-3</v>
      </c>
      <c r="D40" s="6">
        <f>C39-C40</f>
        <v>0.9966739495727559</v>
      </c>
      <c r="E40" s="6"/>
    </row>
    <row r="41" spans="1:5" x14ac:dyDescent="0.2">
      <c r="A41" s="1" t="s">
        <v>24</v>
      </c>
      <c r="B41" s="1"/>
      <c r="C41" s="1"/>
      <c r="D41" s="1"/>
      <c r="E41" s="6">
        <f>D36*D40</f>
        <v>3.8391880537542555E-2</v>
      </c>
    </row>
    <row r="42" spans="1:5" x14ac:dyDescent="0.2">
      <c r="A42" s="1" t="s">
        <v>25</v>
      </c>
      <c r="B42" s="1"/>
      <c r="C42" s="1"/>
      <c r="D42" s="1"/>
      <c r="E42" s="1"/>
    </row>
    <row r="43" spans="1:5" x14ac:dyDescent="0.2">
      <c r="A43" s="1"/>
      <c r="B43" s="1"/>
      <c r="C43" s="1"/>
      <c r="D43" s="1"/>
      <c r="E43" s="1"/>
    </row>
  </sheetData>
  <mergeCells count="1">
    <mergeCell ref="A33:E33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52"/>
  <sheetViews>
    <sheetView workbookViewId="0">
      <selection activeCell="D33" sqref="D33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15.140625" style="2" customWidth="1"/>
    <col min="4" max="4" width="14.28515625" style="2" customWidth="1"/>
    <col min="5" max="5" width="10.5703125" style="2" customWidth="1"/>
    <col min="6" max="9" width="9.140625" style="2"/>
    <col min="10" max="10" width="9.42578125" style="2" customWidth="1"/>
    <col min="11" max="16384" width="9.140625" style="2"/>
  </cols>
  <sheetData>
    <row r="1" spans="1:6" s="24" customFormat="1" x14ac:dyDescent="0.2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">
      <c r="A2" s="22" t="s">
        <v>35</v>
      </c>
      <c r="B2" s="22"/>
      <c r="C2" s="22"/>
      <c r="D2" s="22"/>
      <c r="E2" s="25"/>
      <c r="F2" s="22"/>
    </row>
    <row r="3" spans="1:6" s="24" customFormat="1" x14ac:dyDescent="0.2">
      <c r="A3" s="26" t="str">
        <f>SharedInputs!B2</f>
        <v>TWELVE MONTHS ENDED DECEMBER 31, 2019</v>
      </c>
      <c r="B3" s="22"/>
      <c r="C3" s="22"/>
      <c r="D3" s="22"/>
      <c r="E3" s="22"/>
      <c r="F3" s="22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F5" s="1"/>
    </row>
    <row r="6" spans="1:6" x14ac:dyDescent="0.2">
      <c r="A6" s="1"/>
      <c r="B6" s="1"/>
      <c r="C6" s="1"/>
      <c r="E6" s="1"/>
      <c r="F6" s="1"/>
    </row>
    <row r="7" spans="1:6" x14ac:dyDescent="0.2">
      <c r="A7" s="1" t="s">
        <v>0</v>
      </c>
      <c r="B7" s="1"/>
      <c r="C7" s="1"/>
      <c r="E7" s="1">
        <v>1</v>
      </c>
      <c r="F7" s="1"/>
    </row>
    <row r="8" spans="1:6" x14ac:dyDescent="0.2">
      <c r="A8" s="1"/>
      <c r="B8" s="1"/>
      <c r="C8" s="1"/>
      <c r="E8" s="1"/>
      <c r="F8" s="1"/>
    </row>
    <row r="9" spans="1:6" x14ac:dyDescent="0.2">
      <c r="A9" s="1" t="s">
        <v>1</v>
      </c>
      <c r="B9" s="1"/>
      <c r="C9" s="1"/>
      <c r="E9" s="1"/>
      <c r="F9" s="1"/>
    </row>
    <row r="10" spans="1:6" x14ac:dyDescent="0.2">
      <c r="A10" s="1"/>
      <c r="B10" s="1"/>
      <c r="C10" s="1"/>
      <c r="E10" s="1"/>
      <c r="F10" s="1"/>
    </row>
    <row r="11" spans="1:6" x14ac:dyDescent="0.2">
      <c r="A11" s="1" t="s">
        <v>2</v>
      </c>
      <c r="B11" s="1"/>
      <c r="C11" s="1"/>
      <c r="E11" s="1">
        <f>ROUND(E35,6)</f>
        <v>2.4009999999999999E-3</v>
      </c>
      <c r="F11" s="1"/>
    </row>
    <row r="12" spans="1:6" x14ac:dyDescent="0.2">
      <c r="A12" s="1"/>
      <c r="B12" s="1"/>
      <c r="C12" s="1"/>
      <c r="E12" s="1"/>
      <c r="F12" s="1"/>
    </row>
    <row r="13" spans="1:6" x14ac:dyDescent="0.2">
      <c r="A13" s="1" t="s">
        <v>3</v>
      </c>
      <c r="B13" s="1"/>
      <c r="C13" s="1"/>
      <c r="E13" s="18">
        <f>SharedInputs!B8</f>
        <v>2.5929999999999998E-3</v>
      </c>
      <c r="F13" s="1"/>
    </row>
    <row r="14" spans="1:6" x14ac:dyDescent="0.2">
      <c r="A14" s="1"/>
      <c r="B14" s="1"/>
      <c r="C14" s="1"/>
      <c r="E14" s="1"/>
      <c r="F14" s="1"/>
    </row>
    <row r="15" spans="1:6" x14ac:dyDescent="0.2">
      <c r="A15" s="1" t="s">
        <v>36</v>
      </c>
      <c r="B15" s="1"/>
      <c r="C15" s="1"/>
      <c r="E15" s="1">
        <f>ROUND(E50,6)</f>
        <v>4.6814000000000001E-2</v>
      </c>
      <c r="F15" s="1"/>
    </row>
    <row r="16" spans="1:6" x14ac:dyDescent="0.2">
      <c r="A16" s="1"/>
      <c r="B16" s="1"/>
      <c r="C16" s="1"/>
      <c r="E16" s="1"/>
    </row>
    <row r="17" spans="1:11" x14ac:dyDescent="0.2">
      <c r="A17" s="1" t="s">
        <v>5</v>
      </c>
      <c r="B17" s="1"/>
      <c r="C17" s="1"/>
      <c r="E17" s="3">
        <f>SUM(E10:E15)</f>
        <v>5.1808E-2</v>
      </c>
      <c r="F17" s="1"/>
      <c r="K17" s="46"/>
    </row>
    <row r="18" spans="1:11" x14ac:dyDescent="0.2">
      <c r="A18" s="1"/>
      <c r="B18" s="1"/>
      <c r="C18" s="1"/>
      <c r="E18" s="1"/>
    </row>
    <row r="19" spans="1:11" x14ac:dyDescent="0.2">
      <c r="A19" s="1" t="s">
        <v>6</v>
      </c>
      <c r="B19" s="1"/>
      <c r="C19" s="1"/>
      <c r="E19" s="1">
        <f>E7-E17</f>
        <v>0.94819200000000003</v>
      </c>
      <c r="F19" s="1"/>
    </row>
    <row r="20" spans="1:11" x14ac:dyDescent="0.2">
      <c r="A20" s="1"/>
      <c r="B20" s="1"/>
      <c r="C20" s="1"/>
      <c r="E20" s="1"/>
      <c r="F20" s="1"/>
    </row>
    <row r="21" spans="1:11" x14ac:dyDescent="0.2">
      <c r="A21" s="1" t="s">
        <v>7</v>
      </c>
      <c r="B21" s="19">
        <f>SharedInputs!B10</f>
        <v>0.21</v>
      </c>
      <c r="C21" s="4"/>
      <c r="E21" s="1">
        <f>E19*$B$21</f>
        <v>0.19912031999999999</v>
      </c>
      <c r="F21" s="1"/>
    </row>
    <row r="22" spans="1:11" x14ac:dyDescent="0.2">
      <c r="A22" s="1"/>
      <c r="B22" s="1"/>
      <c r="C22" s="1"/>
      <c r="E22" s="1"/>
      <c r="F22" s="1"/>
    </row>
    <row r="23" spans="1:11" x14ac:dyDescent="0.2">
      <c r="A23" s="1" t="s">
        <v>8</v>
      </c>
      <c r="B23" s="1"/>
      <c r="C23" s="1"/>
      <c r="E23" s="3">
        <f>E19-E21</f>
        <v>0.74907168000000002</v>
      </c>
      <c r="F23" s="1"/>
    </row>
    <row r="24" spans="1:11" x14ac:dyDescent="0.2">
      <c r="A24" s="1"/>
      <c r="B24" s="1"/>
      <c r="C24" s="1"/>
      <c r="E24" s="1"/>
      <c r="F24" s="1"/>
    </row>
    <row r="25" spans="1:11" x14ac:dyDescent="0.2">
      <c r="A25" s="1"/>
      <c r="B25" s="1"/>
      <c r="C25" s="1"/>
      <c r="E25" s="1"/>
      <c r="F25" s="1"/>
    </row>
    <row r="26" spans="1:11" x14ac:dyDescent="0.2">
      <c r="A26" s="1"/>
      <c r="B26" s="1"/>
      <c r="C26" s="1"/>
      <c r="E26" s="1"/>
      <c r="F26" s="1"/>
    </row>
    <row r="27" spans="1:11" x14ac:dyDescent="0.2">
      <c r="A27" s="1"/>
      <c r="B27" s="1"/>
      <c r="C27" s="1"/>
      <c r="E27" s="1"/>
      <c r="F27" s="1"/>
    </row>
    <row r="28" spans="1:11" x14ac:dyDescent="0.2">
      <c r="A28" s="1"/>
      <c r="B28" s="1"/>
      <c r="C28" s="1"/>
      <c r="E28" s="1"/>
      <c r="F28" s="1"/>
    </row>
    <row r="29" spans="1:11" x14ac:dyDescent="0.2">
      <c r="A29" s="1"/>
      <c r="B29" s="1"/>
      <c r="C29" s="1"/>
      <c r="E29" s="1"/>
      <c r="F29" s="1"/>
    </row>
    <row r="30" spans="1:11" x14ac:dyDescent="0.2">
      <c r="A30" s="1" t="s">
        <v>9</v>
      </c>
      <c r="B30" s="1"/>
      <c r="C30" s="1"/>
      <c r="E30" s="1"/>
      <c r="F30" s="1"/>
    </row>
    <row r="31" spans="1:11" x14ac:dyDescent="0.2">
      <c r="A31" s="1" t="s">
        <v>10</v>
      </c>
      <c r="B31" s="1"/>
      <c r="C31" s="1"/>
      <c r="E31" s="1"/>
      <c r="F31" s="1"/>
    </row>
    <row r="32" spans="1:11" x14ac:dyDescent="0.2">
      <c r="A32" s="1" t="s">
        <v>11</v>
      </c>
      <c r="B32" s="1"/>
      <c r="C32" s="57" t="s">
        <v>94</v>
      </c>
      <c r="D32" s="20">
        <f>'C-UE-1'!G11</f>
        <v>629922</v>
      </c>
      <c r="E32" s="5"/>
      <c r="F32" s="1"/>
    </row>
    <row r="33" spans="1:6" x14ac:dyDescent="0.2">
      <c r="A33" s="1" t="s">
        <v>12</v>
      </c>
      <c r="B33" s="1"/>
      <c r="C33" s="1"/>
      <c r="D33" s="20"/>
      <c r="E33" s="5"/>
      <c r="F33" s="1"/>
    </row>
    <row r="34" spans="1:6" x14ac:dyDescent="0.2">
      <c r="A34" s="1" t="s">
        <v>13</v>
      </c>
      <c r="B34" s="1"/>
      <c r="C34" s="57" t="s">
        <v>98</v>
      </c>
      <c r="D34" s="21">
        <f>SharedInputs!D13</f>
        <v>262394266</v>
      </c>
      <c r="E34" s="5"/>
      <c r="F34" s="1"/>
    </row>
    <row r="35" spans="1:6" x14ac:dyDescent="0.2">
      <c r="A35" s="1" t="s">
        <v>14</v>
      </c>
      <c r="B35" s="1"/>
      <c r="C35" s="1"/>
      <c r="D35" s="20"/>
      <c r="E35" s="3">
        <f>D32/D34</f>
        <v>2.4006698378081174E-3</v>
      </c>
      <c r="F35" s="1"/>
    </row>
    <row r="36" spans="1:6" x14ac:dyDescent="0.2">
      <c r="A36" s="1" t="s">
        <v>15</v>
      </c>
      <c r="B36" s="1"/>
      <c r="C36" s="1"/>
      <c r="E36" s="1"/>
      <c r="F36" s="1"/>
    </row>
    <row r="37" spans="1:6" x14ac:dyDescent="0.2">
      <c r="A37" s="1" t="s">
        <v>37</v>
      </c>
      <c r="B37" s="1"/>
      <c r="C37" s="1"/>
      <c r="E37" s="1"/>
      <c r="F37" s="1"/>
    </row>
    <row r="38" spans="1:6" x14ac:dyDescent="0.2">
      <c r="A38" s="1"/>
      <c r="B38" s="1"/>
      <c r="C38" s="1"/>
      <c r="E38" s="1"/>
      <c r="F38" s="1"/>
    </row>
    <row r="39" spans="1:6" s="38" customFormat="1" ht="31.15" customHeight="1" x14ac:dyDescent="0.2">
      <c r="A39" s="149" t="str">
        <f>SharedInputs!C8</f>
        <v>(2) IPUC fees rate per Regulatory Fee Calculation; Assessment rate is .002593  ID, Order No. 34630; dated 04/20/2020</v>
      </c>
      <c r="B39" s="149"/>
      <c r="C39" s="149"/>
      <c r="D39" s="149"/>
      <c r="E39" s="149"/>
      <c r="F39" s="149"/>
    </row>
    <row r="40" spans="1:6" x14ac:dyDescent="0.2">
      <c r="A40" s="1"/>
      <c r="B40" s="1"/>
      <c r="C40" s="1"/>
      <c r="E40" s="1"/>
      <c r="F40" s="1"/>
    </row>
    <row r="41" spans="1:6" x14ac:dyDescent="0.2">
      <c r="A41" s="1" t="s">
        <v>38</v>
      </c>
      <c r="B41" s="1"/>
      <c r="C41" s="1"/>
      <c r="E41" s="1"/>
      <c r="F41" s="1"/>
    </row>
    <row r="42" spans="1:6" x14ac:dyDescent="0.2">
      <c r="A42" s="1" t="s">
        <v>39</v>
      </c>
      <c r="B42" s="1"/>
      <c r="C42" s="1"/>
      <c r="D42" s="18">
        <f>SharedInputs!D23</f>
        <v>0.19870499999999999</v>
      </c>
      <c r="E42" s="1"/>
      <c r="F42" s="1"/>
    </row>
    <row r="43" spans="1:6" x14ac:dyDescent="0.2">
      <c r="A43" s="1" t="s">
        <v>40</v>
      </c>
      <c r="B43" s="1"/>
      <c r="C43" s="1"/>
      <c r="D43" s="18"/>
      <c r="E43" s="1"/>
      <c r="F43" s="1"/>
    </row>
    <row r="44" spans="1:6" x14ac:dyDescent="0.2">
      <c r="A44" s="1" t="s">
        <v>41</v>
      </c>
      <c r="B44" s="1"/>
      <c r="C44" s="1"/>
      <c r="D44" s="18">
        <f>SharedInputs!D22</f>
        <v>6.9250000000000006E-2</v>
      </c>
      <c r="E44" s="1"/>
      <c r="F44" s="1"/>
    </row>
    <row r="45" spans="1:6" x14ac:dyDescent="0.2">
      <c r="A45" s="1" t="s">
        <v>42</v>
      </c>
      <c r="C45" s="1"/>
      <c r="D45" s="7">
        <f>D42*D44</f>
        <v>1.3760321250000001E-2</v>
      </c>
      <c r="E45" s="1"/>
      <c r="F45" s="1"/>
    </row>
    <row r="46" spans="1:6" x14ac:dyDescent="0.2">
      <c r="A46" s="62" t="s">
        <v>101</v>
      </c>
      <c r="B46" s="60"/>
      <c r="C46" s="62"/>
      <c r="D46" s="63">
        <f>SharedInputs!D24</f>
        <v>0.29246984121032882</v>
      </c>
      <c r="E46" s="1"/>
      <c r="F46" s="1"/>
    </row>
    <row r="47" spans="1:6" x14ac:dyDescent="0.2">
      <c r="A47" s="62" t="s">
        <v>102</v>
      </c>
      <c r="C47" s="1"/>
      <c r="D47" s="7">
        <f>D45/D46</f>
        <v>4.7048684380774516E-2</v>
      </c>
      <c r="E47" s="1"/>
      <c r="F47" s="1"/>
    </row>
    <row r="48" spans="1:6" x14ac:dyDescent="0.2">
      <c r="A48" s="1" t="s">
        <v>43</v>
      </c>
      <c r="C48" s="1">
        <f>E35</f>
        <v>2.4006698378081174E-3</v>
      </c>
      <c r="E48" s="1"/>
      <c r="F48" s="1"/>
    </row>
    <row r="49" spans="1:6" x14ac:dyDescent="0.2">
      <c r="A49" s="1" t="s">
        <v>44</v>
      </c>
      <c r="C49" s="8">
        <f>E13</f>
        <v>2.5929999999999998E-3</v>
      </c>
      <c r="D49" s="6">
        <f>C48+C49</f>
        <v>4.9936698378081172E-3</v>
      </c>
      <c r="E49" s="1"/>
      <c r="F49" s="1"/>
    </row>
    <row r="50" spans="1:6" x14ac:dyDescent="0.2">
      <c r="A50" s="1" t="str">
        <f>"      EFFECTIVE RATE  = ( "&amp;TEXT(D47,"0.000000")&amp;" * ( 1 - "&amp;TEXT(D49,"0.000000")&amp;" ) )"</f>
        <v xml:space="preserve">      EFFECTIVE RATE  = ( 0.047049 * ( 1 - 0.004994 ) )</v>
      </c>
      <c r="B50" s="9"/>
      <c r="C50" s="9"/>
      <c r="D50" s="9"/>
      <c r="E50" s="3">
        <f>D47*(1-D49)</f>
        <v>4.6813738784673688E-2</v>
      </c>
      <c r="F50" s="1"/>
    </row>
    <row r="51" spans="1:6" s="38" customFormat="1" x14ac:dyDescent="0.2">
      <c r="A51" s="50" t="str">
        <f>SharedInputs!E23</f>
        <v xml:space="preserve">     *** From 2017 Form 42 - Idaho Corporation Income Tax (unaudited)</v>
      </c>
      <c r="E51" s="49"/>
      <c r="F51" s="49"/>
    </row>
    <row r="52" spans="1:6" x14ac:dyDescent="0.2">
      <c r="F52" s="1"/>
    </row>
  </sheetData>
  <mergeCells count="1">
    <mergeCell ref="A39:F39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51"/>
  <sheetViews>
    <sheetView workbookViewId="0">
      <selection activeCell="D32" sqref="D32"/>
    </sheetView>
  </sheetViews>
  <sheetFormatPr defaultColWidth="9.140625" defaultRowHeight="12.75" x14ac:dyDescent="0.2"/>
  <cols>
    <col min="1" max="1" width="30.85546875" style="2" customWidth="1"/>
    <col min="2" max="2" width="9.140625" style="2" customWidth="1"/>
    <col min="3" max="3" width="10.7109375" style="2" customWidth="1"/>
    <col min="4" max="4" width="17.85546875" style="2" customWidth="1"/>
    <col min="5" max="5" width="12.28515625" style="2" customWidth="1"/>
    <col min="6" max="9" width="9.140625" style="2"/>
    <col min="10" max="10" width="9.42578125" style="2" customWidth="1"/>
    <col min="11" max="16384" width="9.140625" style="2"/>
  </cols>
  <sheetData>
    <row r="1" spans="1:6" s="24" customFormat="1" x14ac:dyDescent="0.2">
      <c r="A1" s="28" t="str">
        <f>SharedInputs!B4</f>
        <v>AVISTA UTILITIES</v>
      </c>
      <c r="B1" s="22"/>
      <c r="C1" s="22"/>
      <c r="D1" s="22"/>
      <c r="E1" s="23"/>
      <c r="F1" s="22"/>
    </row>
    <row r="2" spans="1:6" s="24" customFormat="1" x14ac:dyDescent="0.2">
      <c r="A2" s="22" t="s">
        <v>45</v>
      </c>
      <c r="B2" s="22"/>
      <c r="C2" s="22"/>
      <c r="D2" s="22"/>
      <c r="E2" s="25"/>
      <c r="F2" s="22"/>
    </row>
    <row r="3" spans="1:6" s="24" customFormat="1" x14ac:dyDescent="0.2">
      <c r="A3" s="26" t="str">
        <f>SharedInputs!B2</f>
        <v>TWELVE MONTHS ENDED DECEMBER 31, 2019</v>
      </c>
      <c r="B3" s="22"/>
      <c r="C3" s="22"/>
      <c r="D3" s="22"/>
      <c r="E3" s="22"/>
      <c r="F3" s="22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26</v>
      </c>
      <c r="B7" s="1"/>
      <c r="C7" s="1"/>
      <c r="D7" s="1"/>
      <c r="E7" s="1">
        <v>1</v>
      </c>
      <c r="F7" s="1"/>
    </row>
    <row r="8" spans="1:6" x14ac:dyDescent="0.2">
      <c r="A8" s="1"/>
      <c r="B8" s="1"/>
      <c r="C8" s="1"/>
      <c r="E8" s="1"/>
      <c r="F8" s="1"/>
    </row>
    <row r="9" spans="1:6" x14ac:dyDescent="0.2">
      <c r="A9" s="1" t="s">
        <v>1</v>
      </c>
      <c r="B9" s="1"/>
      <c r="C9" s="1"/>
      <c r="E9" s="1"/>
      <c r="F9" s="1"/>
    </row>
    <row r="10" spans="1:6" x14ac:dyDescent="0.2">
      <c r="A10" s="1"/>
      <c r="B10" s="1"/>
      <c r="C10" s="1"/>
      <c r="E10" s="1"/>
      <c r="F10" s="1"/>
    </row>
    <row r="11" spans="1:6" x14ac:dyDescent="0.2">
      <c r="A11" s="1" t="s">
        <v>46</v>
      </c>
      <c r="B11" s="1"/>
      <c r="C11" s="1"/>
      <c r="E11" s="1">
        <f>ROUND(E34,6)</f>
        <v>2.4009999999999999E-3</v>
      </c>
      <c r="F11" s="1"/>
    </row>
    <row r="12" spans="1:6" x14ac:dyDescent="0.2">
      <c r="A12" s="1"/>
      <c r="B12" s="1"/>
      <c r="C12" s="1"/>
      <c r="E12" s="1"/>
      <c r="F12" s="1"/>
    </row>
    <row r="13" spans="1:6" x14ac:dyDescent="0.2">
      <c r="A13" s="1" t="s">
        <v>27</v>
      </c>
      <c r="B13" s="1"/>
      <c r="C13" s="1"/>
      <c r="E13" s="18">
        <f>SharedInputs!B8</f>
        <v>2.5929999999999998E-3</v>
      </c>
      <c r="F13" s="1"/>
    </row>
    <row r="14" spans="1:6" x14ac:dyDescent="0.2">
      <c r="A14" s="1"/>
      <c r="B14" s="1"/>
      <c r="C14" s="1"/>
      <c r="E14" s="1"/>
      <c r="F14" s="1"/>
    </row>
    <row r="15" spans="1:6" x14ac:dyDescent="0.2">
      <c r="A15" s="1" t="s">
        <v>36</v>
      </c>
      <c r="B15" s="1"/>
      <c r="C15" s="1"/>
      <c r="E15" s="1">
        <f>ROUND(E49,6)</f>
        <v>4.6814000000000001E-2</v>
      </c>
      <c r="F15" s="1"/>
    </row>
    <row r="16" spans="1:6" x14ac:dyDescent="0.2">
      <c r="A16" s="1"/>
      <c r="B16" s="1"/>
      <c r="C16" s="1"/>
      <c r="E16" s="1"/>
    </row>
    <row r="17" spans="1:11" x14ac:dyDescent="0.2">
      <c r="A17" s="1" t="s">
        <v>5</v>
      </c>
      <c r="B17" s="1"/>
      <c r="C17" s="1"/>
      <c r="E17" s="3">
        <f>SUM(E10:E15)</f>
        <v>5.1808E-2</v>
      </c>
      <c r="F17" s="1"/>
      <c r="K17" s="46"/>
    </row>
    <row r="18" spans="1:11" x14ac:dyDescent="0.2">
      <c r="A18" s="1"/>
      <c r="B18" s="1"/>
      <c r="C18" s="1"/>
      <c r="E18" s="1"/>
    </row>
    <row r="19" spans="1:11" x14ac:dyDescent="0.2">
      <c r="A19" s="1" t="s">
        <v>6</v>
      </c>
      <c r="B19" s="1"/>
      <c r="C19" s="1"/>
      <c r="E19" s="1">
        <f>E7-E17</f>
        <v>0.94819200000000003</v>
      </c>
      <c r="F19" s="1"/>
    </row>
    <row r="20" spans="1:11" x14ac:dyDescent="0.2">
      <c r="A20" s="1"/>
      <c r="B20" s="1"/>
      <c r="C20" s="1"/>
      <c r="E20" s="1"/>
      <c r="F20" s="1"/>
    </row>
    <row r="21" spans="1:11" x14ac:dyDescent="0.2">
      <c r="A21" s="1" t="s">
        <v>7</v>
      </c>
      <c r="B21" s="19">
        <f>SharedInputs!B10</f>
        <v>0.21</v>
      </c>
      <c r="C21" s="4"/>
      <c r="E21" s="1">
        <f>E19*$B$21</f>
        <v>0.19912031999999999</v>
      </c>
      <c r="F21" s="1"/>
    </row>
    <row r="22" spans="1:11" x14ac:dyDescent="0.2">
      <c r="A22" s="1"/>
      <c r="B22" s="1"/>
      <c r="C22" s="1"/>
      <c r="E22" s="1"/>
      <c r="F22" s="1"/>
    </row>
    <row r="23" spans="1:11" x14ac:dyDescent="0.2">
      <c r="A23" s="1" t="s">
        <v>8</v>
      </c>
      <c r="B23" s="1"/>
      <c r="C23" s="1"/>
      <c r="E23" s="3">
        <f>E19-E21</f>
        <v>0.74907168000000002</v>
      </c>
      <c r="F23" s="1"/>
    </row>
    <row r="24" spans="1:11" x14ac:dyDescent="0.2">
      <c r="A24" s="1"/>
      <c r="B24" s="1"/>
      <c r="C24" s="1"/>
      <c r="E24" s="1"/>
      <c r="F24" s="1"/>
    </row>
    <row r="25" spans="1:11" x14ac:dyDescent="0.2">
      <c r="A25" s="1"/>
      <c r="B25" s="1"/>
      <c r="C25" s="1"/>
      <c r="E25" s="1"/>
      <c r="F25" s="1"/>
    </row>
    <row r="26" spans="1:11" x14ac:dyDescent="0.2">
      <c r="A26" s="1"/>
      <c r="B26" s="1"/>
      <c r="C26" s="1"/>
      <c r="E26" s="1"/>
      <c r="F26" s="1"/>
    </row>
    <row r="27" spans="1:11" x14ac:dyDescent="0.2">
      <c r="A27" s="1"/>
      <c r="B27" s="1"/>
      <c r="C27" s="1"/>
      <c r="E27" s="1"/>
      <c r="F27" s="1"/>
    </row>
    <row r="28" spans="1:11" x14ac:dyDescent="0.2">
      <c r="A28" s="1"/>
      <c r="B28" s="1"/>
      <c r="C28" s="1"/>
      <c r="E28" s="1"/>
      <c r="F28" s="1"/>
    </row>
    <row r="29" spans="1:11" x14ac:dyDescent="0.2">
      <c r="A29" s="1" t="s">
        <v>9</v>
      </c>
      <c r="B29" s="1"/>
      <c r="C29" s="1"/>
      <c r="E29" s="1"/>
      <c r="F29" s="1"/>
    </row>
    <row r="30" spans="1:11" x14ac:dyDescent="0.2">
      <c r="A30" s="1" t="s">
        <v>28</v>
      </c>
      <c r="B30" s="1"/>
      <c r="C30" s="1"/>
      <c r="E30" s="1"/>
      <c r="F30" s="1"/>
    </row>
    <row r="31" spans="1:11" x14ac:dyDescent="0.2">
      <c r="A31" s="1" t="s">
        <v>47</v>
      </c>
      <c r="B31" s="1"/>
      <c r="C31" s="57" t="s">
        <v>94</v>
      </c>
      <c r="D31" s="17">
        <f>'C-UE-1'!G21</f>
        <v>151522</v>
      </c>
      <c r="E31" s="1"/>
      <c r="F31" s="1"/>
    </row>
    <row r="32" spans="1:11" x14ac:dyDescent="0.2">
      <c r="A32" s="1" t="s">
        <v>48</v>
      </c>
      <c r="B32" s="1"/>
      <c r="C32" s="5"/>
      <c r="D32" s="20"/>
      <c r="E32" s="1"/>
      <c r="F32" s="1"/>
    </row>
    <row r="33" spans="1:6" x14ac:dyDescent="0.2">
      <c r="A33" s="1" t="s">
        <v>49</v>
      </c>
      <c r="B33" s="1"/>
      <c r="C33" s="57" t="s">
        <v>98</v>
      </c>
      <c r="D33" s="21">
        <f>SharedInputs!E13</f>
        <v>63112614</v>
      </c>
      <c r="E33" s="6"/>
      <c r="F33" s="1"/>
    </row>
    <row r="34" spans="1:6" x14ac:dyDescent="0.2">
      <c r="A34" s="1" t="s">
        <v>24</v>
      </c>
      <c r="B34" s="1"/>
      <c r="C34" s="1"/>
      <c r="D34" s="20"/>
      <c r="E34" s="3">
        <f>D31/D33</f>
        <v>2.4008195889335211E-3</v>
      </c>
      <c r="F34" s="1"/>
    </row>
    <row r="35" spans="1:6" x14ac:dyDescent="0.2">
      <c r="A35" s="1" t="s">
        <v>30</v>
      </c>
      <c r="B35" s="1"/>
      <c r="C35" s="1"/>
      <c r="E35" s="1"/>
      <c r="F35" s="1"/>
    </row>
    <row r="36" spans="1:6" x14ac:dyDescent="0.2">
      <c r="A36" s="1" t="s">
        <v>50</v>
      </c>
      <c r="B36" s="1"/>
      <c r="C36" s="1"/>
      <c r="E36" s="1"/>
      <c r="F36" s="1"/>
    </row>
    <row r="37" spans="1:6" x14ac:dyDescent="0.2">
      <c r="A37" s="1"/>
      <c r="B37" s="1"/>
      <c r="C37" s="1"/>
      <c r="E37" s="1"/>
      <c r="F37" s="1"/>
    </row>
    <row r="38" spans="1:6" s="38" customFormat="1" ht="26.45" customHeight="1" x14ac:dyDescent="0.2">
      <c r="A38" s="149" t="str">
        <f>SharedInputs!C8</f>
        <v>(2) IPUC fees rate per Regulatory Fee Calculation; Assessment rate is .002593  ID, Order No. 34630; dated 04/20/2020</v>
      </c>
      <c r="B38" s="149"/>
      <c r="C38" s="149"/>
      <c r="D38" s="149"/>
      <c r="E38" s="149"/>
      <c r="F38" s="149"/>
    </row>
    <row r="39" spans="1:6" s="38" customFormat="1" x14ac:dyDescent="0.2">
      <c r="A39" s="49"/>
      <c r="B39" s="49"/>
      <c r="C39" s="49"/>
      <c r="E39" s="49"/>
      <c r="F39" s="49"/>
    </row>
    <row r="40" spans="1:6" s="38" customFormat="1" x14ac:dyDescent="0.2">
      <c r="A40" s="49" t="s">
        <v>51</v>
      </c>
      <c r="B40" s="49"/>
      <c r="C40" s="49"/>
      <c r="E40" s="49"/>
      <c r="F40" s="49"/>
    </row>
    <row r="41" spans="1:6" s="38" customFormat="1" x14ac:dyDescent="0.2">
      <c r="A41" s="49" t="s">
        <v>39</v>
      </c>
      <c r="B41" s="49"/>
      <c r="C41" s="49"/>
      <c r="D41" s="50">
        <f>SharedInputs!D23</f>
        <v>0.19870499999999999</v>
      </c>
      <c r="E41" s="49"/>
      <c r="F41" s="49"/>
    </row>
    <row r="42" spans="1:6" s="38" customFormat="1" x14ac:dyDescent="0.2">
      <c r="A42" s="49" t="s">
        <v>52</v>
      </c>
      <c r="B42" s="49"/>
      <c r="C42" s="49"/>
      <c r="D42" s="50"/>
      <c r="E42" s="49"/>
      <c r="F42" s="49"/>
    </row>
    <row r="43" spans="1:6" s="38" customFormat="1" x14ac:dyDescent="0.2">
      <c r="A43" s="49" t="s">
        <v>53</v>
      </c>
      <c r="B43" s="49"/>
      <c r="C43" s="49"/>
      <c r="D43" s="51">
        <f>SharedInputs!D22</f>
        <v>6.9250000000000006E-2</v>
      </c>
      <c r="E43" s="49"/>
      <c r="F43" s="49"/>
    </row>
    <row r="44" spans="1:6" s="38" customFormat="1" x14ac:dyDescent="0.2">
      <c r="A44" s="49" t="s">
        <v>54</v>
      </c>
      <c r="C44" s="49"/>
      <c r="D44" s="49">
        <f>D41*D43</f>
        <v>1.3760321250000001E-2</v>
      </c>
      <c r="E44" s="49"/>
      <c r="F44" s="49"/>
    </row>
    <row r="45" spans="1:6" s="38" customFormat="1" x14ac:dyDescent="0.2">
      <c r="A45" s="62" t="s">
        <v>101</v>
      </c>
      <c r="B45" s="49"/>
      <c r="C45" s="49"/>
      <c r="D45" s="64">
        <f>SharedInputs!D24</f>
        <v>0.29246984121032882</v>
      </c>
      <c r="E45" s="49"/>
      <c r="F45" s="49"/>
    </row>
    <row r="46" spans="1:6" s="38" customFormat="1" x14ac:dyDescent="0.2">
      <c r="A46" s="62" t="s">
        <v>102</v>
      </c>
      <c r="C46" s="49"/>
      <c r="D46" s="49">
        <f>D44/D45</f>
        <v>4.7048684380774516E-2</v>
      </c>
      <c r="E46" s="49"/>
      <c r="F46" s="49"/>
    </row>
    <row r="47" spans="1:6" s="38" customFormat="1" x14ac:dyDescent="0.2">
      <c r="A47" s="49" t="s">
        <v>55</v>
      </c>
      <c r="C47" s="49">
        <f>E34</f>
        <v>2.4008195889335211E-3</v>
      </c>
      <c r="D47" s="49"/>
      <c r="E47" s="49"/>
      <c r="F47" s="49"/>
    </row>
    <row r="48" spans="1:6" s="38" customFormat="1" x14ac:dyDescent="0.2">
      <c r="A48" s="49" t="s">
        <v>56</v>
      </c>
      <c r="C48" s="52">
        <f>E13</f>
        <v>2.5929999999999998E-3</v>
      </c>
      <c r="D48" s="52">
        <f>C47+C48</f>
        <v>4.9938195889335209E-3</v>
      </c>
      <c r="E48" s="52"/>
      <c r="F48" s="49"/>
    </row>
    <row r="49" spans="1:6" s="38" customFormat="1" x14ac:dyDescent="0.2">
      <c r="A49" s="49" t="str">
        <f>"      EFFECTIVE RATE  = ( "&amp;TEXT(D46,"0.000000")&amp;" * ( 1 - "&amp;TEXT(D48,"0.000000")&amp;" ) )"</f>
        <v xml:space="preserve">      EFFECTIVE RATE  = ( 0.047049 * ( 1 - 0.004994 ) )</v>
      </c>
      <c r="B49" s="53"/>
      <c r="C49" s="53"/>
      <c r="D49" s="54"/>
      <c r="E49" s="52">
        <f>D46*(1-D48)</f>
        <v>4.6813731739080253E-2</v>
      </c>
      <c r="F49" s="49"/>
    </row>
    <row r="50" spans="1:6" s="38" customFormat="1" x14ac:dyDescent="0.2">
      <c r="A50" s="50" t="str">
        <f>SharedInputs!E23</f>
        <v xml:space="preserve">     *** From 2017 Form 42 - Idaho Corporation Income Tax (unaudited)</v>
      </c>
      <c r="B50" s="49"/>
      <c r="C50" s="55"/>
      <c r="E50" s="49"/>
      <c r="F50" s="49"/>
    </row>
    <row r="51" spans="1:6" s="38" customFormat="1" x14ac:dyDescent="0.2">
      <c r="A51" s="49"/>
      <c r="B51" s="49"/>
      <c r="C51" s="55"/>
      <c r="D51" s="55"/>
      <c r="E51" s="49"/>
      <c r="F51" s="49"/>
    </row>
  </sheetData>
  <mergeCells count="1">
    <mergeCell ref="A38:F38"/>
  </mergeCells>
  <phoneticPr fontId="0" type="noConversion"/>
  <printOptions horizontalCentered="1"/>
  <pageMargins left="0.75" right="0.75" top="0.75" bottom="0.75" header="0.5" footer="0.5"/>
  <pageSetup orientation="portrait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70"/>
  <sheetViews>
    <sheetView zoomScale="115" zoomScaleNormal="115" workbookViewId="0">
      <selection activeCell="P16" sqref="P16"/>
    </sheetView>
  </sheetViews>
  <sheetFormatPr defaultColWidth="9.42578125" defaultRowHeight="12.75" x14ac:dyDescent="0.2"/>
  <cols>
    <col min="1" max="1" width="22" style="11" customWidth="1"/>
    <col min="2" max="2" width="11.28515625" style="11" customWidth="1"/>
    <col min="3" max="3" width="16.28515625" style="11" customWidth="1"/>
    <col min="4" max="4" width="8.5703125" style="11" customWidth="1"/>
    <col min="5" max="5" width="13.28515625" style="11" customWidth="1"/>
    <col min="6" max="6" width="5.28515625" style="11" customWidth="1"/>
    <col min="7" max="8" width="11.28515625" style="11" customWidth="1"/>
    <col min="9" max="10" width="8.7109375" style="45" hidden="1" customWidth="1"/>
    <col min="11" max="12" width="8.7109375" style="11" hidden="1" customWidth="1"/>
    <col min="13" max="21" width="10.28515625" style="11" hidden="1" customWidth="1"/>
    <col min="22" max="16384" width="9.42578125" style="11"/>
  </cols>
  <sheetData>
    <row r="1" spans="1:21" x14ac:dyDescent="0.2">
      <c r="A1" s="10" t="s">
        <v>77</v>
      </c>
    </row>
    <row r="2" spans="1:21" x14ac:dyDescent="0.2">
      <c r="A2" s="10" t="s">
        <v>57</v>
      </c>
      <c r="E2" s="45"/>
      <c r="F2" s="45"/>
      <c r="G2" s="45"/>
    </row>
    <row r="3" spans="1:21" x14ac:dyDescent="0.2">
      <c r="A3" s="10" t="str">
        <f>[2]Input!B2</f>
        <v>TWELVE MONTHS ENDED December 31, 2019</v>
      </c>
    </row>
    <row r="7" spans="1:21" x14ac:dyDescent="0.2">
      <c r="A7" s="10" t="s">
        <v>58</v>
      </c>
      <c r="I7" s="121" t="s">
        <v>156</v>
      </c>
    </row>
    <row r="8" spans="1:21" x14ac:dyDescent="0.2">
      <c r="A8" s="10"/>
    </row>
    <row r="9" spans="1:21" x14ac:dyDescent="0.2">
      <c r="A9" s="10"/>
      <c r="C9" s="12" t="s">
        <v>59</v>
      </c>
      <c r="D9" s="12"/>
      <c r="E9" s="12" t="s">
        <v>60</v>
      </c>
      <c r="F9" s="12"/>
      <c r="G9" s="12" t="s">
        <v>61</v>
      </c>
      <c r="I9" s="122" t="str">
        <f>[2]Input!B4</f>
        <v>201901</v>
      </c>
      <c r="J9" s="122">
        <f>I9+1</f>
        <v>201902</v>
      </c>
      <c r="K9" s="123">
        <f t="shared" ref="K9:T9" si="0">J9+1</f>
        <v>201903</v>
      </c>
      <c r="L9" s="123">
        <f t="shared" si="0"/>
        <v>201904</v>
      </c>
      <c r="M9" s="123">
        <f t="shared" si="0"/>
        <v>201905</v>
      </c>
      <c r="N9" s="123">
        <f t="shared" si="0"/>
        <v>201906</v>
      </c>
      <c r="O9" s="123">
        <f t="shared" si="0"/>
        <v>201907</v>
      </c>
      <c r="P9" s="123">
        <f t="shared" si="0"/>
        <v>201908</v>
      </c>
      <c r="Q9" s="123">
        <f t="shared" si="0"/>
        <v>201909</v>
      </c>
      <c r="R9" s="123">
        <f t="shared" si="0"/>
        <v>201910</v>
      </c>
      <c r="S9" s="123">
        <f t="shared" si="0"/>
        <v>201911</v>
      </c>
      <c r="T9" s="123">
        <f t="shared" si="0"/>
        <v>201912</v>
      </c>
      <c r="U9" s="124" t="s">
        <v>100</v>
      </c>
    </row>
    <row r="10" spans="1:21" x14ac:dyDescent="0.2">
      <c r="A10" s="10" t="s">
        <v>62</v>
      </c>
    </row>
    <row r="11" spans="1:21" x14ac:dyDescent="0.2">
      <c r="A11" s="11" t="s">
        <v>63</v>
      </c>
      <c r="C11" s="14">
        <f>E11+G11</f>
        <v>2451986</v>
      </c>
      <c r="D11" s="14"/>
      <c r="E11" s="14">
        <f>G41</f>
        <v>1822064</v>
      </c>
      <c r="F11" s="14"/>
      <c r="G11" s="14">
        <f>G48</f>
        <v>629922</v>
      </c>
      <c r="I11" s="125">
        <f>I41*I43</f>
        <v>114467.74570599997</v>
      </c>
      <c r="J11" s="125">
        <f>(J41*J43)-I11</f>
        <v>32432.380145999996</v>
      </c>
      <c r="K11" s="126">
        <f>(K41*K43)-J11-I11</f>
        <v>69784.548421000058</v>
      </c>
      <c r="L11" s="126">
        <f>(L41*L43)-K11-J11-I11</f>
        <v>177589.12100199994</v>
      </c>
      <c r="M11" s="126">
        <f>(M41*M43)-L11-K11-J11-I11</f>
        <v>87448.154702999906</v>
      </c>
      <c r="N11" s="126">
        <f>(N41*N43)-M11-L11-K11-J11-I11</f>
        <v>204237.48045600014</v>
      </c>
      <c r="O11" s="126">
        <f>(O41*O43)-N11-M11-L11-K11-J11-I11</f>
        <v>286734.67289799982</v>
      </c>
      <c r="P11" s="126">
        <f>(P41*P43)-O11-N11-M11-L11-K11-J11-I11</f>
        <v>189860.8712600001</v>
      </c>
      <c r="Q11" s="126">
        <f>(Q41*Q43)-P11-O11-N11-M11-L11-K11-J11-I11</f>
        <v>171874.71496399975</v>
      </c>
      <c r="R11" s="126">
        <f>(R41*R43)-Q11-P11-O11-N11-M11-L11-K11-J11-I11</f>
        <v>103254.58911999977</v>
      </c>
      <c r="S11" s="126">
        <f>(S41*S43)-R11-Q11-P11-O11-N11-M11-L11-K11-J11-I11</f>
        <v>60178.560684000244</v>
      </c>
      <c r="T11" s="126">
        <f>(T41*T43)-S11-R11-Q11-P11-O11-N11-M11-L11-K11-J11-I11</f>
        <v>143311.09684399999</v>
      </c>
      <c r="U11" s="126">
        <f>SUM(I11:T11)</f>
        <v>1641173.9362039997</v>
      </c>
    </row>
    <row r="12" spans="1:21" x14ac:dyDescent="0.2">
      <c r="A12" s="11" t="s">
        <v>64</v>
      </c>
      <c r="C12" s="14"/>
      <c r="D12" s="14"/>
      <c r="E12" s="14"/>
      <c r="F12" s="14"/>
      <c r="G12" s="14"/>
      <c r="I12" s="125"/>
      <c r="J12" s="125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</row>
    <row r="13" spans="1:21" x14ac:dyDescent="0.2">
      <c r="A13" s="11" t="s">
        <v>65</v>
      </c>
      <c r="C13" s="15">
        <f>'C-UE-2'!Q23</f>
        <v>587745.9890909089</v>
      </c>
      <c r="D13" s="66" t="s">
        <v>93</v>
      </c>
      <c r="E13" s="67">
        <f>C13*E17</f>
        <v>385167.57903094532</v>
      </c>
      <c r="F13" s="68"/>
      <c r="G13" s="67">
        <f>C13*G17</f>
        <v>202578.41005996356</v>
      </c>
      <c r="H13" s="69"/>
      <c r="I13" s="127">
        <f>'C-UE-2'!Q11*'C-UE-1'!$E$17</f>
        <v>133070.50314834545</v>
      </c>
      <c r="J13" s="127">
        <f>'C-UE-2'!Q12*'C-UE-1'!$E$17</f>
        <v>114031.67309169999</v>
      </c>
      <c r="K13" s="128">
        <f>'C-UE-2'!Q13*'C-UE-1'!$E$17</f>
        <v>492311.96378389996</v>
      </c>
      <c r="L13" s="128">
        <f>'C-UE-2'!Q14*'C-UE-1'!$E$17</f>
        <v>-34957.667941299987</v>
      </c>
      <c r="M13" s="128">
        <f>'C-UE-2'!Q15*'C-UE-1'!$E$17</f>
        <v>124018.55496679999</v>
      </c>
      <c r="N13" s="128">
        <f>'C-UE-2'!Q16*'C-UE-1'!$E$17</f>
        <v>-1129473.2278791</v>
      </c>
      <c r="O13" s="128">
        <f>'C-UE-2'!Q17*'C-UE-1'!$E$17</f>
        <v>68419.073319999996</v>
      </c>
      <c r="P13" s="128">
        <f>'C-UE-2'!Q18*'C-UE-1'!$E$17</f>
        <v>446699.02324059996</v>
      </c>
      <c r="Q13" s="128">
        <f>'C-UE-2'!Q19*'C-UE-1'!$E$17</f>
        <v>0</v>
      </c>
      <c r="R13" s="128">
        <f>'C-UE-2'!Q20*'C-UE-1'!$E$17</f>
        <v>68419.073319999996</v>
      </c>
      <c r="S13" s="128">
        <f>'C-UE-2'!Q21*'C-UE-1'!$E$17</f>
        <v>68419.073319999996</v>
      </c>
      <c r="T13" s="128">
        <f>'C-UE-2'!Q22*'C-UE-1'!$E$17</f>
        <v>34209.536659999998</v>
      </c>
      <c r="U13" s="128">
        <f>SUM(I13:T13)</f>
        <v>385167.57903094532</v>
      </c>
    </row>
    <row r="14" spans="1:21" x14ac:dyDescent="0.2">
      <c r="C14" s="14"/>
      <c r="D14" s="14"/>
      <c r="E14" s="14"/>
      <c r="F14" s="14"/>
      <c r="G14" s="14"/>
      <c r="I14" s="125"/>
      <c r="J14" s="125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</row>
    <row r="15" spans="1:21" ht="13.5" thickBot="1" x14ac:dyDescent="0.25">
      <c r="A15" s="11" t="s">
        <v>66</v>
      </c>
      <c r="C15" s="30">
        <f>C11-C13</f>
        <v>1864240.0109090912</v>
      </c>
      <c r="D15" s="14"/>
      <c r="E15" s="30">
        <f>E11-E13</f>
        <v>1436896.4209690546</v>
      </c>
      <c r="F15" s="14"/>
      <c r="G15" s="30">
        <f>G11-G13</f>
        <v>427343.58994003641</v>
      </c>
      <c r="I15" s="129">
        <f t="shared" ref="I15:U15" si="1">I11-I13</f>
        <v>-18602.757442345479</v>
      </c>
      <c r="J15" s="129">
        <f t="shared" si="1"/>
        <v>-81599.292945699999</v>
      </c>
      <c r="K15" s="130">
        <f t="shared" si="1"/>
        <v>-422527.41536289989</v>
      </c>
      <c r="L15" s="130">
        <f t="shared" si="1"/>
        <v>212546.78894329994</v>
      </c>
      <c r="M15" s="130">
        <f t="shared" si="1"/>
        <v>-36570.400263800082</v>
      </c>
      <c r="N15" s="130">
        <f t="shared" si="1"/>
        <v>1333710.7083351002</v>
      </c>
      <c r="O15" s="130">
        <f t="shared" si="1"/>
        <v>218315.59957799982</v>
      </c>
      <c r="P15" s="130">
        <f t="shared" si="1"/>
        <v>-256838.15198059985</v>
      </c>
      <c r="Q15" s="130">
        <f t="shared" si="1"/>
        <v>171874.71496399975</v>
      </c>
      <c r="R15" s="130">
        <f t="shared" si="1"/>
        <v>34835.515799999775</v>
      </c>
      <c r="S15" s="130">
        <f t="shared" si="1"/>
        <v>-8240.5126359997521</v>
      </c>
      <c r="T15" s="130">
        <f t="shared" si="1"/>
        <v>109101.56018399999</v>
      </c>
      <c r="U15" s="130">
        <f t="shared" si="1"/>
        <v>1256006.3571730545</v>
      </c>
    </row>
    <row r="16" spans="1:21" ht="13.5" thickTop="1" x14ac:dyDescent="0.2">
      <c r="C16" s="31"/>
      <c r="D16" s="31"/>
      <c r="E16" s="31"/>
      <c r="G16" s="31"/>
      <c r="I16" s="125"/>
      <c r="J16" s="125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</row>
    <row r="17" spans="1:21" x14ac:dyDescent="0.2">
      <c r="A17" s="11" t="str">
        <f>[2]Input!A8</f>
        <v>Allocation Note 2: Customers</v>
      </c>
      <c r="C17" s="70">
        <f>SUM(E17,G17)</f>
        <v>1</v>
      </c>
      <c r="D17" s="70"/>
      <c r="E17" s="70">
        <f>[2]Input!C8</f>
        <v>0.65532999999999997</v>
      </c>
      <c r="F17" s="71"/>
      <c r="G17" s="70">
        <f>[2]Input!D8</f>
        <v>0.34466999999999998</v>
      </c>
      <c r="I17" s="125"/>
      <c r="J17" s="125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</row>
    <row r="18" spans="1:21" x14ac:dyDescent="0.2">
      <c r="C18" s="14"/>
      <c r="D18" s="14"/>
      <c r="E18" s="14"/>
      <c r="F18" s="14"/>
      <c r="G18" s="14"/>
      <c r="I18" s="125"/>
      <c r="J18" s="125"/>
      <c r="K18" s="131"/>
      <c r="L18" s="126"/>
      <c r="M18" s="126"/>
      <c r="N18" s="126"/>
      <c r="O18" s="126"/>
      <c r="P18" s="126"/>
      <c r="Q18" s="126"/>
      <c r="R18" s="126"/>
      <c r="S18" s="126"/>
      <c r="T18" s="126"/>
      <c r="U18" s="126"/>
    </row>
    <row r="19" spans="1:21" x14ac:dyDescent="0.2">
      <c r="C19" s="14"/>
      <c r="D19" s="14"/>
      <c r="E19" s="14"/>
      <c r="G19" s="14"/>
      <c r="I19" s="125"/>
      <c r="J19" s="125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</row>
    <row r="20" spans="1:21" x14ac:dyDescent="0.2">
      <c r="A20" s="10" t="s">
        <v>67</v>
      </c>
      <c r="B20" s="14"/>
      <c r="C20" s="14"/>
      <c r="D20" s="14"/>
      <c r="E20" s="14"/>
      <c r="F20" s="14"/>
      <c r="G20" s="14"/>
      <c r="I20" s="125"/>
      <c r="J20" s="125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</row>
    <row r="21" spans="1:21" x14ac:dyDescent="0.2">
      <c r="A21" s="11" t="s">
        <v>63</v>
      </c>
      <c r="C21" s="14">
        <f>E21+G21</f>
        <v>642896</v>
      </c>
      <c r="D21" s="14"/>
      <c r="E21" s="14">
        <f>G42</f>
        <v>491374</v>
      </c>
      <c r="F21" s="14"/>
      <c r="G21" s="14">
        <f>G49</f>
        <v>151522</v>
      </c>
      <c r="I21" s="125">
        <f>I42*I43</f>
        <v>44272.714293999998</v>
      </c>
      <c r="J21" s="125">
        <f>(J42*J43)-I21</f>
        <v>15903.739853999985</v>
      </c>
      <c r="K21" s="126">
        <f>(K42*K43)-J21-I21</f>
        <v>22551.161579000029</v>
      </c>
      <c r="L21" s="126">
        <f>(L42*L43)-K21-J21-I21</f>
        <v>57027.838997999999</v>
      </c>
      <c r="M21" s="126">
        <f>(M42*M43)-L21-K21-J21-I21</f>
        <v>13788.255296999974</v>
      </c>
      <c r="N21" s="126">
        <f>(N42*N43)-M21-L21-K21-J21-I21</f>
        <v>44237.429544000021</v>
      </c>
      <c r="O21" s="126">
        <f>(O42*O43)-N21-M21-L21-K21-J21-I21</f>
        <v>57363.81710199995</v>
      </c>
      <c r="P21" s="126">
        <f>(P42*P43)-O21-N21-M21-L21-K21-J21-I21</f>
        <v>26109.028740000016</v>
      </c>
      <c r="Q21" s="126">
        <f>(Q42*Q43)-P21-O21-N21-M21-L21-K21-J21-I21</f>
        <v>28917.865035999952</v>
      </c>
      <c r="R21" s="126">
        <f>(R42*R43)-Q21-P21-O21-N21-M21-L21-K21-J21-I21</f>
        <v>32337.380880000048</v>
      </c>
      <c r="S21" s="126">
        <f>(S42*S43)-R21-Q21-P21-O21-N21-M21-L21-K21-J21-I21</f>
        <v>35473.689315999953</v>
      </c>
      <c r="T21" s="126">
        <f>(T42*T43)-S21-R21-Q21-P21-O21-N21-M21-L21-K21-J21-I21</f>
        <v>64608.933156000021</v>
      </c>
      <c r="U21" s="126">
        <f>SUM(I21:T21)</f>
        <v>442591.85379600001</v>
      </c>
    </row>
    <row r="22" spans="1:21" x14ac:dyDescent="0.2">
      <c r="A22" s="11" t="s">
        <v>64</v>
      </c>
      <c r="C22" s="14"/>
      <c r="D22" s="14"/>
      <c r="E22" s="14"/>
      <c r="F22" s="14"/>
      <c r="G22" s="14"/>
      <c r="I22" s="125"/>
      <c r="J22" s="125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</row>
    <row r="23" spans="1:21" x14ac:dyDescent="0.2">
      <c r="A23" s="11" t="s">
        <v>65</v>
      </c>
      <c r="C23" s="15">
        <f>'C-UE-2'!R23</f>
        <v>491050.82533073903</v>
      </c>
      <c r="D23" s="66" t="s">
        <v>93</v>
      </c>
      <c r="E23" s="67">
        <f>C23*E27</f>
        <v>325276.97720733489</v>
      </c>
      <c r="F23" s="68"/>
      <c r="G23" s="67">
        <f>C23*G27</f>
        <v>165773.8481234042</v>
      </c>
      <c r="H23" s="69"/>
      <c r="I23" s="127">
        <f>'C-UE-2'!R11*'C-UE-1'!$E$27</f>
        <v>159698.62867593483</v>
      </c>
      <c r="J23" s="127">
        <f>'C-UE-2'!R12*'C-UE-1'!$E$27</f>
        <v>74896.413385500011</v>
      </c>
      <c r="K23" s="128">
        <f>'C-UE-2'!R13*'C-UE-1'!$E$27</f>
        <v>74896.638604899999</v>
      </c>
      <c r="L23" s="128">
        <f>'C-UE-2'!R14*'C-UE-1'!$E$27</f>
        <v>225495.39312650004</v>
      </c>
      <c r="M23" s="128">
        <f>'C-UE-2'!R15*'C-UE-1'!$E$27</f>
        <v>81455.835673100009</v>
      </c>
      <c r="N23" s="128">
        <f>'C-UE-2'!R16*'C-UE-1'!$E$27</f>
        <v>-493386.45705860003</v>
      </c>
      <c r="O23" s="128">
        <f>'C-UE-2'!R17*'C-UE-1'!$E$27</f>
        <v>44937.894400000005</v>
      </c>
      <c r="P23" s="128">
        <f>'C-UE-2'!R18*'C-UE-1'!$E$27</f>
        <v>44937.894400000005</v>
      </c>
      <c r="Q23" s="128">
        <f>'C-UE-2'!R19*'C-UE-1'!$E$27</f>
        <v>0</v>
      </c>
      <c r="R23" s="128">
        <f>'C-UE-2'!R20*'C-UE-1'!$E$27</f>
        <v>44937.894400000005</v>
      </c>
      <c r="S23" s="128">
        <f>'C-UE-2'!R21*'C-UE-1'!$E$27</f>
        <v>44937.894400000005</v>
      </c>
      <c r="T23" s="128">
        <f>'C-UE-2'!R22*'C-UE-1'!$E$27</f>
        <v>22468.947200000002</v>
      </c>
      <c r="U23" s="128">
        <f>SUM(I23:T23)</f>
        <v>325276.97720733477</v>
      </c>
    </row>
    <row r="24" spans="1:21" x14ac:dyDescent="0.2">
      <c r="C24" s="14"/>
      <c r="D24" s="14"/>
      <c r="E24" s="14"/>
      <c r="F24" s="14"/>
      <c r="G24" s="14"/>
      <c r="I24" s="125"/>
      <c r="J24" s="125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</row>
    <row r="25" spans="1:21" ht="13.5" thickBot="1" x14ac:dyDescent="0.25">
      <c r="A25" s="11" t="s">
        <v>66</v>
      </c>
      <c r="C25" s="30">
        <f>C21-C23</f>
        <v>151845.17466926097</v>
      </c>
      <c r="D25" s="14"/>
      <c r="E25" s="30">
        <f>E21-E23</f>
        <v>166097.02279266511</v>
      </c>
      <c r="F25" s="14"/>
      <c r="G25" s="30">
        <f>G21-G23</f>
        <v>-14251.848123404197</v>
      </c>
      <c r="I25" s="129">
        <f t="shared" ref="I25:U25" si="2">I21-I23</f>
        <v>-115425.91438193482</v>
      </c>
      <c r="J25" s="129">
        <f t="shared" si="2"/>
        <v>-58992.673531500026</v>
      </c>
      <c r="K25" s="130">
        <f t="shared" si="2"/>
        <v>-52345.477025899971</v>
      </c>
      <c r="L25" s="130">
        <f t="shared" si="2"/>
        <v>-168467.55412850005</v>
      </c>
      <c r="M25" s="130">
        <f t="shared" si="2"/>
        <v>-67667.580376100028</v>
      </c>
      <c r="N25" s="130">
        <f t="shared" si="2"/>
        <v>537623.88660260011</v>
      </c>
      <c r="O25" s="130">
        <f t="shared" si="2"/>
        <v>12425.922701999945</v>
      </c>
      <c r="P25" s="130">
        <f t="shared" si="2"/>
        <v>-18828.865659999989</v>
      </c>
      <c r="Q25" s="130">
        <f t="shared" si="2"/>
        <v>28917.865035999952</v>
      </c>
      <c r="R25" s="130">
        <f t="shared" si="2"/>
        <v>-12600.513519999957</v>
      </c>
      <c r="S25" s="130">
        <f t="shared" si="2"/>
        <v>-9464.205084000052</v>
      </c>
      <c r="T25" s="130">
        <f t="shared" si="2"/>
        <v>42139.985956000019</v>
      </c>
      <c r="U25" s="130">
        <f t="shared" si="2"/>
        <v>117314.87658866524</v>
      </c>
    </row>
    <row r="26" spans="1:21" ht="13.5" thickTop="1" x14ac:dyDescent="0.2">
      <c r="C26" s="13"/>
      <c r="D26" s="13"/>
      <c r="E26" s="13"/>
      <c r="F26" s="13"/>
      <c r="G26" s="13"/>
      <c r="I26" s="125"/>
      <c r="J26" s="125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</row>
    <row r="27" spans="1:21" x14ac:dyDescent="0.2">
      <c r="A27" s="11" t="str">
        <f>[2]Input!A9</f>
        <v>Allocation Note 2:  Customers</v>
      </c>
      <c r="C27" s="70">
        <f>SUM(E27,G27)</f>
        <v>1</v>
      </c>
      <c r="D27" s="70"/>
      <c r="E27" s="70">
        <f>[2]Input!C9</f>
        <v>0.66241000000000005</v>
      </c>
      <c r="F27" s="70"/>
      <c r="G27" s="70">
        <f>[2]Input!D9</f>
        <v>0.33759</v>
      </c>
      <c r="I27" s="125"/>
      <c r="J27" s="125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</row>
    <row r="28" spans="1:21" x14ac:dyDescent="0.2">
      <c r="C28" s="13"/>
      <c r="D28" s="13"/>
      <c r="E28" s="13"/>
      <c r="F28" s="13"/>
      <c r="G28" s="13"/>
      <c r="I28" s="125"/>
      <c r="J28" s="125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</row>
    <row r="29" spans="1:21" x14ac:dyDescent="0.2">
      <c r="A29" s="11" t="s">
        <v>68</v>
      </c>
      <c r="I29" s="125"/>
      <c r="J29" s="125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</row>
    <row r="30" spans="1:21" x14ac:dyDescent="0.2">
      <c r="A30" s="11" t="s">
        <v>82</v>
      </c>
      <c r="I30" s="125"/>
      <c r="J30" s="125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</row>
    <row r="31" spans="1:21" x14ac:dyDescent="0.2">
      <c r="I31" s="125"/>
      <c r="J31" s="125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</row>
    <row r="32" spans="1:21" x14ac:dyDescent="0.2">
      <c r="A32" s="11" t="s">
        <v>69</v>
      </c>
      <c r="I32" s="125"/>
      <c r="J32" s="125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</row>
    <row r="33" spans="1:21" x14ac:dyDescent="0.2">
      <c r="I33" s="125"/>
      <c r="J33" s="125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</row>
    <row r="34" spans="1:21" x14ac:dyDescent="0.2">
      <c r="I34" s="125"/>
      <c r="J34" s="125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</row>
    <row r="35" spans="1:21" x14ac:dyDescent="0.2">
      <c r="A35" s="10" t="s">
        <v>103</v>
      </c>
      <c r="I35" s="125"/>
      <c r="J35" s="125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</row>
    <row r="36" spans="1:21" x14ac:dyDescent="0.2">
      <c r="A36" s="10"/>
      <c r="B36" s="72"/>
      <c r="C36" s="73" t="s">
        <v>104</v>
      </c>
      <c r="D36" s="72"/>
      <c r="E36" s="73"/>
      <c r="F36" s="72"/>
      <c r="G36" s="73" t="s">
        <v>105</v>
      </c>
    </row>
    <row r="37" spans="1:21" x14ac:dyDescent="0.2">
      <c r="B37" s="72"/>
      <c r="C37" s="74" t="s">
        <v>106</v>
      </c>
      <c r="D37" s="72"/>
      <c r="E37" s="74" t="s">
        <v>107</v>
      </c>
      <c r="F37" s="72"/>
      <c r="G37" s="74" t="s">
        <v>108</v>
      </c>
    </row>
    <row r="38" spans="1:21" x14ac:dyDescent="0.2">
      <c r="A38" s="72"/>
      <c r="B38" s="72"/>
      <c r="C38" s="75" t="s">
        <v>109</v>
      </c>
      <c r="D38" s="72"/>
      <c r="E38" s="75" t="s">
        <v>110</v>
      </c>
      <c r="F38" s="72"/>
      <c r="G38" s="75" t="s">
        <v>111</v>
      </c>
    </row>
    <row r="39" spans="1:21" x14ac:dyDescent="0.2">
      <c r="B39" s="72"/>
      <c r="D39" s="72"/>
      <c r="E39" s="76"/>
      <c r="F39" s="72"/>
    </row>
    <row r="40" spans="1:21" x14ac:dyDescent="0.2">
      <c r="A40" s="10" t="s">
        <v>112</v>
      </c>
      <c r="B40" s="72"/>
      <c r="D40" s="72"/>
      <c r="E40" s="76"/>
      <c r="F40" s="72"/>
    </row>
    <row r="41" spans="1:21" x14ac:dyDescent="0.2">
      <c r="A41" s="11" t="s">
        <v>113</v>
      </c>
      <c r="B41" s="77"/>
      <c r="C41" s="78">
        <f>-'[2]C-UE-3'!H22</f>
        <v>547776885.26999998</v>
      </c>
      <c r="D41" s="66" t="s">
        <v>114</v>
      </c>
      <c r="E41" s="79">
        <f>ROUND(C41/C43,4)</f>
        <v>0.78759999999999997</v>
      </c>
      <c r="F41" s="72"/>
      <c r="G41" s="14">
        <f>ROUND(G43*E41,0)</f>
        <v>1822064</v>
      </c>
      <c r="I41" s="132">
        <f>'[2]C-UE-3'!K25</f>
        <v>0.72109999999999996</v>
      </c>
      <c r="J41" s="132">
        <f>'[2]C-UE-3'!K26</f>
        <v>0.70940000000000003</v>
      </c>
      <c r="K41" s="133">
        <f>'[2]C-UE-3'!K27</f>
        <v>0.72370000000000001</v>
      </c>
      <c r="L41" s="133">
        <f>'[2]C-UE-3'!K28</f>
        <v>0.73829999999999996</v>
      </c>
      <c r="M41" s="133">
        <f>'[2]C-UE-3'!K29</f>
        <v>0.75829999999999997</v>
      </c>
      <c r="N41" s="133">
        <f>'[2]C-UE-3'!K30</f>
        <v>0.7762</v>
      </c>
      <c r="O41" s="133">
        <f>'[2]C-UE-3'!K31</f>
        <v>0.79220000000000002</v>
      </c>
      <c r="P41" s="133">
        <f>'[2]C-UE-3'!K32</f>
        <v>0.80520000000000003</v>
      </c>
      <c r="Q41" s="133">
        <f>'[2]C-UE-3'!K33</f>
        <v>0.81140000000000001</v>
      </c>
      <c r="R41" s="133">
        <f>'[2]C-UE-3'!K34</f>
        <v>0.80759999999999998</v>
      </c>
      <c r="S41" s="133">
        <f>'[2]C-UE-3'!K35</f>
        <v>0.79849999999999999</v>
      </c>
      <c r="T41" s="133">
        <f>'[2]C-UE-3'!K36</f>
        <v>0.78759999999999997</v>
      </c>
      <c r="U41" s="133">
        <f>T41</f>
        <v>0.78759999999999997</v>
      </c>
    </row>
    <row r="42" spans="1:21" x14ac:dyDescent="0.2">
      <c r="A42" s="11" t="s">
        <v>115</v>
      </c>
      <c r="B42" s="77"/>
      <c r="C42" s="67">
        <f>-'[2]C-UE-3'!AD22</f>
        <v>147734982.24000001</v>
      </c>
      <c r="D42" s="66" t="s">
        <v>114</v>
      </c>
      <c r="E42" s="80">
        <f>1-E41</f>
        <v>0.21240000000000003</v>
      </c>
      <c r="F42" s="72"/>
      <c r="G42" s="15">
        <f>G43-G41</f>
        <v>491374</v>
      </c>
      <c r="I42" s="132">
        <f>1-I41</f>
        <v>0.27890000000000004</v>
      </c>
      <c r="J42" s="132">
        <f t="shared" ref="J42:U42" si="3">1-J41</f>
        <v>0.29059999999999997</v>
      </c>
      <c r="K42" s="133">
        <f t="shared" si="3"/>
        <v>0.27629999999999999</v>
      </c>
      <c r="L42" s="133">
        <f t="shared" si="3"/>
        <v>0.26170000000000004</v>
      </c>
      <c r="M42" s="133">
        <f t="shared" si="3"/>
        <v>0.24170000000000003</v>
      </c>
      <c r="N42" s="133">
        <f t="shared" si="3"/>
        <v>0.2238</v>
      </c>
      <c r="O42" s="133">
        <f t="shared" si="3"/>
        <v>0.20779999999999998</v>
      </c>
      <c r="P42" s="133">
        <f t="shared" si="3"/>
        <v>0.19479999999999997</v>
      </c>
      <c r="Q42" s="133">
        <f t="shared" si="3"/>
        <v>0.18859999999999999</v>
      </c>
      <c r="R42" s="133">
        <f t="shared" si="3"/>
        <v>0.19240000000000002</v>
      </c>
      <c r="S42" s="133">
        <f t="shared" si="3"/>
        <v>0.20150000000000001</v>
      </c>
      <c r="T42" s="133">
        <f t="shared" si="3"/>
        <v>0.21240000000000003</v>
      </c>
      <c r="U42" s="133">
        <f t="shared" si="3"/>
        <v>0.21240000000000003</v>
      </c>
    </row>
    <row r="43" spans="1:21" x14ac:dyDescent="0.2">
      <c r="A43" s="11" t="s">
        <v>100</v>
      </c>
      <c r="B43" s="72"/>
      <c r="C43" s="81">
        <f>C41+C42</f>
        <v>695511867.50999999</v>
      </c>
      <c r="D43" s="72"/>
      <c r="E43" s="79">
        <f>E41+E42</f>
        <v>1</v>
      </c>
      <c r="F43" s="72"/>
      <c r="G43" s="81">
        <f>ROUND(C62,0)</f>
        <v>2313438</v>
      </c>
      <c r="I43" s="125">
        <f>'C-UE-2'!N30</f>
        <v>158740.45999999996</v>
      </c>
      <c r="J43" s="125">
        <f>'C-UE-2'!N31</f>
        <v>207076.57999999996</v>
      </c>
      <c r="K43" s="126">
        <f>'C-UE-2'!N32</f>
        <v>299412.29000000004</v>
      </c>
      <c r="L43" s="126">
        <f>'C-UE-2'!N33</f>
        <v>534029.25</v>
      </c>
      <c r="M43" s="126">
        <f>'C-UE-2'!N34</f>
        <v>635265.65999999992</v>
      </c>
      <c r="N43" s="126">
        <f>'C-UE-2'!N35</f>
        <v>883740.57</v>
      </c>
      <c r="O43" s="126">
        <f>'C-UE-2'!N36</f>
        <v>1227839.0599999998</v>
      </c>
      <c r="P43" s="126">
        <f>'C-UE-2'!N37</f>
        <v>1443808.96</v>
      </c>
      <c r="Q43" s="126">
        <f>'C-UE-2'!N38</f>
        <v>1644601.5399999998</v>
      </c>
      <c r="R43" s="126">
        <f>'C-UE-2'!N39</f>
        <v>1780193.5099999998</v>
      </c>
      <c r="S43" s="126">
        <f>'C-UE-2'!N40</f>
        <v>1875845.7599999998</v>
      </c>
      <c r="T43" s="126">
        <f>'C-UE-2'!N41</f>
        <v>2083765.7899999998</v>
      </c>
      <c r="U43" s="126">
        <f>T43</f>
        <v>2083765.7899999998</v>
      </c>
    </row>
    <row r="44" spans="1:21" x14ac:dyDescent="0.2">
      <c r="B44" s="72"/>
      <c r="C44" s="14"/>
      <c r="D44" s="72"/>
      <c r="E44" s="79"/>
      <c r="F44" s="72"/>
      <c r="G44" s="14"/>
    </row>
    <row r="45" spans="1:21" x14ac:dyDescent="0.2">
      <c r="B45" s="72"/>
      <c r="C45" s="14"/>
      <c r="D45" s="72"/>
      <c r="E45" s="79"/>
      <c r="F45" s="72"/>
      <c r="G45" s="14"/>
    </row>
    <row r="46" spans="1:21" x14ac:dyDescent="0.2">
      <c r="B46" s="72"/>
      <c r="C46" s="14"/>
      <c r="D46" s="72"/>
      <c r="E46" s="79"/>
      <c r="F46" s="72"/>
      <c r="G46" s="14"/>
    </row>
    <row r="47" spans="1:21" x14ac:dyDescent="0.2">
      <c r="A47" s="10" t="s">
        <v>116</v>
      </c>
      <c r="B47" s="72"/>
      <c r="C47" s="14"/>
      <c r="D47" s="72"/>
      <c r="E47" s="79"/>
      <c r="F47" s="72"/>
      <c r="G47" s="14"/>
    </row>
    <row r="48" spans="1:21" x14ac:dyDescent="0.2">
      <c r="A48" s="11" t="s">
        <v>113</v>
      </c>
      <c r="B48" s="77"/>
      <c r="C48" s="78">
        <f>-'[2]C-UE-3'!T22</f>
        <v>262394266.39000002</v>
      </c>
      <c r="D48" s="66" t="s">
        <v>114</v>
      </c>
      <c r="E48" s="79">
        <f>ROUND(C48/C50,4)</f>
        <v>0.80610000000000004</v>
      </c>
      <c r="F48" s="72"/>
      <c r="G48" s="14">
        <f>ROUND(G50*E48,0)</f>
        <v>629922</v>
      </c>
    </row>
    <row r="49" spans="1:7" x14ac:dyDescent="0.2">
      <c r="A49" s="11" t="s">
        <v>115</v>
      </c>
      <c r="B49" s="77"/>
      <c r="C49" s="67">
        <f>-'[2]C-UE-3'!AN22</f>
        <v>63112613.719999999</v>
      </c>
      <c r="D49" s="66" t="s">
        <v>114</v>
      </c>
      <c r="E49" s="80">
        <f>1-E48</f>
        <v>0.19389999999999996</v>
      </c>
      <c r="F49" s="72"/>
      <c r="G49" s="15">
        <f>G50-G48</f>
        <v>151522</v>
      </c>
    </row>
    <row r="50" spans="1:7" x14ac:dyDescent="0.2">
      <c r="A50" s="11" t="s">
        <v>100</v>
      </c>
      <c r="B50" s="72"/>
      <c r="C50" s="81">
        <f>C48+C49</f>
        <v>325506880.11000001</v>
      </c>
      <c r="D50" s="72"/>
      <c r="E50" s="79">
        <f>E48+E49</f>
        <v>1</v>
      </c>
      <c r="F50" s="72"/>
      <c r="G50" s="81">
        <f>ROUND(C66,0)</f>
        <v>781444</v>
      </c>
    </row>
    <row r="51" spans="1:7" x14ac:dyDescent="0.2">
      <c r="B51" s="72"/>
      <c r="C51" s="14"/>
      <c r="D51" s="72"/>
      <c r="F51" s="72"/>
      <c r="G51" s="14"/>
    </row>
    <row r="52" spans="1:7" ht="13.5" thickBot="1" x14ac:dyDescent="0.25">
      <c r="A52" s="10" t="s">
        <v>117</v>
      </c>
      <c r="B52" s="72"/>
      <c r="C52" s="82">
        <f>C50+C43</f>
        <v>1021018747.62</v>
      </c>
      <c r="D52" s="72"/>
      <c r="F52" s="72"/>
      <c r="G52" s="82">
        <f>G50+G43</f>
        <v>3094882</v>
      </c>
    </row>
    <row r="53" spans="1:7" ht="13.5" thickTop="1" x14ac:dyDescent="0.2">
      <c r="C53" s="14"/>
    </row>
    <row r="54" spans="1:7" x14ac:dyDescent="0.2">
      <c r="A54" s="11" t="s">
        <v>118</v>
      </c>
    </row>
    <row r="56" spans="1:7" x14ac:dyDescent="0.2">
      <c r="A56" s="11" t="s">
        <v>119</v>
      </c>
    </row>
    <row r="58" spans="1:7" x14ac:dyDescent="0.2">
      <c r="B58" s="83" t="s">
        <v>120</v>
      </c>
      <c r="C58" s="84" t="s">
        <v>121</v>
      </c>
    </row>
    <row r="59" spans="1:7" x14ac:dyDescent="0.2">
      <c r="A59" s="85" t="s">
        <v>122</v>
      </c>
    </row>
    <row r="60" spans="1:7" x14ac:dyDescent="0.2">
      <c r="A60" s="11" t="s">
        <v>123</v>
      </c>
      <c r="B60" s="86">
        <v>200</v>
      </c>
      <c r="C60" s="87">
        <f>'C-UE-2'!E23</f>
        <v>3428743.5200000019</v>
      </c>
      <c r="D60" s="66" t="s">
        <v>93</v>
      </c>
      <c r="E60" s="88"/>
      <c r="F60"/>
      <c r="G60"/>
    </row>
    <row r="61" spans="1:7" x14ac:dyDescent="0.2">
      <c r="A61" s="11" t="s">
        <v>157</v>
      </c>
      <c r="B61" s="86">
        <v>200</v>
      </c>
      <c r="C61" s="87">
        <f>'C-UE-2'!G23</f>
        <v>-1115305.5599999998</v>
      </c>
      <c r="D61" s="66" t="s">
        <v>93</v>
      </c>
      <c r="E61"/>
      <c r="F61"/>
      <c r="G61"/>
    </row>
    <row r="62" spans="1:7" x14ac:dyDescent="0.2">
      <c r="B62" s="86"/>
      <c r="C62" s="89">
        <f>SUM(C60:C61)</f>
        <v>2313437.9600000018</v>
      </c>
      <c r="D62" s="69"/>
      <c r="E62"/>
      <c r="F62"/>
      <c r="G62"/>
    </row>
    <row r="63" spans="1:7" x14ac:dyDescent="0.2">
      <c r="A63" s="85" t="s">
        <v>124</v>
      </c>
      <c r="B63" s="86"/>
      <c r="C63" s="90"/>
      <c r="D63" s="69"/>
      <c r="E63"/>
      <c r="F63"/>
      <c r="G63"/>
    </row>
    <row r="64" spans="1:7" x14ac:dyDescent="0.2">
      <c r="A64" s="11" t="s">
        <v>125</v>
      </c>
      <c r="B64" s="86">
        <v>200</v>
      </c>
      <c r="C64" s="87">
        <f>'C-UE-2'!F23</f>
        <v>1040463.7600000002</v>
      </c>
      <c r="D64" s="66" t="s">
        <v>93</v>
      </c>
      <c r="E64"/>
      <c r="F64"/>
      <c r="G64"/>
    </row>
    <row r="65" spans="1:7" x14ac:dyDescent="0.2">
      <c r="A65" s="11" t="s">
        <v>158</v>
      </c>
      <c r="B65" s="86">
        <v>200</v>
      </c>
      <c r="C65" s="87">
        <f>'C-UE-2'!H23</f>
        <v>-259020.02000000005</v>
      </c>
      <c r="D65" s="66" t="s">
        <v>93</v>
      </c>
      <c r="E65"/>
      <c r="F65"/>
      <c r="G65"/>
    </row>
    <row r="66" spans="1:7" x14ac:dyDescent="0.2">
      <c r="C66" s="89">
        <f>SUM(C64:C65)</f>
        <v>781443.74000000022</v>
      </c>
      <c r="E66"/>
      <c r="F66"/>
      <c r="G66"/>
    </row>
    <row r="67" spans="1:7" x14ac:dyDescent="0.2">
      <c r="C67" s="90"/>
      <c r="E67"/>
      <c r="F67"/>
      <c r="G67"/>
    </row>
    <row r="68" spans="1:7" x14ac:dyDescent="0.2">
      <c r="C68" s="90">
        <f>C62+C66</f>
        <v>3094881.700000002</v>
      </c>
      <c r="E68" s="90">
        <f>G52-C68</f>
        <v>0.29999999795109034</v>
      </c>
      <c r="F68" s="11" t="s">
        <v>126</v>
      </c>
    </row>
    <row r="70" spans="1:7" x14ac:dyDescent="0.2">
      <c r="A70" s="91"/>
    </row>
  </sheetData>
  <printOptions horizontalCentered="1"/>
  <pageMargins left="0.75" right="0.75" top="1" bottom="0.88" header="0.5" footer="0.5"/>
  <pageSetup scale="91" fitToHeight="2" orientation="landscape" horizontalDpi="300" verticalDpi="300" r:id="rId1"/>
  <headerFooter alignWithMargins="0">
    <oddHeader xml:space="preserve">&amp;RAdjustment No. _______
Workpaper Ref. &amp;A
</oddHeader>
    <oddFooter>&amp;L&amp;F&amp;RPrep by: ____________     1st Review:__________
          Date:  &amp;D           Mgr. Review:__________</oddFooter>
  </headerFooter>
  <rowBreaks count="1" manualBreakCount="1">
    <brk id="34" max="16383" man="1"/>
  </rowBreaks>
  <colBreaks count="1" manualBreakCount="1">
    <brk id="8" max="1048575" man="1"/>
  </col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149"/>
  <sheetViews>
    <sheetView topLeftCell="D4" zoomScaleNormal="100" workbookViewId="0">
      <selection activeCell="H33" sqref="H33:H34"/>
    </sheetView>
  </sheetViews>
  <sheetFormatPr defaultRowHeight="12.75" x14ac:dyDescent="0.2"/>
  <cols>
    <col min="1" max="1" width="22.5703125" style="134" hidden="1" customWidth="1"/>
    <col min="2" max="2" width="19.7109375" style="134" hidden="1" customWidth="1"/>
    <col min="3" max="3" width="22.5703125" style="134" hidden="1" customWidth="1"/>
    <col min="5" max="5" width="12.28515625" bestFit="1" customWidth="1"/>
    <col min="6" max="6" width="14.7109375" bestFit="1" customWidth="1"/>
    <col min="7" max="7" width="14.28515625" bestFit="1" customWidth="1"/>
    <col min="8" max="8" width="13.28515625" bestFit="1" customWidth="1"/>
    <col min="9" max="10" width="13.28515625" hidden="1" customWidth="1"/>
    <col min="11" max="14" width="11.28515625" hidden="1" customWidth="1"/>
    <col min="15" max="15" width="2.28515625" customWidth="1"/>
    <col min="17" max="17" width="14.5703125" customWidth="1"/>
    <col min="18" max="18" width="10.42578125" bestFit="1" customWidth="1"/>
    <col min="19" max="19" width="1.85546875" customWidth="1"/>
    <col min="20" max="21" width="8.85546875" bestFit="1" customWidth="1"/>
    <col min="22" max="24" width="7.85546875" bestFit="1" customWidth="1"/>
    <col min="25" max="25" width="0.7109375" customWidth="1"/>
    <col min="26" max="26" width="8.5703125" bestFit="1" customWidth="1"/>
    <col min="27" max="27" width="9.5703125" bestFit="1" customWidth="1"/>
    <col min="28" max="28" width="7.5703125" bestFit="1" customWidth="1"/>
    <col min="29" max="30" width="8.5703125" bestFit="1" customWidth="1"/>
  </cols>
  <sheetData>
    <row r="1" spans="1:30" x14ac:dyDescent="0.2">
      <c r="D1" s="10" t="s">
        <v>77</v>
      </c>
    </row>
    <row r="2" spans="1:30" x14ac:dyDescent="0.2">
      <c r="D2" s="10" t="s">
        <v>57</v>
      </c>
    </row>
    <row r="3" spans="1:30" x14ac:dyDescent="0.2">
      <c r="D3" s="10" t="str">
        <f>[2]Input!B2</f>
        <v>TWELVE MONTHS ENDED December 31, 2019</v>
      </c>
    </row>
    <row r="5" spans="1:30" ht="13.5" thickBot="1" x14ac:dyDescent="0.25">
      <c r="A5" s="135"/>
      <c r="B5" s="135"/>
      <c r="C5" s="135"/>
    </row>
    <row r="6" spans="1:30" ht="13.5" thickBot="1" x14ac:dyDescent="0.25">
      <c r="E6" s="150" t="s">
        <v>127</v>
      </c>
      <c r="F6" s="151"/>
      <c r="G6" s="151"/>
      <c r="H6" s="151"/>
      <c r="I6" s="151"/>
      <c r="J6" s="151"/>
      <c r="K6" s="151"/>
      <c r="L6" s="151"/>
      <c r="M6" s="151"/>
      <c r="N6" s="151"/>
      <c r="O6" s="136"/>
      <c r="Q6" s="150" t="s">
        <v>128</v>
      </c>
      <c r="R6" s="152"/>
      <c r="T6" s="150" t="s">
        <v>159</v>
      </c>
      <c r="U6" s="151"/>
      <c r="V6" s="151"/>
      <c r="W6" s="151"/>
      <c r="X6" s="152"/>
      <c r="Z6" s="150" t="s">
        <v>160</v>
      </c>
      <c r="AA6" s="151"/>
      <c r="AB6" s="151"/>
      <c r="AC6" s="151"/>
      <c r="AD6" s="152"/>
    </row>
    <row r="7" spans="1:30" ht="15.75" thickBot="1" x14ac:dyDescent="0.3">
      <c r="A7" s="135" t="s">
        <v>161</v>
      </c>
      <c r="B7" s="135" t="s">
        <v>162</v>
      </c>
      <c r="C7" s="135" t="s">
        <v>163</v>
      </c>
      <c r="E7" s="153" t="s">
        <v>129</v>
      </c>
      <c r="F7" s="154"/>
      <c r="G7" s="153" t="s">
        <v>130</v>
      </c>
      <c r="H7" s="154"/>
      <c r="I7" s="150" t="s">
        <v>131</v>
      </c>
      <c r="J7" s="152"/>
      <c r="K7" s="153" t="s">
        <v>132</v>
      </c>
      <c r="L7" s="155"/>
      <c r="M7" s="155"/>
      <c r="N7" s="154"/>
      <c r="Q7" s="150" t="s">
        <v>133</v>
      </c>
      <c r="R7" s="152"/>
      <c r="T7" s="137" t="s">
        <v>164</v>
      </c>
      <c r="U7" s="137" t="s">
        <v>165</v>
      </c>
      <c r="V7" s="137" t="s">
        <v>166</v>
      </c>
      <c r="W7" s="137" t="s">
        <v>167</v>
      </c>
      <c r="X7" s="137" t="s">
        <v>168</v>
      </c>
      <c r="Z7" s="137" t="s">
        <v>164</v>
      </c>
      <c r="AA7" s="137" t="s">
        <v>165</v>
      </c>
      <c r="AB7" s="137" t="s">
        <v>166</v>
      </c>
      <c r="AC7" s="137" t="s">
        <v>167</v>
      </c>
      <c r="AD7" s="137" t="s">
        <v>168</v>
      </c>
    </row>
    <row r="8" spans="1:30" x14ac:dyDescent="0.2">
      <c r="A8" s="135"/>
      <c r="B8" s="135"/>
      <c r="C8" s="135"/>
      <c r="E8" s="92">
        <v>144200</v>
      </c>
      <c r="F8" s="92">
        <v>144200</v>
      </c>
      <c r="G8" s="92">
        <v>144200</v>
      </c>
      <c r="H8" s="92">
        <v>144200</v>
      </c>
      <c r="I8" s="92">
        <v>144700</v>
      </c>
      <c r="J8" s="92">
        <v>144700</v>
      </c>
      <c r="K8" s="92">
        <v>144200</v>
      </c>
      <c r="L8" s="92">
        <v>144200</v>
      </c>
      <c r="M8" s="92">
        <v>144200</v>
      </c>
      <c r="N8" s="92">
        <v>144200</v>
      </c>
      <c r="Q8" s="92">
        <v>904000</v>
      </c>
      <c r="R8" s="92">
        <v>904000</v>
      </c>
    </row>
    <row r="9" spans="1:30" x14ac:dyDescent="0.2">
      <c r="A9" s="135">
        <v>38101549.789999999</v>
      </c>
      <c r="B9" s="135">
        <v>232525.64</v>
      </c>
      <c r="C9" s="135">
        <v>38334075.43</v>
      </c>
      <c r="E9" s="92" t="s">
        <v>169</v>
      </c>
      <c r="F9" s="92" t="s">
        <v>169</v>
      </c>
      <c r="G9" s="92" t="s">
        <v>169</v>
      </c>
      <c r="H9" s="92" t="s">
        <v>169</v>
      </c>
      <c r="I9" s="92" t="s">
        <v>134</v>
      </c>
      <c r="J9" s="92" t="s">
        <v>134</v>
      </c>
      <c r="K9" s="92" t="s">
        <v>95</v>
      </c>
      <c r="L9" s="92" t="s">
        <v>95</v>
      </c>
      <c r="M9" s="92" t="s">
        <v>96</v>
      </c>
      <c r="N9" s="92" t="s">
        <v>96</v>
      </c>
      <c r="Q9" s="92" t="s">
        <v>135</v>
      </c>
      <c r="R9" s="92" t="s">
        <v>136</v>
      </c>
    </row>
    <row r="10" spans="1:30" x14ac:dyDescent="0.2">
      <c r="A10" s="135">
        <v>38334075.43</v>
      </c>
      <c r="B10" s="135">
        <v>443557.72000000003</v>
      </c>
      <c r="C10" s="135">
        <v>38777633.149999999</v>
      </c>
      <c r="E10" s="92" t="s">
        <v>71</v>
      </c>
      <c r="F10" s="92" t="s">
        <v>72</v>
      </c>
      <c r="G10" s="92" t="s">
        <v>71</v>
      </c>
      <c r="H10" s="92" t="s">
        <v>72</v>
      </c>
      <c r="I10" s="92" t="s">
        <v>71</v>
      </c>
      <c r="J10" s="92" t="s">
        <v>72</v>
      </c>
      <c r="K10" s="92" t="s">
        <v>71</v>
      </c>
      <c r="L10" s="92" t="s">
        <v>72</v>
      </c>
      <c r="M10" s="92" t="s">
        <v>71</v>
      </c>
      <c r="N10" s="92" t="s">
        <v>72</v>
      </c>
      <c r="Q10" s="92" t="s">
        <v>137</v>
      </c>
      <c r="R10" s="92" t="s">
        <v>137</v>
      </c>
    </row>
    <row r="11" spans="1:30" x14ac:dyDescent="0.2">
      <c r="A11" s="135">
        <v>38777633.149999999</v>
      </c>
      <c r="B11" s="135">
        <v>480645.12</v>
      </c>
      <c r="C11" s="135">
        <v>39258278.270000003</v>
      </c>
      <c r="D11" s="138" t="str">
        <f>[2]Input!B4</f>
        <v>201901</v>
      </c>
      <c r="E11" s="93">
        <f>U11+X11</f>
        <v>232086.25000000009</v>
      </c>
      <c r="F11" s="93">
        <f>T11+V11</f>
        <v>72703.489999999991</v>
      </c>
      <c r="G11" s="93">
        <f>AA11+AD11</f>
        <v>-63282.139999999948</v>
      </c>
      <c r="H11" s="93">
        <f>Z11+AB11</f>
        <v>-15677.209999999992</v>
      </c>
      <c r="I11" s="93">
        <v>0</v>
      </c>
      <c r="J11" s="93">
        <v>0</v>
      </c>
      <c r="K11" s="93">
        <v>148423.84999999998</v>
      </c>
      <c r="L11" s="93">
        <v>43933.979999999996</v>
      </c>
      <c r="M11" s="103">
        <v>10316.61</v>
      </c>
      <c r="N11" s="103">
        <v>6363.97</v>
      </c>
      <c r="P11" s="138" t="str">
        <f>[2]Input!B4</f>
        <v>201901</v>
      </c>
      <c r="Q11" s="103">
        <v>203058.7690909091</v>
      </c>
      <c r="R11" s="103">
        <v>241087.28533073899</v>
      </c>
      <c r="T11" s="93">
        <v>61755.56</v>
      </c>
      <c r="U11" s="93">
        <v>209098.33000000007</v>
      </c>
      <c r="V11" s="93">
        <v>10947.929999999997</v>
      </c>
      <c r="W11" s="93">
        <v>15615.130000000003</v>
      </c>
      <c r="X11" s="93">
        <v>22987.920000000013</v>
      </c>
      <c r="Y11" s="93"/>
      <c r="Z11" s="93">
        <v>-13176.799999999992</v>
      </c>
      <c r="AA11" s="93">
        <v>-52288.599999999955</v>
      </c>
      <c r="AB11" s="93">
        <v>-2500.4099999999994</v>
      </c>
      <c r="AC11" s="93">
        <v>-7007.9199999999983</v>
      </c>
      <c r="AD11" s="93">
        <v>-10993.539999999994</v>
      </c>
    </row>
    <row r="12" spans="1:30" x14ac:dyDescent="0.2">
      <c r="A12" s="135">
        <v>39258278.270000003</v>
      </c>
      <c r="B12" s="135">
        <v>418404.86</v>
      </c>
      <c r="C12" s="135">
        <v>39676683.130000003</v>
      </c>
      <c r="D12">
        <f>D11+1</f>
        <v>201902</v>
      </c>
      <c r="E12" s="93">
        <f t="shared" ref="E12:E22" si="0">U12+X12</f>
        <v>174939.85999999993</v>
      </c>
      <c r="F12" s="93">
        <f t="shared" ref="F12:F22" si="1">T12+V12</f>
        <v>34794.639999999963</v>
      </c>
      <c r="G12" s="93">
        <f t="shared" ref="G12:G22" si="2">AA12+AD12</f>
        <v>-118861.40000000001</v>
      </c>
      <c r="H12" s="93">
        <f t="shared" ref="H12:H22" si="3">Z12+AB12</f>
        <v>-30090.940000000013</v>
      </c>
      <c r="I12" s="93">
        <v>0</v>
      </c>
      <c r="J12" s="93">
        <v>0</v>
      </c>
      <c r="K12" s="93">
        <v>47706.71</v>
      </c>
      <c r="L12" s="93">
        <v>-9746.2599999999984</v>
      </c>
      <c r="M12" s="103">
        <v>629.41000000000031</v>
      </c>
      <c r="N12" s="103">
        <v>-1890.6400000000006</v>
      </c>
      <c r="P12">
        <f>P11+1</f>
        <v>201902</v>
      </c>
      <c r="Q12" s="103">
        <v>174006.49</v>
      </c>
      <c r="R12" s="103">
        <v>113066.55</v>
      </c>
      <c r="T12" s="93">
        <v>30528.319999999963</v>
      </c>
      <c r="U12" s="93">
        <v>151735.22999999992</v>
      </c>
      <c r="V12" s="93">
        <v>4266.3200000000015</v>
      </c>
      <c r="W12" s="93">
        <v>15076.819999999998</v>
      </c>
      <c r="X12" s="93">
        <v>23204.63</v>
      </c>
      <c r="Y12" s="93"/>
      <c r="Z12" s="93">
        <v>-25783.630000000012</v>
      </c>
      <c r="AA12" s="93">
        <v>-97550.48000000001</v>
      </c>
      <c r="AB12" s="93">
        <v>-4307.3100000000004</v>
      </c>
      <c r="AC12" s="93">
        <v>-8606.5800000000017</v>
      </c>
      <c r="AD12" s="93">
        <v>-21310.92</v>
      </c>
    </row>
    <row r="13" spans="1:30" x14ac:dyDescent="0.2">
      <c r="A13" s="135">
        <v>39676683.130000003</v>
      </c>
      <c r="B13" s="135">
        <v>597753.96</v>
      </c>
      <c r="C13" s="135">
        <v>40274437.090000004</v>
      </c>
      <c r="D13">
        <f t="shared" ref="D13:D22" si="4">D12+1</f>
        <v>201903</v>
      </c>
      <c r="E13" s="93">
        <f t="shared" si="0"/>
        <v>231609.71000000008</v>
      </c>
      <c r="F13" s="93">
        <f t="shared" si="1"/>
        <v>74851.160000000018</v>
      </c>
      <c r="G13" s="93">
        <f t="shared" si="2"/>
        <v>-121313.96000000005</v>
      </c>
      <c r="H13" s="93">
        <f t="shared" si="3"/>
        <v>-31612.609999999993</v>
      </c>
      <c r="I13" s="93">
        <v>0</v>
      </c>
      <c r="J13" s="93">
        <v>0</v>
      </c>
      <c r="K13" s="93">
        <v>83929.460000000021</v>
      </c>
      <c r="L13" s="93">
        <v>12110.080000000002</v>
      </c>
      <c r="M13" s="103">
        <v>8406.2500000000036</v>
      </c>
      <c r="N13" s="103">
        <v>374.25999999999931</v>
      </c>
      <c r="P13">
        <f t="shared" ref="P13:P21" si="5">P12+1</f>
        <v>201903</v>
      </c>
      <c r="Q13" s="103">
        <v>751242.83</v>
      </c>
      <c r="R13" s="103">
        <v>113066.89</v>
      </c>
      <c r="T13" s="93">
        <v>63003.87000000001</v>
      </c>
      <c r="U13" s="93">
        <v>199354.78000000009</v>
      </c>
      <c r="V13" s="93">
        <v>11847.290000000006</v>
      </c>
      <c r="W13" s="93">
        <v>25141.689999999981</v>
      </c>
      <c r="X13" s="93">
        <v>32254.929999999986</v>
      </c>
      <c r="Y13" s="93"/>
      <c r="Z13" s="93">
        <v>-25807.429999999993</v>
      </c>
      <c r="AA13" s="93">
        <v>-103008.37000000004</v>
      </c>
      <c r="AB13" s="93">
        <v>-5805.1799999999994</v>
      </c>
      <c r="AC13" s="93">
        <v>-15522.640000000003</v>
      </c>
      <c r="AD13" s="93">
        <v>-18305.590000000004</v>
      </c>
    </row>
    <row r="14" spans="1:30" x14ac:dyDescent="0.2">
      <c r="A14" s="135">
        <v>40274437.090000004</v>
      </c>
      <c r="B14" s="135">
        <v>491119.34</v>
      </c>
      <c r="C14" s="135">
        <v>40765556.43</v>
      </c>
      <c r="D14">
        <f t="shared" si="4"/>
        <v>201904</v>
      </c>
      <c r="E14" s="93">
        <f t="shared" si="0"/>
        <v>346509.48000000033</v>
      </c>
      <c r="F14" s="93">
        <f t="shared" si="1"/>
        <v>80923.379999999976</v>
      </c>
      <c r="G14" s="93">
        <f t="shared" si="2"/>
        <v>-95554.58000000006</v>
      </c>
      <c r="H14" s="93">
        <f t="shared" si="3"/>
        <v>-27108.989999999998</v>
      </c>
      <c r="I14" s="93">
        <v>0</v>
      </c>
      <c r="J14" s="93">
        <v>0</v>
      </c>
      <c r="K14" s="93">
        <v>214660.89999999997</v>
      </c>
      <c r="L14" s="93">
        <v>35228.339999999997</v>
      </c>
      <c r="M14" s="103">
        <v>19956.060000000001</v>
      </c>
      <c r="N14" s="103">
        <v>7850.25</v>
      </c>
      <c r="P14">
        <f>D14</f>
        <v>201904</v>
      </c>
      <c r="Q14" s="103">
        <v>-53343.609999999986</v>
      </c>
      <c r="R14" s="103">
        <v>340416.65</v>
      </c>
      <c r="T14" s="93">
        <v>67389.399999999965</v>
      </c>
      <c r="U14" s="93">
        <v>307649.15000000037</v>
      </c>
      <c r="V14" s="93">
        <v>13533.980000000009</v>
      </c>
      <c r="W14" s="93">
        <v>44752.17</v>
      </c>
      <c r="X14" s="93">
        <v>38860.329999999987</v>
      </c>
      <c r="Y14" s="93"/>
      <c r="Z14" s="93">
        <v>-22547.3</v>
      </c>
      <c r="AA14" s="93">
        <v>-79570.550000000061</v>
      </c>
      <c r="AB14" s="93">
        <v>-4561.6899999999996</v>
      </c>
      <c r="AC14" s="93">
        <v>-10782.750000000005</v>
      </c>
      <c r="AD14" s="93">
        <v>-15984.029999999997</v>
      </c>
    </row>
    <row r="15" spans="1:30" x14ac:dyDescent="0.2">
      <c r="A15" s="135">
        <v>40765556.43</v>
      </c>
      <c r="B15" s="135">
        <v>685210.31</v>
      </c>
      <c r="C15" s="135">
        <v>41450766.740000002</v>
      </c>
      <c r="D15">
        <f t="shared" si="4"/>
        <v>201905</v>
      </c>
      <c r="E15" s="93">
        <f t="shared" si="0"/>
        <v>234724.2999999999</v>
      </c>
      <c r="F15" s="93">
        <f t="shared" si="1"/>
        <v>86000.140000000058</v>
      </c>
      <c r="G15" s="93">
        <f t="shared" si="2"/>
        <v>-122022.31999999996</v>
      </c>
      <c r="H15" s="93">
        <f t="shared" si="3"/>
        <v>-10705.129999999997</v>
      </c>
      <c r="I15" s="93">
        <v>0</v>
      </c>
      <c r="J15" s="93">
        <v>0</v>
      </c>
      <c r="K15" s="93">
        <v>76988.400000000009</v>
      </c>
      <c r="L15" s="93">
        <v>57397.44999999999</v>
      </c>
      <c r="M15" s="103">
        <v>24248.01</v>
      </c>
      <c r="N15" s="103">
        <v>12668.759999999998</v>
      </c>
      <c r="P15">
        <f t="shared" si="5"/>
        <v>201905</v>
      </c>
      <c r="Q15" s="103">
        <v>189245.96</v>
      </c>
      <c r="R15" s="103">
        <v>122968.91</v>
      </c>
      <c r="T15" s="93">
        <v>70605.700000000055</v>
      </c>
      <c r="U15" s="93">
        <v>197425.71999999991</v>
      </c>
      <c r="V15" s="93">
        <v>15394.440000000002</v>
      </c>
      <c r="W15" s="93">
        <v>48717.820000000022</v>
      </c>
      <c r="X15" s="93">
        <v>37298.579999999994</v>
      </c>
      <c r="Y15" s="93"/>
      <c r="Z15" s="93">
        <v>-8415.6299999999992</v>
      </c>
      <c r="AA15" s="93">
        <v>-110583.66999999997</v>
      </c>
      <c r="AB15" s="93">
        <v>-2289.4999999999986</v>
      </c>
      <c r="AC15" s="93">
        <v>-5250.7799999999988</v>
      </c>
      <c r="AD15" s="93">
        <v>-11438.65</v>
      </c>
    </row>
    <row r="16" spans="1:30" x14ac:dyDescent="0.2">
      <c r="A16" s="135">
        <v>41450766.740000002</v>
      </c>
      <c r="B16" s="135">
        <v>375309.96</v>
      </c>
      <c r="C16" s="135">
        <v>41826076.700000003</v>
      </c>
      <c r="D16">
        <f t="shared" si="4"/>
        <v>201906</v>
      </c>
      <c r="E16" s="93">
        <f t="shared" si="0"/>
        <v>386620.23000000062</v>
      </c>
      <c r="F16" s="93">
        <f t="shared" si="1"/>
        <v>127787.65000000005</v>
      </c>
      <c r="G16" s="93">
        <f t="shared" si="2"/>
        <v>-109943.48999999998</v>
      </c>
      <c r="H16" s="93">
        <f t="shared" si="3"/>
        <v>-30519.009999999995</v>
      </c>
      <c r="I16" s="93">
        <v>0</v>
      </c>
      <c r="J16" s="93">
        <v>0</v>
      </c>
      <c r="K16" s="93">
        <v>214033.09999999998</v>
      </c>
      <c r="L16" s="103">
        <v>76989.710000000006</v>
      </c>
      <c r="M16" s="103">
        <v>34441.81</v>
      </c>
      <c r="N16" s="103">
        <v>14243.2</v>
      </c>
      <c r="O16" s="139"/>
      <c r="P16" s="139">
        <f t="shared" si="5"/>
        <v>201906</v>
      </c>
      <c r="Q16" s="103">
        <v>-1723518.27</v>
      </c>
      <c r="R16" s="103">
        <v>-744835.46</v>
      </c>
      <c r="S16" s="139"/>
      <c r="T16" s="93">
        <v>106521.46000000004</v>
      </c>
      <c r="U16" s="93">
        <v>325173.01000000059</v>
      </c>
      <c r="V16" s="93">
        <v>21266.19000000001</v>
      </c>
      <c r="W16" s="93">
        <v>60570.690000000017</v>
      </c>
      <c r="X16" s="93">
        <v>61447.220000000016</v>
      </c>
      <c r="Y16" s="93"/>
      <c r="Z16" s="93">
        <v>-25315.029999999995</v>
      </c>
      <c r="AA16" s="93">
        <v>-89262.379999999976</v>
      </c>
      <c r="AB16" s="93">
        <v>-5203.9799999999987</v>
      </c>
      <c r="AC16" s="93">
        <v>-12930.980000000001</v>
      </c>
      <c r="AD16" s="93">
        <v>-20681.109999999997</v>
      </c>
    </row>
    <row r="17" spans="1:30" x14ac:dyDescent="0.2">
      <c r="A17" s="135">
        <v>41826076.700000003</v>
      </c>
      <c r="B17" s="135">
        <v>492319.79000000004</v>
      </c>
      <c r="C17" s="135">
        <v>42318396.490000002</v>
      </c>
      <c r="D17">
        <f t="shared" si="4"/>
        <v>201907</v>
      </c>
      <c r="E17" s="93">
        <f t="shared" si="0"/>
        <v>437431.55000000051</v>
      </c>
      <c r="F17" s="93">
        <f t="shared" si="1"/>
        <v>151621.64999999991</v>
      </c>
      <c r="G17" s="93">
        <f t="shared" si="2"/>
        <v>-78598.850000000006</v>
      </c>
      <c r="H17" s="93">
        <f t="shared" si="3"/>
        <v>-19443.179999999997</v>
      </c>
      <c r="I17" s="93">
        <v>0</v>
      </c>
      <c r="J17" s="93">
        <v>0</v>
      </c>
      <c r="K17" s="93">
        <v>284311.48000000004</v>
      </c>
      <c r="L17" s="103">
        <v>-248685.53000000003</v>
      </c>
      <c r="M17" s="103">
        <v>59787.010000000009</v>
      </c>
      <c r="N17" s="103">
        <v>-62486.269999999982</v>
      </c>
      <c r="O17" s="139"/>
      <c r="P17" s="139">
        <f t="shared" si="5"/>
        <v>201907</v>
      </c>
      <c r="Q17" s="103">
        <v>104404</v>
      </c>
      <c r="R17" s="103">
        <v>67840</v>
      </c>
      <c r="S17" s="139"/>
      <c r="T17" s="93">
        <v>126130.18999999989</v>
      </c>
      <c r="U17" s="93">
        <v>361500.78000000055</v>
      </c>
      <c r="V17" s="93">
        <v>25491.460000000006</v>
      </c>
      <c r="W17" s="93">
        <v>64370.399999999994</v>
      </c>
      <c r="X17" s="93">
        <v>75930.76999999999</v>
      </c>
      <c r="Y17" s="93"/>
      <c r="Z17" s="93">
        <v>-15827.619999999997</v>
      </c>
      <c r="AA17" s="93">
        <v>-64929.590000000018</v>
      </c>
      <c r="AB17" s="93">
        <v>-3615.56</v>
      </c>
      <c r="AC17" s="93">
        <v>-5959.24</v>
      </c>
      <c r="AD17" s="93">
        <v>-13669.259999999989</v>
      </c>
    </row>
    <row r="18" spans="1:30" x14ac:dyDescent="0.2">
      <c r="A18" s="135">
        <v>42318396.490000002</v>
      </c>
      <c r="B18" s="135">
        <v>468024.26</v>
      </c>
      <c r="C18" s="135">
        <v>42786420.75</v>
      </c>
      <c r="D18">
        <f t="shared" si="4"/>
        <v>201908</v>
      </c>
      <c r="E18" s="93">
        <f t="shared" si="0"/>
        <v>324456.24999999959</v>
      </c>
      <c r="F18" s="93">
        <f t="shared" si="1"/>
        <v>125034.1500000001</v>
      </c>
      <c r="G18" s="93">
        <f t="shared" si="2"/>
        <v>-97033.250000000058</v>
      </c>
      <c r="H18" s="93">
        <f t="shared" si="3"/>
        <v>-19572.68</v>
      </c>
      <c r="I18" s="93">
        <v>0</v>
      </c>
      <c r="J18" s="93">
        <v>0</v>
      </c>
      <c r="K18" s="93">
        <v>182356.71000000002</v>
      </c>
      <c r="L18" s="103">
        <v>-5248.6999999999989</v>
      </c>
      <c r="M18" s="103">
        <v>33613.19</v>
      </c>
      <c r="N18" s="103">
        <v>2027.4199999999994</v>
      </c>
      <c r="O18" s="139"/>
      <c r="P18" s="139">
        <f t="shared" si="5"/>
        <v>201908</v>
      </c>
      <c r="Q18" s="103">
        <v>681639.82</v>
      </c>
      <c r="R18" s="103">
        <v>67840</v>
      </c>
      <c r="S18" s="139"/>
      <c r="T18" s="93">
        <v>103638.21000000008</v>
      </c>
      <c r="U18" s="93">
        <v>272870.52999999956</v>
      </c>
      <c r="V18" s="93">
        <v>21395.940000000013</v>
      </c>
      <c r="W18" s="93">
        <v>80776.130000000048</v>
      </c>
      <c r="X18" s="93">
        <v>51585.720000000023</v>
      </c>
      <c r="Y18" s="93"/>
      <c r="Z18" s="93">
        <v>-16391.13</v>
      </c>
      <c r="AA18" s="93">
        <v>-81243.340000000055</v>
      </c>
      <c r="AB18" s="93">
        <v>-3181.5499999999997</v>
      </c>
      <c r="AC18" s="93">
        <v>-9115.52</v>
      </c>
      <c r="AD18" s="93">
        <v>-15789.909999999996</v>
      </c>
    </row>
    <row r="19" spans="1:30" x14ac:dyDescent="0.2">
      <c r="A19" s="135">
        <v>42786420.75</v>
      </c>
      <c r="B19" s="135">
        <v>309186.27</v>
      </c>
      <c r="C19" s="135">
        <v>43095607.020000003</v>
      </c>
      <c r="D19">
        <f t="shared" si="4"/>
        <v>201909</v>
      </c>
      <c r="E19" s="93">
        <f t="shared" si="0"/>
        <v>251747.95999999993</v>
      </c>
      <c r="F19" s="93">
        <f t="shared" si="1"/>
        <v>117296.29000000004</v>
      </c>
      <c r="G19" s="93">
        <f t="shared" si="2"/>
        <v>-35674.730000000018</v>
      </c>
      <c r="H19" s="93">
        <f t="shared" si="3"/>
        <v>-11320.47</v>
      </c>
      <c r="I19" s="93">
        <v>0</v>
      </c>
      <c r="J19" s="93">
        <v>0</v>
      </c>
      <c r="K19" s="93">
        <v>175542.63</v>
      </c>
      <c r="L19" s="103">
        <v>-62193.209999999992</v>
      </c>
      <c r="M19" s="103">
        <v>25249.95</v>
      </c>
      <c r="N19" s="103">
        <v>-15294.989999999994</v>
      </c>
      <c r="O19" s="139"/>
      <c r="P19" s="139">
        <f t="shared" si="5"/>
        <v>201909</v>
      </c>
      <c r="Q19" s="103">
        <v>0</v>
      </c>
      <c r="R19" s="103">
        <v>0</v>
      </c>
      <c r="S19" s="139"/>
      <c r="T19" s="93">
        <v>101888.22000000004</v>
      </c>
      <c r="U19" s="93">
        <v>214481.42999999993</v>
      </c>
      <c r="V19" s="93">
        <v>15408.069999999992</v>
      </c>
      <c r="W19" s="93">
        <v>41784.300000000003</v>
      </c>
      <c r="X19" s="93">
        <v>37266.53</v>
      </c>
      <c r="Y19" s="93"/>
      <c r="Z19" s="93">
        <v>-10337.269999999999</v>
      </c>
      <c r="AA19" s="93">
        <v>-28247.840000000018</v>
      </c>
      <c r="AB19" s="93">
        <v>-983.20000000000027</v>
      </c>
      <c r="AC19" s="93">
        <v>-8828.92</v>
      </c>
      <c r="AD19" s="93">
        <v>-7426.8899999999994</v>
      </c>
    </row>
    <row r="20" spans="1:30" x14ac:dyDescent="0.2">
      <c r="A20" s="135">
        <v>42786420.75</v>
      </c>
      <c r="B20" s="135">
        <v>309186.27</v>
      </c>
      <c r="C20" s="135">
        <v>43095607.020000003</v>
      </c>
      <c r="D20">
        <f t="shared" si="4"/>
        <v>201910</v>
      </c>
      <c r="E20" s="93">
        <f t="shared" si="0"/>
        <v>325932.44000000012</v>
      </c>
      <c r="F20" s="93">
        <f t="shared" si="1"/>
        <v>75185.909999999974</v>
      </c>
      <c r="G20" s="93">
        <f t="shared" si="2"/>
        <v>-132999.05000000005</v>
      </c>
      <c r="H20" s="93">
        <f t="shared" si="3"/>
        <v>-29540.330000000009</v>
      </c>
      <c r="I20" s="93">
        <v>0</v>
      </c>
      <c r="J20" s="93">
        <v>0</v>
      </c>
      <c r="K20" s="93">
        <v>124404.33000000002</v>
      </c>
      <c r="L20" s="103">
        <v>-47514.33</v>
      </c>
      <c r="M20" s="103">
        <v>11187.64</v>
      </c>
      <c r="N20" s="103">
        <v>-7910.1900000000005</v>
      </c>
      <c r="O20" s="139"/>
      <c r="P20" s="139">
        <f t="shared" si="5"/>
        <v>201910</v>
      </c>
      <c r="Q20" s="103">
        <v>104404</v>
      </c>
      <c r="R20" s="103">
        <v>67840</v>
      </c>
      <c r="S20" s="139"/>
      <c r="T20" s="93">
        <v>64675.419999999976</v>
      </c>
      <c r="U20" s="93">
        <v>279592.89000000007</v>
      </c>
      <c r="V20" s="93">
        <v>10510.490000000002</v>
      </c>
      <c r="W20" s="93">
        <v>1128.4400000000044</v>
      </c>
      <c r="X20" s="93">
        <v>46339.550000000039</v>
      </c>
      <c r="Y20" s="93"/>
      <c r="Z20" s="93">
        <v>-24707.770000000008</v>
      </c>
      <c r="AA20" s="93">
        <v>-106304.46000000006</v>
      </c>
      <c r="AB20" s="93">
        <v>-4832.5599999999995</v>
      </c>
      <c r="AC20" s="93">
        <v>-13780.050000000001</v>
      </c>
      <c r="AD20" s="93">
        <v>-26694.589999999989</v>
      </c>
    </row>
    <row r="21" spans="1:30" x14ac:dyDescent="0.2">
      <c r="A21" s="135">
        <v>43095607.020000003</v>
      </c>
      <c r="B21" s="135">
        <v>391058.08</v>
      </c>
      <c r="C21" s="135">
        <v>43486665.100000001</v>
      </c>
      <c r="D21">
        <f t="shared" si="4"/>
        <v>201911</v>
      </c>
      <c r="E21" s="93">
        <f t="shared" si="0"/>
        <v>194235.74000000037</v>
      </c>
      <c r="F21" s="93">
        <f t="shared" si="1"/>
        <v>51817.029999999984</v>
      </c>
      <c r="G21" s="93">
        <f t="shared" si="2"/>
        <v>-74045.369999999981</v>
      </c>
      <c r="H21" s="93">
        <f t="shared" si="3"/>
        <v>-15447.800000000007</v>
      </c>
      <c r="I21" s="93">
        <v>0</v>
      </c>
      <c r="J21" s="93">
        <v>0</v>
      </c>
      <c r="K21" s="93">
        <v>93451.409999999989</v>
      </c>
      <c r="L21" s="103">
        <v>-55484.68</v>
      </c>
      <c r="M21" s="103">
        <v>2200.84</v>
      </c>
      <c r="N21" s="103">
        <v>-11547.379999999997</v>
      </c>
      <c r="O21" s="139"/>
      <c r="P21" s="139">
        <f t="shared" si="5"/>
        <v>201911</v>
      </c>
      <c r="Q21" s="103">
        <v>104404</v>
      </c>
      <c r="R21" s="103">
        <v>67840</v>
      </c>
      <c r="S21" s="139"/>
      <c r="T21" s="93">
        <v>48068.139999999985</v>
      </c>
      <c r="U21" s="93">
        <v>174560.48000000036</v>
      </c>
      <c r="V21" s="93">
        <v>3748.8900000000008</v>
      </c>
      <c r="W21" s="93">
        <v>6325.2099999999955</v>
      </c>
      <c r="X21" s="93">
        <v>19675.260000000017</v>
      </c>
      <c r="Y21" s="93"/>
      <c r="Z21" s="93">
        <v>-12590.500000000005</v>
      </c>
      <c r="AA21" s="93">
        <v>-61640.389999999985</v>
      </c>
      <c r="AB21" s="93">
        <v>-2857.3000000000015</v>
      </c>
      <c r="AC21" s="93">
        <v>-3513.25</v>
      </c>
      <c r="AD21" s="93">
        <v>-12404.979999999994</v>
      </c>
    </row>
    <row r="22" spans="1:30" x14ac:dyDescent="0.2">
      <c r="A22" s="135"/>
      <c r="B22" s="135"/>
      <c r="C22" s="135"/>
      <c r="D22">
        <f t="shared" si="4"/>
        <v>201912</v>
      </c>
      <c r="E22" s="93">
        <f t="shared" si="0"/>
        <v>288449.75000000035</v>
      </c>
      <c r="F22" s="93">
        <f t="shared" si="1"/>
        <v>42448.270000000004</v>
      </c>
      <c r="G22" s="93">
        <f t="shared" si="2"/>
        <v>-65976.419999999955</v>
      </c>
      <c r="H22" s="93">
        <f t="shared" si="3"/>
        <v>-17981.670000000002</v>
      </c>
      <c r="I22" s="93">
        <v>0</v>
      </c>
      <c r="J22" s="93">
        <v>0</v>
      </c>
      <c r="K22" s="93">
        <v>189998.52999999997</v>
      </c>
      <c r="L22" s="103">
        <v>-53453.53</v>
      </c>
      <c r="M22" s="103">
        <v>17921.5</v>
      </c>
      <c r="N22" s="103">
        <v>-12975.359999999999</v>
      </c>
      <c r="O22" s="139"/>
      <c r="P22" s="139">
        <f>P21+1</f>
        <v>201912</v>
      </c>
      <c r="Q22" s="103">
        <v>52202</v>
      </c>
      <c r="R22" s="103">
        <v>33920</v>
      </c>
      <c r="S22" s="139"/>
      <c r="T22" s="93">
        <v>37305.440000000002</v>
      </c>
      <c r="U22" s="93">
        <v>255803.84000000035</v>
      </c>
      <c r="V22" s="93">
        <v>5142.829999999999</v>
      </c>
      <c r="W22" s="93">
        <v>22695.260000000009</v>
      </c>
      <c r="X22" s="93">
        <v>32645.910000000018</v>
      </c>
      <c r="Y22" s="93"/>
      <c r="Z22" s="93">
        <v>-14311.800000000003</v>
      </c>
      <c r="AA22" s="93">
        <v>-53599.889999999963</v>
      </c>
      <c r="AB22" s="93">
        <v>-3669.8700000000003</v>
      </c>
      <c r="AC22" s="93">
        <v>-5843.630000000001</v>
      </c>
      <c r="AD22" s="93">
        <v>-12376.529999999988</v>
      </c>
    </row>
    <row r="23" spans="1:30" ht="13.5" thickBot="1" x14ac:dyDescent="0.25">
      <c r="A23" s="140">
        <f>SUM(A9:A21)</f>
        <v>529451901.74000001</v>
      </c>
      <c r="B23" s="140">
        <f>SUM(B9:B21)</f>
        <v>5694301.5799999982</v>
      </c>
      <c r="C23" s="140">
        <f>SUM(C9:C21)</f>
        <v>535146203.31999999</v>
      </c>
      <c r="E23" s="94">
        <f t="shared" ref="E23:N23" si="6">SUM(E11:E22)</f>
        <v>3428743.5200000019</v>
      </c>
      <c r="F23" s="94">
        <f t="shared" si="6"/>
        <v>1040463.7600000002</v>
      </c>
      <c r="G23" s="94">
        <f t="shared" si="6"/>
        <v>-1115305.5599999998</v>
      </c>
      <c r="H23" s="94">
        <f t="shared" si="6"/>
        <v>-259020.02000000005</v>
      </c>
      <c r="I23" s="94">
        <f t="shared" si="6"/>
        <v>0</v>
      </c>
      <c r="J23" s="94">
        <f t="shared" si="6"/>
        <v>0</v>
      </c>
      <c r="K23" s="94">
        <f t="shared" si="6"/>
        <v>1835807.5099999998</v>
      </c>
      <c r="L23" s="141">
        <f t="shared" si="6"/>
        <v>-256666.68000000002</v>
      </c>
      <c r="M23" s="141">
        <f t="shared" si="6"/>
        <v>247958.28</v>
      </c>
      <c r="N23" s="141">
        <f t="shared" si="6"/>
        <v>-68576.969999999972</v>
      </c>
      <c r="O23" s="139"/>
      <c r="P23" s="139"/>
      <c r="Q23" s="141">
        <f>SUM(Q11:Q22)</f>
        <v>587745.9890909089</v>
      </c>
      <c r="R23" s="141">
        <f>SUM(R11:R22)</f>
        <v>491050.82533073903</v>
      </c>
      <c r="S23" s="139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</row>
    <row r="24" spans="1:30" x14ac:dyDescent="0.2">
      <c r="A24" s="135"/>
      <c r="B24" s="135"/>
      <c r="C24" s="135"/>
      <c r="E24" s="95" t="s">
        <v>94</v>
      </c>
      <c r="F24" s="95" t="s">
        <v>94</v>
      </c>
      <c r="G24" s="95" t="s">
        <v>94</v>
      </c>
      <c r="H24" s="95" t="s">
        <v>94</v>
      </c>
      <c r="I24" s="95" t="s">
        <v>94</v>
      </c>
      <c r="J24" s="95" t="s">
        <v>94</v>
      </c>
      <c r="K24" s="95"/>
      <c r="L24" s="95"/>
      <c r="M24" s="95"/>
      <c r="N24" s="95"/>
      <c r="Q24" s="95" t="s">
        <v>94</v>
      </c>
      <c r="R24" s="95" t="s">
        <v>94</v>
      </c>
    </row>
    <row r="25" spans="1:30" x14ac:dyDescent="0.2">
      <c r="A25" s="135">
        <v>40765556.43</v>
      </c>
      <c r="B25" s="135">
        <v>685210.31</v>
      </c>
      <c r="C25" s="135">
        <v>41450766.740000002</v>
      </c>
    </row>
    <row r="26" spans="1:30" x14ac:dyDescent="0.2">
      <c r="A26" s="135"/>
      <c r="B26" s="135"/>
      <c r="C26" s="135"/>
      <c r="E26" s="93"/>
      <c r="F26" s="93"/>
      <c r="G26" s="93"/>
      <c r="H26" s="93"/>
      <c r="I26" s="93"/>
      <c r="J26" s="93"/>
      <c r="K26" s="96">
        <f>SUM(K23,M23)</f>
        <v>2083765.7899999998</v>
      </c>
      <c r="L26" t="s">
        <v>138</v>
      </c>
    </row>
    <row r="27" spans="1:30" x14ac:dyDescent="0.2">
      <c r="A27" s="135"/>
      <c r="B27" s="135"/>
      <c r="C27" s="135"/>
      <c r="K27" s="96">
        <f>SUM(L23,N23)</f>
        <v>-325243.65000000002</v>
      </c>
      <c r="L27" t="s">
        <v>139</v>
      </c>
    </row>
    <row r="28" spans="1:30" x14ac:dyDescent="0.2">
      <c r="A28" s="135"/>
      <c r="B28" s="135"/>
      <c r="C28" s="135"/>
      <c r="E28" s="96"/>
      <c r="F28" s="96"/>
      <c r="G28" s="96"/>
      <c r="H28" s="96"/>
      <c r="I28" s="96"/>
      <c r="J28" s="96"/>
    </row>
    <row r="29" spans="1:30" x14ac:dyDescent="0.2">
      <c r="A29" s="135">
        <v>43095607.020000003</v>
      </c>
      <c r="B29" s="135">
        <v>391058.08</v>
      </c>
      <c r="C29" s="135">
        <v>43486665.100000001</v>
      </c>
    </row>
    <row r="30" spans="1:30" x14ac:dyDescent="0.2">
      <c r="A30" s="135"/>
      <c r="B30" s="135"/>
      <c r="C30" s="135"/>
      <c r="F30" s="98"/>
      <c r="G30" s="97"/>
      <c r="H30" s="98"/>
      <c r="K30" s="142">
        <f>SUM(K11)</f>
        <v>148423.84999999998</v>
      </c>
      <c r="L30" s="142"/>
      <c r="M30" s="142">
        <f>SUM(M11)</f>
        <v>10316.61</v>
      </c>
      <c r="N30" s="96">
        <f>SUM(K30:M30)</f>
        <v>158740.45999999996</v>
      </c>
    </row>
    <row r="31" spans="1:30" ht="13.5" thickBot="1" x14ac:dyDescent="0.25">
      <c r="A31" s="140">
        <f>SUM(A25:A29)</f>
        <v>83861163.450000003</v>
      </c>
      <c r="B31" s="140">
        <f>SUM(B25:B29)</f>
        <v>1076268.3900000001</v>
      </c>
      <c r="C31" s="140">
        <f>SUM(C25:C29)</f>
        <v>84937431.840000004</v>
      </c>
      <c r="F31" s="96"/>
      <c r="H31" s="96"/>
      <c r="K31" s="142">
        <f>SUM(K11:K12)</f>
        <v>196130.55999999997</v>
      </c>
      <c r="L31" s="142"/>
      <c r="M31" s="142">
        <f>SUM(M11:M12)</f>
        <v>10946.02</v>
      </c>
      <c r="N31" s="96">
        <f t="shared" ref="N31:N41" si="7">SUM(K31:M31)</f>
        <v>207076.57999999996</v>
      </c>
    </row>
    <row r="32" spans="1:30" x14ac:dyDescent="0.2">
      <c r="A32" s="135"/>
      <c r="B32" s="135"/>
      <c r="C32" s="135"/>
      <c r="K32" s="142">
        <f>SUM(K11:K13)</f>
        <v>280060.02</v>
      </c>
      <c r="L32" s="142"/>
      <c r="M32" s="142">
        <f>SUM(M11:M13)</f>
        <v>19352.270000000004</v>
      </c>
      <c r="N32" s="96">
        <f t="shared" si="7"/>
        <v>299412.29000000004</v>
      </c>
    </row>
    <row r="33" spans="1:14" s="99" customFormat="1" ht="13.5" thickBot="1" x14ac:dyDescent="0.25">
      <c r="A33" s="143">
        <f>SUM(A31,A23)</f>
        <v>613313065.19000006</v>
      </c>
      <c r="B33" s="143">
        <f>SUM(B31,B23)</f>
        <v>6770569.9699999988</v>
      </c>
      <c r="C33" s="143">
        <f>SUM(C31,C23)</f>
        <v>620083635.15999997</v>
      </c>
      <c r="K33" s="142">
        <f>SUM(K11:K14)</f>
        <v>494720.92</v>
      </c>
      <c r="L33" s="142"/>
      <c r="M33" s="142">
        <f>SUM(M11:M14)</f>
        <v>39308.33</v>
      </c>
      <c r="N33" s="96">
        <f t="shared" si="7"/>
        <v>534029.25</v>
      </c>
    </row>
    <row r="34" spans="1:14" s="99" customFormat="1" ht="13.5" thickTop="1" x14ac:dyDescent="0.2">
      <c r="A34" s="144"/>
      <c r="B34" s="144"/>
      <c r="C34" s="144"/>
      <c r="K34" s="142">
        <f>SUM(K11:K15)</f>
        <v>571709.31999999995</v>
      </c>
      <c r="L34" s="142"/>
      <c r="M34" s="142">
        <f>SUM(M11:M15)</f>
        <v>63556.34</v>
      </c>
      <c r="N34" s="96">
        <f t="shared" si="7"/>
        <v>635265.65999999992</v>
      </c>
    </row>
    <row r="35" spans="1:14" x14ac:dyDescent="0.2">
      <c r="A35" s="135">
        <v>-10786222.189999999</v>
      </c>
      <c r="B35" s="135">
        <v>-44965.55</v>
      </c>
      <c r="C35" s="135">
        <v>-10831187.74</v>
      </c>
      <c r="K35" s="142">
        <f>SUM(K11:K16)</f>
        <v>785742.41999999993</v>
      </c>
      <c r="L35" s="142"/>
      <c r="M35" s="142">
        <f>SUM(M11:M16)</f>
        <v>97998.15</v>
      </c>
      <c r="N35" s="96">
        <f t="shared" si="7"/>
        <v>883740.57</v>
      </c>
    </row>
    <row r="36" spans="1:14" x14ac:dyDescent="0.2">
      <c r="A36" s="135">
        <v>-10831187.74</v>
      </c>
      <c r="B36" s="135">
        <v>-49517.85</v>
      </c>
      <c r="C36" s="135">
        <v>-10880705.59</v>
      </c>
      <c r="K36" s="142">
        <f>SUM(K11:K17)</f>
        <v>1070053.8999999999</v>
      </c>
      <c r="L36" s="142"/>
      <c r="M36" s="142">
        <f>SUM(M11:M17)</f>
        <v>157785.16</v>
      </c>
      <c r="N36" s="96">
        <f t="shared" si="7"/>
        <v>1227839.0599999998</v>
      </c>
    </row>
    <row r="37" spans="1:14" x14ac:dyDescent="0.2">
      <c r="A37" s="135">
        <v>-10880705.59</v>
      </c>
      <c r="B37" s="135">
        <v>-56847.950000000004</v>
      </c>
      <c r="C37" s="135">
        <v>-10937553.539999999</v>
      </c>
      <c r="K37" s="142">
        <f>SUM(K11:K18)</f>
        <v>1252410.6099999999</v>
      </c>
      <c r="L37" s="142"/>
      <c r="M37" s="142">
        <f>SUM(M11:M18)</f>
        <v>191398.35</v>
      </c>
      <c r="N37" s="96">
        <f t="shared" si="7"/>
        <v>1443808.96</v>
      </c>
    </row>
    <row r="38" spans="1:14" x14ac:dyDescent="0.2">
      <c r="A38" s="135">
        <v>-10937553.539999999</v>
      </c>
      <c r="B38" s="135">
        <v>-63218.65</v>
      </c>
      <c r="C38" s="135">
        <v>-11000772.189999999</v>
      </c>
      <c r="K38" s="142">
        <f>SUM(K11:K19)</f>
        <v>1427953.2399999998</v>
      </c>
      <c r="L38" s="142"/>
      <c r="M38" s="142">
        <f>SUM(M11:M19)</f>
        <v>216648.30000000002</v>
      </c>
      <c r="N38" s="96">
        <f t="shared" si="7"/>
        <v>1644601.5399999998</v>
      </c>
    </row>
    <row r="39" spans="1:14" x14ac:dyDescent="0.2">
      <c r="A39" s="135">
        <v>-11000772.189999999</v>
      </c>
      <c r="B39" s="135">
        <v>-76112.37</v>
      </c>
      <c r="C39" s="135">
        <v>-11076884.560000001</v>
      </c>
      <c r="K39" s="142">
        <f>SUM(K11:K20)</f>
        <v>1552357.5699999998</v>
      </c>
      <c r="L39" s="142"/>
      <c r="M39" s="142">
        <f>SUM(M11:M20)</f>
        <v>227835.94</v>
      </c>
      <c r="N39" s="96">
        <f t="shared" si="7"/>
        <v>1780193.5099999998</v>
      </c>
    </row>
    <row r="40" spans="1:14" x14ac:dyDescent="0.2">
      <c r="A40" s="135">
        <v>-11076884.560000001</v>
      </c>
      <c r="B40" s="135">
        <v>-69810.61</v>
      </c>
      <c r="C40" s="135">
        <v>-11146695.17</v>
      </c>
      <c r="K40" s="142">
        <f>SUM(K11:K21)</f>
        <v>1645808.9799999997</v>
      </c>
      <c r="L40" s="142"/>
      <c r="M40" s="142">
        <f>SUM(M11:M21)</f>
        <v>230036.78</v>
      </c>
      <c r="N40" s="96">
        <f t="shared" si="7"/>
        <v>1875845.7599999998</v>
      </c>
    </row>
    <row r="41" spans="1:14" x14ac:dyDescent="0.2">
      <c r="A41" s="135">
        <v>-11146695.17</v>
      </c>
      <c r="B41" s="135">
        <v>-62479.590000000004</v>
      </c>
      <c r="C41" s="135">
        <v>-11209174.76</v>
      </c>
      <c r="K41" s="142">
        <f>SUM(K11:K22)</f>
        <v>1835807.5099999998</v>
      </c>
      <c r="L41" s="142"/>
      <c r="M41" s="142">
        <f>SUM(M11:M22)</f>
        <v>247958.28</v>
      </c>
      <c r="N41" s="96">
        <f t="shared" si="7"/>
        <v>2083765.7899999998</v>
      </c>
    </row>
    <row r="42" spans="1:14" x14ac:dyDescent="0.2">
      <c r="A42" s="135">
        <v>-11209174.76</v>
      </c>
      <c r="B42" s="135">
        <v>-61132.639999999999</v>
      </c>
      <c r="C42" s="135">
        <v>-11270307.4</v>
      </c>
    </row>
    <row r="43" spans="1:14" x14ac:dyDescent="0.2">
      <c r="A43" s="135">
        <v>-11270307.4</v>
      </c>
      <c r="B43" s="135">
        <v>-54764.020000000004</v>
      </c>
      <c r="C43" s="135">
        <v>-11325071.42</v>
      </c>
    </row>
    <row r="44" spans="1:14" x14ac:dyDescent="0.2">
      <c r="A44" s="135">
        <v>-11325071.42</v>
      </c>
      <c r="B44" s="135">
        <v>-87124.2</v>
      </c>
      <c r="C44" s="135">
        <v>-11412195.619999999</v>
      </c>
    </row>
    <row r="45" spans="1:14" x14ac:dyDescent="0.2">
      <c r="A45" s="135">
        <v>-11412195.619999999</v>
      </c>
      <c r="B45" s="135">
        <v>-59772.54</v>
      </c>
      <c r="C45" s="135">
        <v>-11471968.16</v>
      </c>
    </row>
    <row r="46" spans="1:14" x14ac:dyDescent="0.2">
      <c r="A46" s="135">
        <v>-11412195.619999999</v>
      </c>
      <c r="B46" s="135">
        <v>-59772.54</v>
      </c>
      <c r="C46" s="135">
        <v>-11471968.16</v>
      </c>
    </row>
    <row r="47" spans="1:14" x14ac:dyDescent="0.2">
      <c r="A47" s="135">
        <v>-11471968.16</v>
      </c>
      <c r="B47" s="135">
        <v>-156592.51999999999</v>
      </c>
      <c r="C47" s="135">
        <v>-11628560.68</v>
      </c>
    </row>
    <row r="48" spans="1:14" x14ac:dyDescent="0.2">
      <c r="A48" s="135"/>
      <c r="B48" s="135"/>
      <c r="C48" s="135"/>
    </row>
    <row r="49" spans="1:3" ht="13.5" thickBot="1" x14ac:dyDescent="0.25">
      <c r="A49" s="140">
        <f>SUM(A35:A47)</f>
        <v>-144760933.96000004</v>
      </c>
      <c r="B49" s="140">
        <f>SUM(B35:B47)</f>
        <v>-902111.03</v>
      </c>
      <c r="C49" s="140">
        <f>SUM(C35:C47)</f>
        <v>-145663044.99000001</v>
      </c>
    </row>
    <row r="50" spans="1:3" hidden="1" x14ac:dyDescent="0.2">
      <c r="A50" s="135"/>
      <c r="B50" s="135"/>
      <c r="C50" s="135"/>
    </row>
    <row r="51" spans="1:3" hidden="1" x14ac:dyDescent="0.2">
      <c r="A51" s="135"/>
      <c r="B51" s="135"/>
      <c r="C51" s="135"/>
    </row>
    <row r="52" spans="1:3" hidden="1" x14ac:dyDescent="0.2">
      <c r="A52" s="135"/>
      <c r="B52" s="135"/>
      <c r="C52" s="135"/>
    </row>
    <row r="53" spans="1:3" hidden="1" x14ac:dyDescent="0.2">
      <c r="A53" s="135"/>
      <c r="B53" s="135"/>
      <c r="C53" s="135"/>
    </row>
    <row r="54" spans="1:3" ht="13.5" hidden="1" thickBot="1" x14ac:dyDescent="0.25">
      <c r="A54" s="140">
        <f>SUM(A51:A53)</f>
        <v>0</v>
      </c>
      <c r="B54" s="140">
        <f>SUM(B51:B53)</f>
        <v>0</v>
      </c>
      <c r="C54" s="140">
        <f>SUM(C51:C53)</f>
        <v>0</v>
      </c>
    </row>
    <row r="55" spans="1:3" x14ac:dyDescent="0.2">
      <c r="A55" s="135"/>
      <c r="B55" s="135"/>
      <c r="C55" s="135"/>
    </row>
    <row r="56" spans="1:3" s="99" customFormat="1" ht="13.5" thickBot="1" x14ac:dyDescent="0.25">
      <c r="A56" s="143">
        <f>SUM(A54,A49)</f>
        <v>-144760933.96000004</v>
      </c>
      <c r="B56" s="143">
        <f>SUM(B54,B49)</f>
        <v>-902111.03</v>
      </c>
      <c r="C56" s="143">
        <f>SUM(C54,C49)</f>
        <v>-145663044.99000001</v>
      </c>
    </row>
    <row r="57" spans="1:3" s="99" customFormat="1" ht="13.5" thickTop="1" x14ac:dyDescent="0.2">
      <c r="A57" s="144"/>
      <c r="B57" s="144"/>
      <c r="C57" s="144"/>
    </row>
    <row r="58" spans="1:3" x14ac:dyDescent="0.2">
      <c r="A58" s="135">
        <v>-5012658.66</v>
      </c>
      <c r="B58" s="135">
        <v>-60645.340000000004</v>
      </c>
      <c r="C58" s="135">
        <v>-5073304</v>
      </c>
    </row>
    <row r="59" spans="1:3" x14ac:dyDescent="0.2">
      <c r="A59" s="135">
        <v>-5073304</v>
      </c>
      <c r="B59" s="135">
        <v>-93264.92</v>
      </c>
      <c r="C59" s="135">
        <v>-5166568.92</v>
      </c>
    </row>
    <row r="60" spans="1:3" x14ac:dyDescent="0.2">
      <c r="A60" s="135">
        <v>-5166568.92</v>
      </c>
      <c r="B60" s="135">
        <v>-80792.22</v>
      </c>
      <c r="C60" s="135">
        <v>-5247361.1399999997</v>
      </c>
    </row>
    <row r="61" spans="1:3" x14ac:dyDescent="0.2">
      <c r="A61" s="135">
        <v>-5247361.1399999997</v>
      </c>
      <c r="B61" s="135">
        <v>-69196.7</v>
      </c>
      <c r="C61" s="135">
        <v>-5316557.84</v>
      </c>
    </row>
    <row r="62" spans="1:3" x14ac:dyDescent="0.2">
      <c r="A62" s="135">
        <v>-5316557.84</v>
      </c>
      <c r="B62" s="135">
        <v>-75545.2</v>
      </c>
      <c r="C62" s="135">
        <v>-5392103.04</v>
      </c>
    </row>
    <row r="63" spans="1:3" x14ac:dyDescent="0.2">
      <c r="A63" s="135">
        <v>-5392103.04</v>
      </c>
      <c r="B63" s="135">
        <v>-47953.9</v>
      </c>
      <c r="C63" s="135">
        <v>-5440056.9400000004</v>
      </c>
    </row>
    <row r="64" spans="1:3" x14ac:dyDescent="0.2">
      <c r="A64" s="135">
        <v>-5440056.9400000004</v>
      </c>
      <c r="B64" s="135">
        <v>-87589.06</v>
      </c>
      <c r="C64" s="135">
        <v>-5527646</v>
      </c>
    </row>
    <row r="65" spans="1:3" x14ac:dyDescent="0.2">
      <c r="A65" s="135">
        <v>-5527646</v>
      </c>
      <c r="B65" s="135">
        <v>-77871.150000000009</v>
      </c>
      <c r="C65" s="135">
        <v>-5605517.1500000004</v>
      </c>
    </row>
    <row r="66" spans="1:3" x14ac:dyDescent="0.2">
      <c r="A66" s="135">
        <v>-5605517.1500000004</v>
      </c>
      <c r="B66" s="135">
        <v>-102023.1</v>
      </c>
      <c r="C66" s="135">
        <v>-5707540.25</v>
      </c>
    </row>
    <row r="67" spans="1:3" x14ac:dyDescent="0.2">
      <c r="A67" s="135">
        <v>-5707540.25</v>
      </c>
      <c r="B67" s="135">
        <v>-84138.38</v>
      </c>
      <c r="C67" s="135">
        <v>-5791678.6299999999</v>
      </c>
    </row>
    <row r="68" spans="1:3" x14ac:dyDescent="0.2">
      <c r="A68" s="135">
        <v>-5791678.6299999999</v>
      </c>
      <c r="B68" s="135">
        <v>-63860.61</v>
      </c>
      <c r="C68" s="135">
        <v>-5855539.2400000002</v>
      </c>
    </row>
    <row r="69" spans="1:3" x14ac:dyDescent="0.2">
      <c r="A69" s="135">
        <v>-5791678.6299999999</v>
      </c>
      <c r="B69" s="135">
        <v>-63860.61</v>
      </c>
      <c r="C69" s="135">
        <v>-5855539.2400000002</v>
      </c>
    </row>
    <row r="70" spans="1:3" x14ac:dyDescent="0.2">
      <c r="A70" s="135">
        <v>-5855539.2400000002</v>
      </c>
      <c r="B70" s="135">
        <v>-89962.92</v>
      </c>
      <c r="C70" s="135">
        <v>-5945502.1600000001</v>
      </c>
    </row>
    <row r="71" spans="1:3" x14ac:dyDescent="0.2">
      <c r="A71" s="135"/>
      <c r="B71" s="135"/>
      <c r="C71" s="135"/>
    </row>
    <row r="72" spans="1:3" ht="13.5" thickBot="1" x14ac:dyDescent="0.25">
      <c r="A72" s="140">
        <f>SUM(A58:A70)</f>
        <v>-70928210.439999998</v>
      </c>
      <c r="B72" s="140">
        <f>SUM(B58:B70)</f>
        <v>-996704.11</v>
      </c>
      <c r="C72" s="140">
        <f>SUM(C58:C70)</f>
        <v>-71924914.549999997</v>
      </c>
    </row>
    <row r="73" spans="1:3" x14ac:dyDescent="0.2">
      <c r="A73" s="135"/>
      <c r="B73" s="135"/>
      <c r="C73" s="135"/>
    </row>
    <row r="74" spans="1:3" hidden="1" x14ac:dyDescent="0.2">
      <c r="A74" s="135"/>
      <c r="B74" s="135"/>
      <c r="C74" s="135"/>
    </row>
    <row r="75" spans="1:3" ht="13.5" hidden="1" thickBot="1" x14ac:dyDescent="0.25">
      <c r="A75" s="140">
        <f>SUM(A74:A74)</f>
        <v>0</v>
      </c>
      <c r="B75" s="140">
        <f>SUM(B74:B74)</f>
        <v>0</v>
      </c>
      <c r="C75" s="140">
        <f>SUM(C74:C74)</f>
        <v>0</v>
      </c>
    </row>
    <row r="76" spans="1:3" hidden="1" x14ac:dyDescent="0.2">
      <c r="A76" s="135"/>
      <c r="B76" s="135"/>
      <c r="C76" s="135"/>
    </row>
    <row r="77" spans="1:3" s="99" customFormat="1" ht="13.5" hidden="1" thickBot="1" x14ac:dyDescent="0.25">
      <c r="A77" s="143">
        <f>SUM(A75,A72)</f>
        <v>-70928210.439999998</v>
      </c>
      <c r="B77" s="143">
        <f>SUM(B75,B72)</f>
        <v>-996704.11</v>
      </c>
      <c r="C77" s="143">
        <f>SUM(C75,C72)</f>
        <v>-71924914.549999997</v>
      </c>
    </row>
    <row r="78" spans="1:3" x14ac:dyDescent="0.2">
      <c r="A78" s="135"/>
      <c r="B78" s="135"/>
      <c r="C78" s="135"/>
    </row>
    <row r="80" spans="1:3" x14ac:dyDescent="0.2">
      <c r="A80" s="135" t="s">
        <v>161</v>
      </c>
      <c r="B80" s="135" t="s">
        <v>162</v>
      </c>
      <c r="C80" s="135" t="s">
        <v>163</v>
      </c>
    </row>
    <row r="81" spans="1:3" x14ac:dyDescent="0.2">
      <c r="A81" s="135"/>
      <c r="B81" s="135"/>
      <c r="C81" s="135"/>
    </row>
    <row r="82" spans="1:3" x14ac:dyDescent="0.2">
      <c r="A82" s="135">
        <v>17126034.059999999</v>
      </c>
      <c r="B82" s="135">
        <v>71224.210000000006</v>
      </c>
      <c r="C82" s="135">
        <v>17197258.27</v>
      </c>
    </row>
    <row r="83" spans="1:3" x14ac:dyDescent="0.2">
      <c r="A83" s="135">
        <v>17197258.27</v>
      </c>
      <c r="B83" s="135">
        <v>83780.680000000008</v>
      </c>
      <c r="C83" s="135">
        <v>17281038.949999999</v>
      </c>
    </row>
    <row r="84" spans="1:3" x14ac:dyDescent="0.2">
      <c r="A84" s="135">
        <v>17281038.949999999</v>
      </c>
      <c r="B84" s="135">
        <v>119469.43000000001</v>
      </c>
      <c r="C84" s="135">
        <v>17400508.379999999</v>
      </c>
    </row>
    <row r="85" spans="1:3" x14ac:dyDescent="0.2">
      <c r="A85" s="135">
        <v>17400508.379999999</v>
      </c>
      <c r="B85" s="135">
        <v>150028.16</v>
      </c>
      <c r="C85" s="135">
        <v>17550536.539999999</v>
      </c>
    </row>
    <row r="86" spans="1:3" x14ac:dyDescent="0.2">
      <c r="A86" s="135">
        <v>17550536.539999999</v>
      </c>
      <c r="B86" s="135">
        <v>249220.78</v>
      </c>
      <c r="C86" s="135">
        <v>17799757.32</v>
      </c>
    </row>
    <row r="87" spans="1:3" x14ac:dyDescent="0.2">
      <c r="A87" s="135">
        <v>17799757.32</v>
      </c>
      <c r="B87" s="135">
        <v>275494.92</v>
      </c>
      <c r="C87" s="135">
        <v>18075252.239999998</v>
      </c>
    </row>
    <row r="88" spans="1:3" x14ac:dyDescent="0.2">
      <c r="A88" s="135">
        <v>18075252.239999998</v>
      </c>
      <c r="B88" s="135">
        <v>226381</v>
      </c>
      <c r="C88" s="135">
        <v>18301633.239999998</v>
      </c>
    </row>
    <row r="89" spans="1:3" x14ac:dyDescent="0.2">
      <c r="A89" s="135">
        <v>18301633.239999998</v>
      </c>
      <c r="B89" s="135">
        <v>159400.63</v>
      </c>
      <c r="C89" s="135">
        <v>18461033.870000001</v>
      </c>
    </row>
    <row r="90" spans="1:3" x14ac:dyDescent="0.2">
      <c r="A90" s="135">
        <v>18461033.870000001</v>
      </c>
      <c r="B90" s="135">
        <v>130544.18000000001</v>
      </c>
      <c r="C90" s="135">
        <v>18591578.050000001</v>
      </c>
    </row>
    <row r="91" spans="1:3" x14ac:dyDescent="0.2">
      <c r="A91" s="135">
        <v>18591578.050000001</v>
      </c>
      <c r="B91" s="135">
        <v>105594.31</v>
      </c>
      <c r="C91" s="135">
        <v>18697172.359999999</v>
      </c>
    </row>
    <row r="92" spans="1:3" x14ac:dyDescent="0.2">
      <c r="A92" s="135">
        <v>18697172.359999999</v>
      </c>
      <c r="B92" s="135">
        <v>104171.06</v>
      </c>
      <c r="C92" s="135">
        <v>18801343.420000002</v>
      </c>
    </row>
    <row r="93" spans="1:3" x14ac:dyDescent="0.2">
      <c r="A93" s="135">
        <v>18697172.359999999</v>
      </c>
      <c r="B93" s="135">
        <v>104171.06</v>
      </c>
      <c r="C93" s="135">
        <v>18801343.420000002</v>
      </c>
    </row>
    <row r="94" spans="1:3" x14ac:dyDescent="0.2">
      <c r="A94" s="135">
        <v>18801343.420000002</v>
      </c>
      <c r="B94" s="135">
        <v>59065.87</v>
      </c>
      <c r="C94" s="135">
        <v>18860409.289999999</v>
      </c>
    </row>
    <row r="95" spans="1:3" ht="13.5" thickBot="1" x14ac:dyDescent="0.25">
      <c r="A95" s="145">
        <f>SUM(A82:A94)</f>
        <v>233980319.06</v>
      </c>
      <c r="B95" s="145">
        <f>SUM(B82:B94)</f>
        <v>1838546.2900000003</v>
      </c>
      <c r="C95" s="145">
        <f>SUM(C82:C94)</f>
        <v>235818865.34999999</v>
      </c>
    </row>
    <row r="96" spans="1:3" hidden="1" x14ac:dyDescent="0.2">
      <c r="A96" s="135"/>
      <c r="B96" s="135"/>
      <c r="C96" s="135"/>
    </row>
    <row r="97" spans="1:3" hidden="1" x14ac:dyDescent="0.2">
      <c r="A97" s="146"/>
      <c r="B97" s="146"/>
      <c r="C97" s="146"/>
    </row>
    <row r="98" spans="1:3" hidden="1" x14ac:dyDescent="0.2">
      <c r="A98" s="146"/>
      <c r="B98" s="146"/>
      <c r="C98" s="146"/>
    </row>
    <row r="99" spans="1:3" hidden="1" x14ac:dyDescent="0.2">
      <c r="A99" s="146"/>
      <c r="B99" s="146"/>
      <c r="C99" s="146"/>
    </row>
    <row r="100" spans="1:3" hidden="1" x14ac:dyDescent="0.2">
      <c r="A100" s="146"/>
      <c r="B100" s="146"/>
      <c r="C100" s="146"/>
    </row>
    <row r="101" spans="1:3" hidden="1" x14ac:dyDescent="0.2">
      <c r="A101" s="146"/>
      <c r="B101" s="146"/>
      <c r="C101" s="146"/>
    </row>
    <row r="102" spans="1:3" ht="13.5" hidden="1" thickBot="1" x14ac:dyDescent="0.25">
      <c r="A102" s="145">
        <f>SUM(A97:A101)</f>
        <v>0</v>
      </c>
      <c r="B102" s="145">
        <f>SUM(B97:B101)</f>
        <v>0</v>
      </c>
      <c r="C102" s="145">
        <f>SUM(C97:C101)</f>
        <v>0</v>
      </c>
    </row>
    <row r="103" spans="1:3" x14ac:dyDescent="0.2">
      <c r="A103" s="135"/>
      <c r="B103" s="135"/>
      <c r="C103" s="135"/>
    </row>
    <row r="104" spans="1:3" s="99" customFormat="1" ht="13.5" thickBot="1" x14ac:dyDescent="0.25">
      <c r="A104" s="143">
        <f>SUM(A102,A95)</f>
        <v>233980319.06</v>
      </c>
      <c r="B104" s="143">
        <f>SUM(B102,B95)</f>
        <v>1838546.2900000003</v>
      </c>
      <c r="C104" s="143">
        <f>SUM(C102,C95)</f>
        <v>235818865.34999999</v>
      </c>
    </row>
    <row r="105" spans="1:3" s="99" customFormat="1" ht="13.5" thickTop="1" x14ac:dyDescent="0.2">
      <c r="A105" s="144"/>
      <c r="B105" s="144"/>
      <c r="C105" s="144"/>
    </row>
    <row r="106" spans="1:3" x14ac:dyDescent="0.2">
      <c r="A106" s="135">
        <v>-4912578.3899999997</v>
      </c>
      <c r="B106" s="135">
        <v>-20842.5</v>
      </c>
      <c r="C106" s="135">
        <v>-4933420.8899999997</v>
      </c>
    </row>
    <row r="107" spans="1:3" x14ac:dyDescent="0.2">
      <c r="A107" s="135">
        <v>-4933420.8899999997</v>
      </c>
      <c r="B107" s="135">
        <v>-23933.7</v>
      </c>
      <c r="C107" s="135">
        <v>-4957354.59</v>
      </c>
    </row>
    <row r="108" spans="1:3" x14ac:dyDescent="0.2">
      <c r="A108" s="135">
        <v>-4957354.59</v>
      </c>
      <c r="B108" s="135">
        <v>-32190.440000000002</v>
      </c>
      <c r="C108" s="135">
        <v>-4989545.03</v>
      </c>
    </row>
    <row r="109" spans="1:3" x14ac:dyDescent="0.2">
      <c r="A109" s="135">
        <v>-4989545.03</v>
      </c>
      <c r="B109" s="135">
        <v>-34019.96</v>
      </c>
      <c r="C109" s="135">
        <v>-5023564.99</v>
      </c>
    </row>
    <row r="110" spans="1:3" x14ac:dyDescent="0.2">
      <c r="A110" s="135">
        <v>-5023564.99</v>
      </c>
      <c r="B110" s="135">
        <v>-31300.600000000002</v>
      </c>
      <c r="C110" s="135">
        <v>-5054865.59</v>
      </c>
    </row>
    <row r="111" spans="1:3" x14ac:dyDescent="0.2">
      <c r="A111" s="135">
        <v>-5054865.59</v>
      </c>
      <c r="B111" s="135">
        <v>-27600.68</v>
      </c>
      <c r="C111" s="135">
        <v>-5082466.2699999996</v>
      </c>
    </row>
    <row r="112" spans="1:3" x14ac:dyDescent="0.2">
      <c r="A112" s="135">
        <v>-5082466.2699999996</v>
      </c>
      <c r="B112" s="135">
        <v>-34622.54</v>
      </c>
      <c r="C112" s="135">
        <v>-5117088.8099999996</v>
      </c>
    </row>
    <row r="113" spans="1:3" x14ac:dyDescent="0.2">
      <c r="A113" s="135">
        <v>-5117088.8099999996</v>
      </c>
      <c r="B113" s="135">
        <v>-31594.83</v>
      </c>
      <c r="C113" s="135">
        <v>-5148683.6399999997</v>
      </c>
    </row>
    <row r="114" spans="1:3" x14ac:dyDescent="0.2">
      <c r="A114" s="135">
        <v>-5148683.6399999997</v>
      </c>
      <c r="B114" s="135">
        <v>-41112.65</v>
      </c>
      <c r="C114" s="135">
        <v>-5189796.29</v>
      </c>
    </row>
    <row r="115" spans="1:3" x14ac:dyDescent="0.2">
      <c r="A115" s="135">
        <v>-5189796.29</v>
      </c>
      <c r="B115" s="135">
        <v>-31502.77</v>
      </c>
      <c r="C115" s="135">
        <v>-5221299.0599999996</v>
      </c>
    </row>
    <row r="116" spans="1:3" x14ac:dyDescent="0.2">
      <c r="A116" s="135">
        <v>-5221299.0599999996</v>
      </c>
      <c r="B116" s="135">
        <v>-40071.15</v>
      </c>
      <c r="C116" s="135">
        <v>-5261370.21</v>
      </c>
    </row>
    <row r="117" spans="1:3" x14ac:dyDescent="0.2">
      <c r="A117" s="135">
        <v>-5221299.0599999996</v>
      </c>
      <c r="B117" s="135">
        <v>-40071.15</v>
      </c>
      <c r="C117" s="135">
        <v>-5261370.21</v>
      </c>
    </row>
    <row r="118" spans="1:3" x14ac:dyDescent="0.2">
      <c r="A118" s="135">
        <v>-5261370.21</v>
      </c>
      <c r="B118" s="135">
        <v>-28962.53</v>
      </c>
      <c r="C118" s="135">
        <v>-5290332.74</v>
      </c>
    </row>
    <row r="119" spans="1:3" ht="13.5" thickBot="1" x14ac:dyDescent="0.25">
      <c r="A119" s="145">
        <f>SUM(A106:A118)</f>
        <v>-66113332.820000008</v>
      </c>
      <c r="B119" s="145">
        <f>SUM(B106:B118)</f>
        <v>-417825.50000000012</v>
      </c>
      <c r="C119" s="145">
        <f>SUM(C106:C118)</f>
        <v>-66531158.320000008</v>
      </c>
    </row>
    <row r="120" spans="1:3" hidden="1" x14ac:dyDescent="0.2">
      <c r="A120" s="135"/>
      <c r="B120" s="135"/>
      <c r="C120" s="135"/>
    </row>
    <row r="121" spans="1:3" hidden="1" x14ac:dyDescent="0.2">
      <c r="A121" s="135"/>
      <c r="B121" s="135"/>
      <c r="C121" s="135"/>
    </row>
    <row r="122" spans="1:3" hidden="1" x14ac:dyDescent="0.2">
      <c r="A122" s="135"/>
      <c r="B122" s="135"/>
      <c r="C122" s="135"/>
    </row>
    <row r="123" spans="1:3" hidden="1" x14ac:dyDescent="0.2">
      <c r="A123" s="135"/>
      <c r="B123" s="135"/>
      <c r="C123" s="135"/>
    </row>
    <row r="124" spans="1:3" ht="13.5" hidden="1" thickBot="1" x14ac:dyDescent="0.25">
      <c r="A124" s="145">
        <f>SUM(A121:A123)</f>
        <v>0</v>
      </c>
      <c r="B124" s="145">
        <f>SUM(B121:B123)</f>
        <v>0</v>
      </c>
      <c r="C124" s="145">
        <f>SUM(C121:C123)</f>
        <v>0</v>
      </c>
    </row>
    <row r="125" spans="1:3" x14ac:dyDescent="0.2">
      <c r="A125" s="135"/>
      <c r="B125" s="135"/>
      <c r="C125" s="135"/>
    </row>
    <row r="126" spans="1:3" s="99" customFormat="1" ht="13.5" thickBot="1" x14ac:dyDescent="0.25">
      <c r="A126" s="143">
        <f>SUM(A124,A119)</f>
        <v>-66113332.820000008</v>
      </c>
      <c r="B126" s="143">
        <f>SUM(B124,B119)</f>
        <v>-417825.50000000012</v>
      </c>
      <c r="C126" s="143">
        <f>SUM(C124,C119)</f>
        <v>-66531158.320000008</v>
      </c>
    </row>
    <row r="127" spans="1:3" s="99" customFormat="1" ht="13.5" thickTop="1" x14ac:dyDescent="0.2">
      <c r="A127" s="144"/>
      <c r="B127" s="144"/>
      <c r="C127" s="144"/>
    </row>
    <row r="128" spans="1:3" x14ac:dyDescent="0.2">
      <c r="A128" s="135">
        <v>-2470108.37</v>
      </c>
      <c r="B128" s="135">
        <v>-19547.02</v>
      </c>
      <c r="C128" s="135">
        <v>-2489655.39</v>
      </c>
    </row>
    <row r="129" spans="1:3" x14ac:dyDescent="0.2">
      <c r="A129" s="135">
        <v>-2489655.39</v>
      </c>
      <c r="B129" s="135">
        <v>-27380.25</v>
      </c>
      <c r="C129" s="135">
        <v>-2517035.64</v>
      </c>
    </row>
    <row r="130" spans="1:3" x14ac:dyDescent="0.2">
      <c r="A130" s="135">
        <v>-2517035.64</v>
      </c>
      <c r="B130" s="135">
        <v>-29078.27</v>
      </c>
      <c r="C130" s="135">
        <v>-2546113.91</v>
      </c>
    </row>
    <row r="131" spans="1:3" x14ac:dyDescent="0.2">
      <c r="A131" s="135">
        <v>-2546113.91</v>
      </c>
      <c r="B131" s="135">
        <v>-21203.05</v>
      </c>
      <c r="C131" s="135">
        <v>-2567316.96</v>
      </c>
    </row>
    <row r="132" spans="1:3" x14ac:dyDescent="0.2">
      <c r="A132" s="135">
        <v>-2567316.96</v>
      </c>
      <c r="B132" s="135">
        <v>-24909.07</v>
      </c>
      <c r="C132" s="135">
        <v>-2592226.0300000003</v>
      </c>
    </row>
    <row r="133" spans="1:3" x14ac:dyDescent="0.2">
      <c r="A133" s="135">
        <v>-2592226.0300000003</v>
      </c>
      <c r="B133" s="135">
        <v>-16294.91</v>
      </c>
      <c r="C133" s="135">
        <v>-2608520.94</v>
      </c>
    </row>
    <row r="134" spans="1:3" x14ac:dyDescent="0.2">
      <c r="A134" s="135">
        <v>-2608520.94</v>
      </c>
      <c r="B134" s="135">
        <v>-27047.940000000002</v>
      </c>
      <c r="C134" s="135">
        <v>-2635568.88</v>
      </c>
    </row>
    <row r="135" spans="1:3" x14ac:dyDescent="0.2">
      <c r="A135" s="135">
        <v>-2635568.88</v>
      </c>
      <c r="B135" s="135">
        <v>-17365.29</v>
      </c>
      <c r="C135" s="135">
        <v>-2652934.17</v>
      </c>
    </row>
    <row r="136" spans="1:3" x14ac:dyDescent="0.2">
      <c r="A136" s="135">
        <v>-2652934.17</v>
      </c>
      <c r="B136" s="135">
        <v>-20838.98</v>
      </c>
      <c r="C136" s="135">
        <v>-2673773.15</v>
      </c>
    </row>
    <row r="137" spans="1:3" x14ac:dyDescent="0.2">
      <c r="A137" s="135">
        <v>-2673773.15</v>
      </c>
      <c r="B137" s="135">
        <v>-25592.32</v>
      </c>
      <c r="C137" s="135">
        <v>-2699365.4699999997</v>
      </c>
    </row>
    <row r="138" spans="1:3" x14ac:dyDescent="0.2">
      <c r="A138" s="135">
        <v>-2699365.4699999997</v>
      </c>
      <c r="B138" s="135">
        <v>-15842.050000000001</v>
      </c>
      <c r="C138" s="135">
        <v>-2715207.52</v>
      </c>
    </row>
    <row r="139" spans="1:3" x14ac:dyDescent="0.2">
      <c r="A139" s="135">
        <v>-2699365.4699999997</v>
      </c>
      <c r="B139" s="135">
        <v>-15842.050000000001</v>
      </c>
      <c r="C139" s="135">
        <v>-2715207.52</v>
      </c>
    </row>
    <row r="140" spans="1:3" x14ac:dyDescent="0.2">
      <c r="A140" s="135">
        <v>-2715207.52</v>
      </c>
      <c r="B140" s="135">
        <v>-20775.900000000001</v>
      </c>
      <c r="C140" s="135">
        <v>-2735983.42</v>
      </c>
    </row>
    <row r="141" spans="1:3" ht="13.5" thickBot="1" x14ac:dyDescent="0.25">
      <c r="A141" s="145">
        <f>SUM(A128:A140)</f>
        <v>-33867191.899999999</v>
      </c>
      <c r="B141" s="145">
        <f>SUM(B128:B140)</f>
        <v>-281717.10000000003</v>
      </c>
      <c r="C141" s="145">
        <f>SUM(C128:C140)</f>
        <v>-34148909</v>
      </c>
    </row>
    <row r="142" spans="1:3" hidden="1" x14ac:dyDescent="0.2">
      <c r="A142" s="135"/>
      <c r="B142" s="135"/>
      <c r="C142" s="135"/>
    </row>
    <row r="143" spans="1:3" hidden="1" x14ac:dyDescent="0.2">
      <c r="A143" s="135"/>
      <c r="B143" s="135"/>
      <c r="C143" s="135"/>
    </row>
    <row r="144" spans="1:3" hidden="1" x14ac:dyDescent="0.2">
      <c r="A144" s="135"/>
      <c r="B144" s="135"/>
      <c r="C144" s="135"/>
    </row>
    <row r="145" spans="1:4" hidden="1" x14ac:dyDescent="0.2">
      <c r="A145" s="135"/>
      <c r="B145" s="135"/>
      <c r="C145" s="135"/>
    </row>
    <row r="146" spans="1:4" ht="13.5" hidden="1" thickBot="1" x14ac:dyDescent="0.25">
      <c r="A146" s="140">
        <f>SUM(A143:A145)</f>
        <v>0</v>
      </c>
      <c r="B146" s="140">
        <f>SUM(B143:B145)</f>
        <v>0</v>
      </c>
      <c r="C146" s="140">
        <f>SUM(C143:C145)</f>
        <v>0</v>
      </c>
    </row>
    <row r="147" spans="1:4" x14ac:dyDescent="0.2">
      <c r="A147" s="135"/>
      <c r="B147" s="135"/>
      <c r="C147" s="135"/>
    </row>
    <row r="148" spans="1:4" ht="13.5" thickBot="1" x14ac:dyDescent="0.25">
      <c r="A148" s="143">
        <f>SUM(A146,A141)</f>
        <v>-33867191.899999999</v>
      </c>
      <c r="B148" s="143">
        <f>SUM(B146,B141)</f>
        <v>-281717.10000000003</v>
      </c>
      <c r="C148" s="143">
        <f>SUM(C146,C141)</f>
        <v>-34148909</v>
      </c>
      <c r="D148" s="99"/>
    </row>
    <row r="149" spans="1:4" s="99" customFormat="1" ht="13.5" thickTop="1" x14ac:dyDescent="0.2">
      <c r="A149" s="134"/>
      <c r="B149" s="134"/>
      <c r="C149" s="134"/>
      <c r="D149"/>
    </row>
  </sheetData>
  <mergeCells count="9">
    <mergeCell ref="E6:N6"/>
    <mergeCell ref="Q6:R6"/>
    <mergeCell ref="T6:X6"/>
    <mergeCell ref="Z6:AD6"/>
    <mergeCell ref="E7:F7"/>
    <mergeCell ref="G7:H7"/>
    <mergeCell ref="I7:J7"/>
    <mergeCell ref="K7:N7"/>
    <mergeCell ref="Q7:R7"/>
  </mergeCells>
  <pageMargins left="0.7" right="0.7" top="0.75" bottom="0.75" header="0.3" footer="0.3"/>
  <pageSetup scale="67" orientation="landscape" r:id="rId1"/>
  <headerFooter>
    <oddHeader>&amp;RAdjustment No. ____
Workpaper Ref. C-UE-2</oddHeader>
    <oddFooter>&amp;RPrep by:______   1st Review______
Date: &amp;D   Mgr. Review_________</oddFooter>
  </headerFooter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N23"/>
  <sheetViews>
    <sheetView workbookViewId="0"/>
  </sheetViews>
  <sheetFormatPr defaultRowHeight="12.75" x14ac:dyDescent="0.2"/>
  <cols>
    <col min="1" max="1" width="9" bestFit="1" customWidth="1"/>
    <col min="2" max="3" width="16" bestFit="1" customWidth="1"/>
    <col min="4" max="4" width="15" bestFit="1" customWidth="1"/>
    <col min="5" max="5" width="14" bestFit="1" customWidth="1"/>
    <col min="6" max="6" width="12.42578125" bestFit="1" customWidth="1"/>
    <col min="7" max="7" width="13.85546875" bestFit="1" customWidth="1"/>
    <col min="8" max="8" width="15.42578125" bestFit="1" customWidth="1"/>
    <col min="9" max="9" width="1.28515625" customWidth="1"/>
    <col min="10" max="10" width="9" bestFit="1" customWidth="1"/>
    <col min="11" max="13" width="14.42578125" bestFit="1" customWidth="1"/>
    <col min="14" max="14" width="13.42578125" bestFit="1" customWidth="1"/>
    <col min="15" max="15" width="11.7109375" bestFit="1" customWidth="1"/>
    <col min="16" max="16" width="13.42578125" bestFit="1" customWidth="1"/>
    <col min="17" max="17" width="9.7109375" bestFit="1" customWidth="1"/>
    <col min="18" max="18" width="10.7109375" bestFit="1" customWidth="1"/>
    <col min="19" max="19" width="11.140625" customWidth="1"/>
    <col min="20" max="20" width="15.42578125" bestFit="1" customWidth="1"/>
    <col min="21" max="21" width="1.42578125" customWidth="1"/>
    <col min="23" max="24" width="14.42578125" bestFit="1" customWidth="1"/>
    <col min="25" max="25" width="12.28515625" bestFit="1" customWidth="1"/>
    <col min="26" max="26" width="11.28515625" bestFit="1" customWidth="1"/>
    <col min="27" max="27" width="11.7109375" bestFit="1" customWidth="1"/>
    <col min="28" max="28" width="13.85546875" bestFit="1" customWidth="1"/>
    <col min="29" max="29" width="13.42578125" bestFit="1" customWidth="1"/>
    <col min="30" max="30" width="14.42578125" bestFit="1" customWidth="1"/>
    <col min="31" max="31" width="1.7109375" customWidth="1"/>
    <col min="33" max="33" width="14.42578125" bestFit="1" customWidth="1"/>
    <col min="34" max="34" width="13.42578125" bestFit="1" customWidth="1"/>
    <col min="35" max="35" width="12.28515625" bestFit="1" customWidth="1"/>
    <col min="36" max="36" width="11.28515625" bestFit="1" customWidth="1"/>
    <col min="37" max="37" width="10.7109375" bestFit="1" customWidth="1"/>
    <col min="38" max="38" width="12.7109375" bestFit="1" customWidth="1"/>
    <col min="39" max="39" width="11.140625" customWidth="1"/>
    <col min="40" max="40" width="14.42578125" bestFit="1" customWidth="1"/>
  </cols>
  <sheetData>
    <row r="1" spans="1:40" x14ac:dyDescent="0.2">
      <c r="A1" s="10" t="s">
        <v>77</v>
      </c>
      <c r="J1" s="10" t="s">
        <v>77</v>
      </c>
      <c r="V1" s="10" t="s">
        <v>77</v>
      </c>
      <c r="AF1" s="10" t="s">
        <v>77</v>
      </c>
    </row>
    <row r="2" spans="1:40" x14ac:dyDescent="0.2">
      <c r="A2" s="10" t="s">
        <v>57</v>
      </c>
      <c r="J2" s="10" t="s">
        <v>57</v>
      </c>
      <c r="V2" s="10" t="s">
        <v>57</v>
      </c>
      <c r="AF2" s="10" t="s">
        <v>57</v>
      </c>
    </row>
    <row r="3" spans="1:40" x14ac:dyDescent="0.2">
      <c r="A3" s="10" t="str">
        <f>SharedInputs!B2</f>
        <v>TWELVE MONTHS ENDED DECEMBER 31, 2019</v>
      </c>
      <c r="J3" s="10" t="str">
        <f>A3</f>
        <v>TWELVE MONTHS ENDED DECEMBER 31, 2019</v>
      </c>
      <c r="V3" s="10" t="str">
        <f>J3</f>
        <v>TWELVE MONTHS ENDED DECEMBER 31, 2019</v>
      </c>
      <c r="AF3" s="10" t="str">
        <f>V3</f>
        <v>TWELVE MONTHS ENDED DECEMBER 31, 2019</v>
      </c>
    </row>
    <row r="4" spans="1:40" x14ac:dyDescent="0.2">
      <c r="A4" s="10"/>
      <c r="J4" s="10"/>
      <c r="V4" s="10"/>
      <c r="AF4" s="10"/>
    </row>
    <row r="5" spans="1:40" x14ac:dyDescent="0.2">
      <c r="A5" s="10" t="s">
        <v>140</v>
      </c>
      <c r="J5" s="10" t="s">
        <v>141</v>
      </c>
      <c r="V5" s="10" t="s">
        <v>142</v>
      </c>
      <c r="AF5" s="10" t="s">
        <v>143</v>
      </c>
    </row>
    <row r="7" spans="1:40" x14ac:dyDescent="0.2">
      <c r="B7" s="100">
        <v>440000</v>
      </c>
      <c r="C7" s="92">
        <v>442200</v>
      </c>
      <c r="D7" s="92">
        <v>442300</v>
      </c>
      <c r="E7" s="92">
        <v>444000</v>
      </c>
      <c r="F7" s="92">
        <v>448000</v>
      </c>
      <c r="G7" s="100" t="s">
        <v>144</v>
      </c>
      <c r="H7" s="92"/>
      <c r="K7" s="100">
        <v>440000</v>
      </c>
      <c r="L7" s="92">
        <v>442200</v>
      </c>
      <c r="M7" s="92">
        <v>442300</v>
      </c>
      <c r="N7" s="92">
        <v>444000</v>
      </c>
      <c r="O7" s="92">
        <v>448000</v>
      </c>
      <c r="P7" s="100" t="s">
        <v>144</v>
      </c>
      <c r="Q7" s="100">
        <v>440000</v>
      </c>
      <c r="R7" s="92">
        <v>442200</v>
      </c>
      <c r="S7" s="92">
        <v>448000</v>
      </c>
      <c r="T7" s="92"/>
      <c r="W7" s="100">
        <v>480000</v>
      </c>
      <c r="X7" s="92" t="s">
        <v>145</v>
      </c>
      <c r="Y7" s="92">
        <v>481300</v>
      </c>
      <c r="Z7" s="92">
        <v>481400</v>
      </c>
      <c r="AA7" s="92">
        <v>484000</v>
      </c>
      <c r="AB7" s="100" t="s">
        <v>144</v>
      </c>
      <c r="AC7" s="100" t="s">
        <v>146</v>
      </c>
      <c r="AD7" s="92"/>
      <c r="AG7" s="100">
        <v>480000</v>
      </c>
      <c r="AH7" s="92" t="s">
        <v>145</v>
      </c>
      <c r="AI7" s="92">
        <v>481300</v>
      </c>
      <c r="AJ7" s="92">
        <v>481400</v>
      </c>
      <c r="AK7" s="92">
        <v>484000</v>
      </c>
      <c r="AL7" s="100" t="s">
        <v>144</v>
      </c>
      <c r="AM7" s="100">
        <v>489300</v>
      </c>
      <c r="AN7" s="92"/>
    </row>
    <row r="8" spans="1:40" x14ac:dyDescent="0.2">
      <c r="B8" s="92" t="s">
        <v>95</v>
      </c>
      <c r="C8" s="92" t="s">
        <v>95</v>
      </c>
      <c r="D8" s="92" t="s">
        <v>95</v>
      </c>
      <c r="E8" s="92" t="s">
        <v>95</v>
      </c>
      <c r="F8" s="92" t="s">
        <v>95</v>
      </c>
      <c r="G8" s="92" t="s">
        <v>95</v>
      </c>
      <c r="H8" s="92"/>
      <c r="K8" s="92" t="s">
        <v>95</v>
      </c>
      <c r="L8" s="92" t="s">
        <v>95</v>
      </c>
      <c r="M8" s="92" t="s">
        <v>95</v>
      </c>
      <c r="N8" s="92" t="s">
        <v>95</v>
      </c>
      <c r="O8" s="92" t="s">
        <v>95</v>
      </c>
      <c r="P8" s="92" t="s">
        <v>95</v>
      </c>
      <c r="Q8" s="92" t="s">
        <v>95</v>
      </c>
      <c r="R8" s="92" t="s">
        <v>95</v>
      </c>
      <c r="S8" s="92" t="s">
        <v>95</v>
      </c>
      <c r="T8" s="92"/>
      <c r="W8" s="92" t="s">
        <v>96</v>
      </c>
      <c r="X8" s="92" t="s">
        <v>96</v>
      </c>
      <c r="Y8" s="92" t="s">
        <v>96</v>
      </c>
      <c r="Z8" s="92" t="s">
        <v>96</v>
      </c>
      <c r="AA8" s="92" t="s">
        <v>96</v>
      </c>
      <c r="AB8" s="92" t="s">
        <v>96</v>
      </c>
      <c r="AC8" s="92" t="s">
        <v>96</v>
      </c>
      <c r="AD8" s="92"/>
      <c r="AG8" s="92" t="s">
        <v>96</v>
      </c>
      <c r="AH8" s="92" t="s">
        <v>96</v>
      </c>
      <c r="AI8" s="92" t="s">
        <v>96</v>
      </c>
      <c r="AJ8" s="92" t="s">
        <v>96</v>
      </c>
      <c r="AK8" s="92" t="s">
        <v>96</v>
      </c>
      <c r="AL8" s="92" t="s">
        <v>96</v>
      </c>
      <c r="AM8" s="92" t="s">
        <v>96</v>
      </c>
      <c r="AN8" s="92"/>
    </row>
    <row r="9" spans="1:40" x14ac:dyDescent="0.2">
      <c r="B9" s="92" t="s">
        <v>71</v>
      </c>
      <c r="C9" s="92" t="s">
        <v>71</v>
      </c>
      <c r="D9" s="92" t="s">
        <v>71</v>
      </c>
      <c r="E9" s="92" t="s">
        <v>71</v>
      </c>
      <c r="F9" s="92" t="s">
        <v>71</v>
      </c>
      <c r="G9" s="92" t="s">
        <v>71</v>
      </c>
      <c r="H9" s="92" t="s">
        <v>100</v>
      </c>
      <c r="K9" s="92" t="s">
        <v>72</v>
      </c>
      <c r="L9" s="92" t="s">
        <v>72</v>
      </c>
      <c r="M9" s="92" t="s">
        <v>72</v>
      </c>
      <c r="N9" s="92" t="s">
        <v>72</v>
      </c>
      <c r="O9" s="92" t="s">
        <v>72</v>
      </c>
      <c r="P9" s="92" t="s">
        <v>72</v>
      </c>
      <c r="Q9" s="92" t="s">
        <v>147</v>
      </c>
      <c r="R9" s="92" t="s">
        <v>147</v>
      </c>
      <c r="S9" s="92" t="s">
        <v>147</v>
      </c>
      <c r="T9" s="92" t="s">
        <v>100</v>
      </c>
      <c r="W9" s="92" t="s">
        <v>71</v>
      </c>
      <c r="X9" s="92" t="s">
        <v>71</v>
      </c>
      <c r="Y9" s="92" t="s">
        <v>71</v>
      </c>
      <c r="Z9" s="92" t="s">
        <v>71</v>
      </c>
      <c r="AA9" s="92" t="s">
        <v>71</v>
      </c>
      <c r="AB9" s="92" t="s">
        <v>71</v>
      </c>
      <c r="AC9" s="92" t="s">
        <v>71</v>
      </c>
      <c r="AD9" s="92" t="s">
        <v>100</v>
      </c>
      <c r="AG9" s="92" t="s">
        <v>72</v>
      </c>
      <c r="AH9" s="92" t="s">
        <v>72</v>
      </c>
      <c r="AI9" s="92" t="s">
        <v>72</v>
      </c>
      <c r="AJ9" s="92" t="s">
        <v>72</v>
      </c>
      <c r="AK9" s="92" t="s">
        <v>72</v>
      </c>
      <c r="AL9" s="92" t="s">
        <v>72</v>
      </c>
      <c r="AM9" s="92" t="s">
        <v>72</v>
      </c>
      <c r="AN9" s="92" t="s">
        <v>100</v>
      </c>
    </row>
    <row r="10" spans="1:40" x14ac:dyDescent="0.2">
      <c r="A10">
        <v>201901</v>
      </c>
      <c r="B10" s="105">
        <v>-27263167.809999995</v>
      </c>
      <c r="C10" s="105">
        <v>-19449889.389999997</v>
      </c>
      <c r="D10" s="105">
        <v>-5111276.8900000006</v>
      </c>
      <c r="E10" s="105">
        <v>-401154.47</v>
      </c>
      <c r="F10" s="105">
        <v>-116288.92000000001</v>
      </c>
      <c r="G10" s="105">
        <v>210403</v>
      </c>
      <c r="H10" s="106">
        <f>SUM(B10:G10)</f>
        <v>-52131374.479999989</v>
      </c>
      <c r="J10">
        <f>A10</f>
        <v>201901</v>
      </c>
      <c r="K10" s="105">
        <v>-13042794.65</v>
      </c>
      <c r="L10" s="105">
        <v>-8038966.5800000001</v>
      </c>
      <c r="M10" s="105">
        <v>-3433669.0599999996</v>
      </c>
      <c r="N10" s="105">
        <v>-223276.39000000007</v>
      </c>
      <c r="O10" s="105">
        <v>-24045.93</v>
      </c>
      <c r="P10" s="105">
        <v>678188</v>
      </c>
      <c r="Q10" s="105">
        <v>-2247.09</v>
      </c>
      <c r="R10" s="105">
        <v>-6094.4400000000005</v>
      </c>
      <c r="S10" s="105">
        <v>-5302.0999999999995</v>
      </c>
      <c r="T10" s="114">
        <f>SUM(K10:S10)</f>
        <v>-24098208.240000002</v>
      </c>
      <c r="V10">
        <f>J10</f>
        <v>201901</v>
      </c>
      <c r="W10" s="105">
        <v>-13140470.119999997</v>
      </c>
      <c r="X10" s="105">
        <v>-6206908.8000000017</v>
      </c>
      <c r="Y10" s="105">
        <v>-169226.46999999997</v>
      </c>
      <c r="Z10" s="105">
        <v>0</v>
      </c>
      <c r="AA10" s="105">
        <v>-30583.139999999996</v>
      </c>
      <c r="AB10" s="105">
        <v>-124679</v>
      </c>
      <c r="AC10" s="105">
        <v>-495713.18</v>
      </c>
      <c r="AD10" s="114">
        <f t="shared" ref="AD10:AD18" si="0">SUM(W10:AC10)</f>
        <v>-20167580.709999997</v>
      </c>
      <c r="AF10">
        <f>V10</f>
        <v>201901</v>
      </c>
      <c r="AG10" s="105">
        <v>-6005330.3500000006</v>
      </c>
      <c r="AH10" s="105">
        <v>-2474409.36</v>
      </c>
      <c r="AI10" s="105">
        <v>-113784.79999999999</v>
      </c>
      <c r="AJ10" s="105">
        <v>0</v>
      </c>
      <c r="AK10" s="105">
        <v>-4023.3700000000003</v>
      </c>
      <c r="AL10" s="105">
        <v>-143326</v>
      </c>
      <c r="AM10" s="105">
        <v>-47622.189999999995</v>
      </c>
      <c r="AN10" s="114">
        <f>SUM(AG10:AM10)</f>
        <v>-8788496.0700000003</v>
      </c>
    </row>
    <row r="11" spans="1:40" x14ac:dyDescent="0.2">
      <c r="A11">
        <f>A10+1</f>
        <v>201902</v>
      </c>
      <c r="B11" s="105">
        <v>-25312501.450000007</v>
      </c>
      <c r="C11" s="105">
        <v>-18658939.569999997</v>
      </c>
      <c r="D11" s="105">
        <v>-5006758.2000000011</v>
      </c>
      <c r="E11" s="105">
        <v>-415220.33999999997</v>
      </c>
      <c r="F11" s="105">
        <v>-112828.12000000002</v>
      </c>
      <c r="G11" s="105">
        <v>718005</v>
      </c>
      <c r="H11" s="106">
        <f t="shared" ref="H11:H21" si="1">SUM(B11:G11)</f>
        <v>-48788242.680000007</v>
      </c>
      <c r="J11">
        <f>J10+1</f>
        <v>201902</v>
      </c>
      <c r="K11" s="105">
        <v>-12756910.640000002</v>
      </c>
      <c r="L11" s="105">
        <v>-7983042.4200000009</v>
      </c>
      <c r="M11" s="105">
        <v>-3635579.209999999</v>
      </c>
      <c r="N11" s="105">
        <v>-225587.49</v>
      </c>
      <c r="O11" s="105">
        <v>-24186.21</v>
      </c>
      <c r="P11" s="105">
        <v>509737</v>
      </c>
      <c r="Q11" s="105">
        <v>-2829.29</v>
      </c>
      <c r="R11" s="105">
        <v>-5578.41</v>
      </c>
      <c r="S11" s="105">
        <v>-5918.0999999999995</v>
      </c>
      <c r="T11" s="114">
        <f t="shared" ref="T11:T21" si="2">SUM(K11:S11)</f>
        <v>-24129894.770000003</v>
      </c>
      <c r="V11">
        <f>V10+1</f>
        <v>201902</v>
      </c>
      <c r="W11" s="105">
        <v>-13417619.069999998</v>
      </c>
      <c r="X11" s="105">
        <v>-6614272.8599999985</v>
      </c>
      <c r="Y11" s="105">
        <v>-188646.73</v>
      </c>
      <c r="Z11" s="105">
        <v>0</v>
      </c>
      <c r="AA11" s="105">
        <v>-33758.11</v>
      </c>
      <c r="AB11" s="105">
        <v>-422570</v>
      </c>
      <c r="AC11" s="105">
        <v>-492064.82</v>
      </c>
      <c r="AD11" s="114">
        <f t="shared" si="0"/>
        <v>-21168931.589999996</v>
      </c>
      <c r="AF11">
        <f>AF10+1</f>
        <v>201902</v>
      </c>
      <c r="AG11" s="105">
        <v>-6474463.3399999999</v>
      </c>
      <c r="AH11" s="105">
        <v>-2652092.9299999997</v>
      </c>
      <c r="AI11" s="105">
        <v>-119698.94</v>
      </c>
      <c r="AJ11" s="105">
        <v>0</v>
      </c>
      <c r="AK11" s="105">
        <v>-4161.75</v>
      </c>
      <c r="AL11" s="105">
        <v>-366040</v>
      </c>
      <c r="AM11" s="105">
        <v>-53335.040000000001</v>
      </c>
      <c r="AN11" s="114">
        <f t="shared" ref="AN11:AN21" si="3">SUM(AG11:AM11)</f>
        <v>-9669791.9999999981</v>
      </c>
    </row>
    <row r="12" spans="1:40" x14ac:dyDescent="0.2">
      <c r="A12">
        <f t="shared" ref="A12:A21" si="4">A11+1</f>
        <v>201903</v>
      </c>
      <c r="B12" s="105">
        <v>-27807428.570000004</v>
      </c>
      <c r="C12" s="105">
        <v>-19611119.969999999</v>
      </c>
      <c r="D12" s="105">
        <v>-4813373.1700000009</v>
      </c>
      <c r="E12" s="105">
        <v>-411792.99</v>
      </c>
      <c r="F12" s="105">
        <v>-117583.22000000002</v>
      </c>
      <c r="G12" s="105">
        <v>2737167</v>
      </c>
      <c r="H12" s="106">
        <f t="shared" si="1"/>
        <v>-50024130.920000009</v>
      </c>
      <c r="J12">
        <f t="shared" ref="J12:J21" si="5">J11+1</f>
        <v>201903</v>
      </c>
      <c r="K12" s="105">
        <v>-13022320.899999997</v>
      </c>
      <c r="L12" s="105">
        <v>-8025652.7600000007</v>
      </c>
      <c r="M12" s="105">
        <v>-3368001.4999999995</v>
      </c>
      <c r="N12" s="105">
        <v>-226087.81000000003</v>
      </c>
      <c r="O12" s="105">
        <v>-23227.56</v>
      </c>
      <c r="P12" s="105">
        <v>764460</v>
      </c>
      <c r="Q12" s="105">
        <v>-2672.85</v>
      </c>
      <c r="R12" s="105">
        <v>-5480.28</v>
      </c>
      <c r="S12" s="105">
        <v>-5987.89</v>
      </c>
      <c r="T12" s="114">
        <f t="shared" si="2"/>
        <v>-23914971.549999997</v>
      </c>
      <c r="V12">
        <f t="shared" ref="V12:V21" si="6">V11+1</f>
        <v>201903</v>
      </c>
      <c r="W12" s="105">
        <v>-14692770.470000001</v>
      </c>
      <c r="X12" s="105">
        <v>-7022933.46</v>
      </c>
      <c r="Y12" s="105">
        <v>-190839.25999999998</v>
      </c>
      <c r="Z12" s="105">
        <v>0</v>
      </c>
      <c r="AA12" s="105">
        <v>-34640.42</v>
      </c>
      <c r="AB12" s="105">
        <v>6152737</v>
      </c>
      <c r="AC12" s="105">
        <v>-497527.06</v>
      </c>
      <c r="AD12" s="114">
        <f t="shared" si="0"/>
        <v>-16285973.670000004</v>
      </c>
      <c r="AF12">
        <f t="shared" ref="AF12:AF21" si="7">AF11+1</f>
        <v>201903</v>
      </c>
      <c r="AG12" s="105">
        <v>-6574812.3199999994</v>
      </c>
      <c r="AH12" s="105">
        <v>-2762833.37</v>
      </c>
      <c r="AI12" s="105">
        <v>-120194.18999999999</v>
      </c>
      <c r="AJ12" s="105">
        <v>0</v>
      </c>
      <c r="AK12" s="105">
        <v>-4769.91</v>
      </c>
      <c r="AL12" s="105">
        <v>2634617</v>
      </c>
      <c r="AM12" s="105">
        <v>-47980.85</v>
      </c>
      <c r="AN12" s="114">
        <f t="shared" si="3"/>
        <v>-6875973.6399999987</v>
      </c>
    </row>
    <row r="13" spans="1:40" x14ac:dyDescent="0.2">
      <c r="A13">
        <f t="shared" si="4"/>
        <v>201904</v>
      </c>
      <c r="B13" s="105">
        <v>-19344805.460000001</v>
      </c>
      <c r="C13" s="105">
        <v>-17781398.290000003</v>
      </c>
      <c r="D13" s="105">
        <v>-5080110.290000001</v>
      </c>
      <c r="E13" s="105">
        <v>-396035.97</v>
      </c>
      <c r="F13" s="105">
        <v>-97865.45</v>
      </c>
      <c r="G13" s="105">
        <v>2979247</v>
      </c>
      <c r="H13" s="106">
        <f t="shared" si="1"/>
        <v>-39720968.460000001</v>
      </c>
      <c r="J13">
        <f t="shared" si="5"/>
        <v>201904</v>
      </c>
      <c r="K13" s="105">
        <v>-9576962.660000002</v>
      </c>
      <c r="L13" s="105">
        <v>-7238436.669999999</v>
      </c>
      <c r="M13" s="105">
        <v>-4504977.7299999995</v>
      </c>
      <c r="N13" s="105">
        <v>-224452.75000000003</v>
      </c>
      <c r="O13" s="105">
        <v>-18037.28</v>
      </c>
      <c r="P13" s="105">
        <v>1467310</v>
      </c>
      <c r="Q13" s="105">
        <v>-1851.56</v>
      </c>
      <c r="R13" s="105">
        <v>-3843.67</v>
      </c>
      <c r="S13" s="105">
        <v>-4330.88</v>
      </c>
      <c r="T13" s="114">
        <f t="shared" si="2"/>
        <v>-20105583.200000003</v>
      </c>
      <c r="V13">
        <f t="shared" si="6"/>
        <v>201904</v>
      </c>
      <c r="W13" s="105">
        <v>-7872208.6500000022</v>
      </c>
      <c r="X13" s="105">
        <v>-3961015.7399999993</v>
      </c>
      <c r="Y13" s="105">
        <v>-118416.94000000002</v>
      </c>
      <c r="Z13" s="105">
        <v>0</v>
      </c>
      <c r="AA13" s="105">
        <v>-19936.07</v>
      </c>
      <c r="AB13" s="105">
        <v>2472384</v>
      </c>
      <c r="AC13" s="105">
        <v>-474699.51999999996</v>
      </c>
      <c r="AD13" s="114">
        <f t="shared" si="0"/>
        <v>-9973892.9199999999</v>
      </c>
      <c r="AF13">
        <f t="shared" si="7"/>
        <v>201904</v>
      </c>
      <c r="AG13" s="105">
        <v>-3767171.0700000003</v>
      </c>
      <c r="AH13" s="105">
        <v>-1546655.9999999998</v>
      </c>
      <c r="AI13" s="105">
        <v>-93180.779999999984</v>
      </c>
      <c r="AJ13" s="105">
        <v>0</v>
      </c>
      <c r="AK13" s="105">
        <v>-2525.63</v>
      </c>
      <c r="AL13" s="105">
        <v>982667</v>
      </c>
      <c r="AM13" s="105">
        <v>-51415.29</v>
      </c>
      <c r="AN13" s="114">
        <f t="shared" si="3"/>
        <v>-4478281.7700000005</v>
      </c>
    </row>
    <row r="14" spans="1:40" x14ac:dyDescent="0.2">
      <c r="A14">
        <f t="shared" si="4"/>
        <v>201905</v>
      </c>
      <c r="B14" s="105">
        <v>-16388720.179999996</v>
      </c>
      <c r="C14" s="105">
        <v>-17466214.809999995</v>
      </c>
      <c r="D14" s="105">
        <v>-5038048.1400000006</v>
      </c>
      <c r="E14" s="105">
        <v>-415311.35999999999</v>
      </c>
      <c r="F14" s="105">
        <v>-93337.700000000026</v>
      </c>
      <c r="G14" s="105">
        <v>-1129762</v>
      </c>
      <c r="H14" s="106">
        <f t="shared" si="1"/>
        <v>-40531394.189999998</v>
      </c>
      <c r="J14">
        <f t="shared" si="5"/>
        <v>201905</v>
      </c>
      <c r="K14" s="105">
        <v>-7726920.5399999982</v>
      </c>
      <c r="L14" s="105">
        <v>-6760046.0200000014</v>
      </c>
      <c r="M14" s="105">
        <v>-4208777.0699999994</v>
      </c>
      <c r="N14" s="105">
        <v>-222357.76000000004</v>
      </c>
      <c r="O14" s="105">
        <v>-15005.86</v>
      </c>
      <c r="P14" s="105">
        <v>-141758</v>
      </c>
      <c r="Q14" s="105">
        <v>-1139.92</v>
      </c>
      <c r="R14" s="105">
        <v>-2501.8700000000003</v>
      </c>
      <c r="S14" s="105">
        <v>-2002.63</v>
      </c>
      <c r="T14" s="114">
        <f t="shared" si="2"/>
        <v>-19080509.670000002</v>
      </c>
      <c r="V14">
        <f t="shared" si="6"/>
        <v>201905</v>
      </c>
      <c r="W14" s="105">
        <v>-5134407.5600000005</v>
      </c>
      <c r="X14" s="105">
        <v>-2346537.0000000005</v>
      </c>
      <c r="Y14" s="105">
        <v>-89253.08</v>
      </c>
      <c r="Z14" s="105">
        <v>0</v>
      </c>
      <c r="AA14" s="105">
        <v>-11140.27</v>
      </c>
      <c r="AB14" s="105">
        <v>1888888</v>
      </c>
      <c r="AC14" s="105">
        <v>-410976.04000000004</v>
      </c>
      <c r="AD14" s="114">
        <f t="shared" si="0"/>
        <v>-6103425.9500000002</v>
      </c>
      <c r="AF14">
        <f t="shared" si="7"/>
        <v>201905</v>
      </c>
      <c r="AG14" s="105">
        <v>-2398680.96</v>
      </c>
      <c r="AH14" s="105">
        <v>-977436.2</v>
      </c>
      <c r="AI14" s="105">
        <v>-61890.380000000005</v>
      </c>
      <c r="AJ14" s="105">
        <v>0</v>
      </c>
      <c r="AK14" s="105">
        <v>-1648.5</v>
      </c>
      <c r="AL14" s="105">
        <v>859679</v>
      </c>
      <c r="AM14" s="105">
        <v>-55866.239999999998</v>
      </c>
      <c r="AN14" s="114">
        <f t="shared" si="3"/>
        <v>-2635843.2800000003</v>
      </c>
    </row>
    <row r="15" spans="1:40" x14ac:dyDescent="0.2">
      <c r="A15">
        <f t="shared" si="4"/>
        <v>201906</v>
      </c>
      <c r="B15" s="105">
        <v>-15676333.869999999</v>
      </c>
      <c r="C15" s="105">
        <v>-18317194.170000002</v>
      </c>
      <c r="D15" s="105">
        <v>-5840462.6899999985</v>
      </c>
      <c r="E15" s="105">
        <v>-415973.11999999994</v>
      </c>
      <c r="F15" s="105">
        <v>-90589.299999999988</v>
      </c>
      <c r="G15" s="105">
        <v>-1394883</v>
      </c>
      <c r="H15" s="106">
        <f t="shared" si="1"/>
        <v>-41735436.149999991</v>
      </c>
      <c r="J15">
        <f t="shared" si="5"/>
        <v>201906</v>
      </c>
      <c r="K15" s="105">
        <v>-7485368.3399999989</v>
      </c>
      <c r="L15" s="105">
        <v>-6971312.1800000006</v>
      </c>
      <c r="M15" s="105">
        <v>-4308647.3100000005</v>
      </c>
      <c r="N15" s="105">
        <v>-222387.19</v>
      </c>
      <c r="O15" s="105">
        <v>-18225.599999999999</v>
      </c>
      <c r="P15" s="105">
        <v>-211446</v>
      </c>
      <c r="Q15" s="105">
        <v>-743.7</v>
      </c>
      <c r="R15" s="105">
        <v>-1114.31</v>
      </c>
      <c r="S15" s="105">
        <v>-1114.29</v>
      </c>
      <c r="T15" s="114">
        <f t="shared" si="2"/>
        <v>-19220358.919999998</v>
      </c>
      <c r="V15">
        <f t="shared" si="6"/>
        <v>201906</v>
      </c>
      <c r="W15" s="105">
        <v>-3315978.4299999997</v>
      </c>
      <c r="X15" s="105">
        <v>-1537193.11</v>
      </c>
      <c r="Y15" s="105">
        <v>-74776.72</v>
      </c>
      <c r="Z15" s="105">
        <v>0</v>
      </c>
      <c r="AA15" s="105">
        <v>-5296.6299999999992</v>
      </c>
      <c r="AB15" s="105">
        <v>302534</v>
      </c>
      <c r="AC15" s="105">
        <v>-369814.22</v>
      </c>
      <c r="AD15" s="114">
        <f t="shared" si="0"/>
        <v>-5000525.1099999994</v>
      </c>
      <c r="AF15">
        <f t="shared" si="7"/>
        <v>201906</v>
      </c>
      <c r="AG15" s="105">
        <v>-1514294.79</v>
      </c>
      <c r="AH15" s="105">
        <v>-639867.00000000012</v>
      </c>
      <c r="AI15" s="105">
        <v>-60847.62</v>
      </c>
      <c r="AJ15" s="105">
        <v>0</v>
      </c>
      <c r="AK15" s="105">
        <v>-795.64</v>
      </c>
      <c r="AL15" s="105">
        <v>132727</v>
      </c>
      <c r="AM15" s="105">
        <v>-47827.5</v>
      </c>
      <c r="AN15" s="114">
        <f t="shared" si="3"/>
        <v>-2130905.5500000003</v>
      </c>
    </row>
    <row r="16" spans="1:40" x14ac:dyDescent="0.2">
      <c r="A16">
        <f t="shared" si="4"/>
        <v>201907</v>
      </c>
      <c r="B16" s="105">
        <v>-17420331.93</v>
      </c>
      <c r="C16" s="105">
        <v>-19502527.219999999</v>
      </c>
      <c r="D16" s="105">
        <v>-5932801.1100000022</v>
      </c>
      <c r="E16" s="105">
        <v>-413843.06</v>
      </c>
      <c r="F16" s="105">
        <v>-94629.87000000001</v>
      </c>
      <c r="G16" s="105">
        <v>-2093689</v>
      </c>
      <c r="H16" s="106">
        <f t="shared" si="1"/>
        <v>-45457822.189999998</v>
      </c>
      <c r="J16">
        <f t="shared" si="5"/>
        <v>201907</v>
      </c>
      <c r="K16" s="105">
        <v>-7899767.0899999999</v>
      </c>
      <c r="L16" s="105">
        <v>-7236456.2800000003</v>
      </c>
      <c r="M16" s="105">
        <v>-4144891.9400000004</v>
      </c>
      <c r="N16" s="105">
        <v>-221133.18000000002</v>
      </c>
      <c r="O16" s="105">
        <v>-19379.049999999996</v>
      </c>
      <c r="P16" s="105">
        <v>-853386</v>
      </c>
      <c r="Q16" s="105">
        <v>-607.85</v>
      </c>
      <c r="R16" s="105">
        <v>-1082.6000000000001</v>
      </c>
      <c r="S16" s="105">
        <v>-1015.5</v>
      </c>
      <c r="T16" s="114">
        <f t="shared" si="2"/>
        <v>-20377719.490000006</v>
      </c>
      <c r="V16">
        <f t="shared" si="6"/>
        <v>201907</v>
      </c>
      <c r="W16" s="105">
        <v>-3047993.87</v>
      </c>
      <c r="X16" s="105">
        <v>-1400825.27</v>
      </c>
      <c r="Y16" s="105">
        <v>-71284.819999999992</v>
      </c>
      <c r="Z16" s="105">
        <v>0</v>
      </c>
      <c r="AA16" s="105">
        <v>-4318.8600000000006</v>
      </c>
      <c r="AB16" s="105">
        <v>87310</v>
      </c>
      <c r="AC16" s="105">
        <v>-363062.94</v>
      </c>
      <c r="AD16" s="114">
        <f t="shared" si="0"/>
        <v>-4800175.7600000016</v>
      </c>
      <c r="AF16">
        <f t="shared" si="7"/>
        <v>201907</v>
      </c>
      <c r="AG16" s="105">
        <v>-1268998.54</v>
      </c>
      <c r="AH16" s="105">
        <v>-614206.27999999991</v>
      </c>
      <c r="AI16" s="105">
        <v>-63860.039999999994</v>
      </c>
      <c r="AJ16" s="105">
        <v>0</v>
      </c>
      <c r="AK16" s="105">
        <v>-730.24</v>
      </c>
      <c r="AL16" s="105">
        <v>58811</v>
      </c>
      <c r="AM16" s="105">
        <v>-42023.77</v>
      </c>
      <c r="AN16" s="114">
        <f t="shared" si="3"/>
        <v>-1931007.8699999999</v>
      </c>
    </row>
    <row r="17" spans="1:40" x14ac:dyDescent="0.2">
      <c r="A17">
        <f t="shared" si="4"/>
        <v>201908</v>
      </c>
      <c r="B17" s="105">
        <v>-18863188.499999996</v>
      </c>
      <c r="C17" s="105">
        <v>-20202133.040000003</v>
      </c>
      <c r="D17" s="105">
        <v>-6042599.7999999998</v>
      </c>
      <c r="E17" s="105">
        <v>-391737.58</v>
      </c>
      <c r="F17" s="105">
        <v>-93562.14</v>
      </c>
      <c r="G17" s="105">
        <v>-711436</v>
      </c>
      <c r="H17" s="106">
        <f t="shared" si="1"/>
        <v>-46304657.059999995</v>
      </c>
      <c r="J17">
        <f t="shared" si="5"/>
        <v>201908</v>
      </c>
      <c r="K17" s="105">
        <v>-8747997.6199999992</v>
      </c>
      <c r="L17" s="105">
        <v>-7670089.5800000001</v>
      </c>
      <c r="M17" s="105">
        <v>-4472134.79</v>
      </c>
      <c r="N17" s="105">
        <v>-219110.02999999997</v>
      </c>
      <c r="O17" s="105">
        <v>-21478.899999999998</v>
      </c>
      <c r="P17" s="105">
        <v>-706239</v>
      </c>
      <c r="Q17" s="105">
        <v>-628.04</v>
      </c>
      <c r="R17" s="105">
        <v>-1157.2</v>
      </c>
      <c r="S17" s="105">
        <v>-1085.5</v>
      </c>
      <c r="T17" s="114">
        <f t="shared" si="2"/>
        <v>-21839920.659999996</v>
      </c>
      <c r="V17">
        <f t="shared" si="6"/>
        <v>201908</v>
      </c>
      <c r="W17" s="105">
        <v>-2829038.7299999995</v>
      </c>
      <c r="X17" s="105">
        <v>-1288148.4400000004</v>
      </c>
      <c r="Y17" s="105">
        <v>-69316.5</v>
      </c>
      <c r="Z17" s="105">
        <v>0</v>
      </c>
      <c r="AA17" s="105">
        <v>-4044.0800000000004</v>
      </c>
      <c r="AB17" s="105">
        <v>-177171</v>
      </c>
      <c r="AC17" s="105">
        <v>-369737.32</v>
      </c>
      <c r="AD17" s="114">
        <f t="shared" si="0"/>
        <v>-4737456.07</v>
      </c>
      <c r="AF17">
        <f t="shared" si="7"/>
        <v>201908</v>
      </c>
      <c r="AG17" s="105">
        <v>-1136623.06</v>
      </c>
      <c r="AH17" s="105">
        <v>-586608.1</v>
      </c>
      <c r="AI17" s="105">
        <v>-69756.930000000022</v>
      </c>
      <c r="AJ17" s="105">
        <v>0</v>
      </c>
      <c r="AK17" s="105">
        <v>-694.1</v>
      </c>
      <c r="AL17" s="105">
        <v>-82154</v>
      </c>
      <c r="AM17" s="105">
        <v>-41631.35</v>
      </c>
      <c r="AN17" s="114">
        <f t="shared" si="3"/>
        <v>-1917467.5400000003</v>
      </c>
    </row>
    <row r="18" spans="1:40" x14ac:dyDescent="0.2">
      <c r="A18">
        <f t="shared" si="4"/>
        <v>201909</v>
      </c>
      <c r="B18" s="105">
        <v>-17990423.98</v>
      </c>
      <c r="C18" s="105">
        <v>-19867203.09</v>
      </c>
      <c r="D18" s="105">
        <v>-6046279.8200000003</v>
      </c>
      <c r="E18" s="105">
        <v>-387912.84</v>
      </c>
      <c r="F18" s="105">
        <v>-101400.30999999998</v>
      </c>
      <c r="G18" s="105">
        <v>3823078</v>
      </c>
      <c r="H18" s="106">
        <f t="shared" si="1"/>
        <v>-40570142.040000007</v>
      </c>
      <c r="J18">
        <f t="shared" si="5"/>
        <v>201909</v>
      </c>
      <c r="K18" s="105">
        <v>-8095463.8399999989</v>
      </c>
      <c r="L18" s="105">
        <v>-7637751.2400000002</v>
      </c>
      <c r="M18" s="105">
        <v>-4519327.0300000012</v>
      </c>
      <c r="N18" s="105">
        <v>-214963.62</v>
      </c>
      <c r="O18" s="105">
        <v>-13607.15</v>
      </c>
      <c r="P18" s="105">
        <v>2140198</v>
      </c>
      <c r="Q18" s="105">
        <v>-580.98</v>
      </c>
      <c r="R18" s="105">
        <v>-1239.24</v>
      </c>
      <c r="S18" s="105">
        <v>-1039.8399999999999</v>
      </c>
      <c r="T18" s="114">
        <f t="shared" si="2"/>
        <v>-18343774.939999998</v>
      </c>
      <c r="V18">
        <f t="shared" si="6"/>
        <v>201909</v>
      </c>
      <c r="W18" s="105">
        <v>-2965297.9899999998</v>
      </c>
      <c r="X18" s="105">
        <v>-1361498.17</v>
      </c>
      <c r="Y18" s="105">
        <v>-106676.44</v>
      </c>
      <c r="Z18" s="105">
        <v>0</v>
      </c>
      <c r="AA18" s="105">
        <v>-3903.2400000000007</v>
      </c>
      <c r="AB18" s="105">
        <v>-1151500</v>
      </c>
      <c r="AC18" s="105">
        <v>-400324.47</v>
      </c>
      <c r="AD18" s="114">
        <f t="shared" si="0"/>
        <v>-5989200.3100000005</v>
      </c>
      <c r="AF18">
        <f t="shared" si="7"/>
        <v>201909</v>
      </c>
      <c r="AG18" s="105">
        <v>-1247976.3400000001</v>
      </c>
      <c r="AH18" s="105">
        <v>-595299.45000000007</v>
      </c>
      <c r="AI18" s="105">
        <v>-56338.840000000004</v>
      </c>
      <c r="AJ18" s="105">
        <v>0</v>
      </c>
      <c r="AK18" s="105">
        <v>-733.41</v>
      </c>
      <c r="AL18" s="105">
        <v>-554481</v>
      </c>
      <c r="AM18" s="105">
        <v>-40735.17</v>
      </c>
      <c r="AN18" s="114">
        <f t="shared" si="3"/>
        <v>-2495564.21</v>
      </c>
    </row>
    <row r="19" spans="1:40" ht="13.5" thickBot="1" x14ac:dyDescent="0.25">
      <c r="A19">
        <f t="shared" si="4"/>
        <v>201910</v>
      </c>
      <c r="B19" s="107">
        <v>-17229920.309999999</v>
      </c>
      <c r="C19" s="107">
        <v>-18535751.519999996</v>
      </c>
      <c r="D19" s="107">
        <v>-5288381.0999999996</v>
      </c>
      <c r="E19" s="107">
        <v>-388075.01999999996</v>
      </c>
      <c r="F19" s="107">
        <v>-94369.099999999991</v>
      </c>
      <c r="G19" s="108">
        <v>-3490840</v>
      </c>
      <c r="H19" s="106">
        <f t="shared" si="1"/>
        <v>-45027337.050000004</v>
      </c>
      <c r="J19">
        <f t="shared" si="5"/>
        <v>201910</v>
      </c>
      <c r="K19" s="107">
        <v>-8011849.919999999</v>
      </c>
      <c r="L19" s="107">
        <v>-6961785.8200000003</v>
      </c>
      <c r="M19" s="107">
        <v>-3909438.5200000005</v>
      </c>
      <c r="N19" s="107">
        <v>-222729.73</v>
      </c>
      <c r="O19" s="107">
        <v>-14526.16</v>
      </c>
      <c r="P19" s="108">
        <v>-2387300</v>
      </c>
      <c r="Q19" s="107">
        <v>-1136.6500000000001</v>
      </c>
      <c r="R19" s="107">
        <v>-1797.26</v>
      </c>
      <c r="S19" s="107">
        <v>-3034.44</v>
      </c>
      <c r="T19" s="114">
        <f t="shared" si="2"/>
        <v>-21513598.5</v>
      </c>
      <c r="V19">
        <f t="shared" si="6"/>
        <v>201910</v>
      </c>
      <c r="W19" s="107">
        <v>-5857066.5900000008</v>
      </c>
      <c r="X19" s="108">
        <v>-2666750.7400000002</v>
      </c>
      <c r="Y19" s="107">
        <v>-117482.44</v>
      </c>
      <c r="Z19" s="105">
        <v>0</v>
      </c>
      <c r="AA19" s="107">
        <v>-10244</v>
      </c>
      <c r="AB19" s="108">
        <v>-4014942</v>
      </c>
      <c r="AC19" s="108">
        <v>-387393.33</v>
      </c>
      <c r="AD19" s="114">
        <f t="shared" ref="AD19:AD21" si="8">SUM(W19:AC19)</f>
        <v>-13053879.100000001</v>
      </c>
      <c r="AF19">
        <f t="shared" si="7"/>
        <v>201910</v>
      </c>
      <c r="AG19" s="107">
        <v>-2730306.0500000003</v>
      </c>
      <c r="AH19" s="107">
        <v>-1060687.0599999998</v>
      </c>
      <c r="AI19" s="107">
        <v>-94040.139999999985</v>
      </c>
      <c r="AJ19" s="105">
        <v>0</v>
      </c>
      <c r="AK19" s="107">
        <v>-1580.28</v>
      </c>
      <c r="AL19" s="108">
        <v>-1914417</v>
      </c>
      <c r="AM19" s="107">
        <v>-58324.35</v>
      </c>
      <c r="AN19" s="114">
        <f t="shared" si="3"/>
        <v>-5859354.8799999999</v>
      </c>
    </row>
    <row r="20" spans="1:40" ht="13.5" thickBot="1" x14ac:dyDescent="0.25">
      <c r="A20">
        <f t="shared" si="4"/>
        <v>201911</v>
      </c>
      <c r="B20" s="107">
        <v>-20213381.379999999</v>
      </c>
      <c r="C20" s="107">
        <v>-18051688.020000007</v>
      </c>
      <c r="D20" s="107">
        <v>-5181940.4800000004</v>
      </c>
      <c r="E20" s="107">
        <v>-384881.25</v>
      </c>
      <c r="F20" s="107">
        <v>-96222.319999999992</v>
      </c>
      <c r="G20" s="108">
        <v>-2319733</v>
      </c>
      <c r="H20" s="106">
        <f t="shared" si="1"/>
        <v>-46247846.45000001</v>
      </c>
      <c r="J20">
        <f t="shared" si="5"/>
        <v>201911</v>
      </c>
      <c r="K20" s="107">
        <v>-10281848.119999999</v>
      </c>
      <c r="L20" s="107">
        <v>-7371268.8600000003</v>
      </c>
      <c r="M20" s="107">
        <v>-4503811.62</v>
      </c>
      <c r="N20" s="107">
        <v>-212666.4</v>
      </c>
      <c r="O20" s="107">
        <v>-19791.900000000005</v>
      </c>
      <c r="P20" s="108">
        <v>-1701172</v>
      </c>
      <c r="Q20" s="107">
        <v>-1695.87</v>
      </c>
      <c r="R20" s="107">
        <v>-2654.68</v>
      </c>
      <c r="S20" s="107">
        <v>-4413.6000000000004</v>
      </c>
      <c r="T20" s="114">
        <f t="shared" si="2"/>
        <v>-24099323.050000001</v>
      </c>
      <c r="V20">
        <f t="shared" si="6"/>
        <v>201911</v>
      </c>
      <c r="W20" s="107">
        <v>-9942195.9100000001</v>
      </c>
      <c r="X20" s="108">
        <v>-4688017.22</v>
      </c>
      <c r="Y20" s="107">
        <v>-164504.10999999999</v>
      </c>
      <c r="Z20" s="105">
        <v>0</v>
      </c>
      <c r="AA20" s="107">
        <v>-19452.310000000001</v>
      </c>
      <c r="AB20" s="108">
        <v>-2758935</v>
      </c>
      <c r="AC20" s="108">
        <v>-463342.62</v>
      </c>
      <c r="AD20" s="114">
        <f t="shared" si="8"/>
        <v>-18036447.169999998</v>
      </c>
      <c r="AF20">
        <f t="shared" si="7"/>
        <v>201911</v>
      </c>
      <c r="AG20" s="107">
        <v>-4602140.7</v>
      </c>
      <c r="AH20" s="107">
        <v>-1818822.7300000002</v>
      </c>
      <c r="AI20" s="107">
        <v>-108846.36999999998</v>
      </c>
      <c r="AJ20" s="105">
        <v>0</v>
      </c>
      <c r="AK20" s="107">
        <v>-3047.02</v>
      </c>
      <c r="AL20" s="108">
        <v>-1212926</v>
      </c>
      <c r="AM20" s="107">
        <v>-51840.61</v>
      </c>
      <c r="AN20" s="114">
        <f t="shared" si="3"/>
        <v>-7797623.4300000006</v>
      </c>
    </row>
    <row r="21" spans="1:40" x14ac:dyDescent="0.2">
      <c r="A21">
        <f t="shared" si="4"/>
        <v>201912</v>
      </c>
      <c r="B21" s="109">
        <v>-26547725.259999998</v>
      </c>
      <c r="C21" s="109">
        <v>-20274184.609999999</v>
      </c>
      <c r="D21" s="109">
        <v>-4749277.45</v>
      </c>
      <c r="E21" s="110">
        <v>-356024.94000000006</v>
      </c>
      <c r="F21" s="110">
        <v>-118965.34000000001</v>
      </c>
      <c r="G21" s="111">
        <v>808644</v>
      </c>
      <c r="H21" s="112">
        <f t="shared" si="1"/>
        <v>-51237533.600000001</v>
      </c>
      <c r="J21">
        <f t="shared" si="5"/>
        <v>201912</v>
      </c>
      <c r="K21" s="110">
        <v>-12909157.450000001</v>
      </c>
      <c r="L21" s="110">
        <v>-8033354.54</v>
      </c>
      <c r="M21" s="110">
        <v>-4401942.3899999997</v>
      </c>
      <c r="N21" s="110">
        <v>-234919.67</v>
      </c>
      <c r="O21" s="110">
        <v>-22694.549999999996</v>
      </c>
      <c r="P21" s="111">
        <v>-58788</v>
      </c>
      <c r="Q21" s="110">
        <v>-1935.7</v>
      </c>
      <c r="R21" s="110">
        <v>-2417.02</v>
      </c>
      <c r="S21" s="110">
        <v>-5194.08</v>
      </c>
      <c r="T21" s="114">
        <f t="shared" si="2"/>
        <v>-25670403.400000002</v>
      </c>
      <c r="V21">
        <f t="shared" si="6"/>
        <v>201912</v>
      </c>
      <c r="W21" s="110">
        <v>-14936404.77</v>
      </c>
      <c r="X21" s="111">
        <v>-7320168.6399999997</v>
      </c>
      <c r="Y21" s="110">
        <v>-204455.26</v>
      </c>
      <c r="Z21" s="116">
        <v>0</v>
      </c>
      <c r="AA21" s="110">
        <v>-32302.91</v>
      </c>
      <c r="AB21" s="111">
        <v>534386</v>
      </c>
      <c r="AC21" s="111">
        <v>-458548.30000000005</v>
      </c>
      <c r="AD21" s="117">
        <f t="shared" si="8"/>
        <v>-22417493.880000003</v>
      </c>
      <c r="AF21">
        <f t="shared" si="7"/>
        <v>201912</v>
      </c>
      <c r="AG21" s="110">
        <v>-6351325.9100000011</v>
      </c>
      <c r="AH21" s="110">
        <v>-2528749.4200000004</v>
      </c>
      <c r="AI21" s="110">
        <v>-130621.50999999998</v>
      </c>
      <c r="AJ21" s="116">
        <v>0</v>
      </c>
      <c r="AK21" s="110">
        <v>-4159.1899999999996</v>
      </c>
      <c r="AL21" s="111">
        <v>531165</v>
      </c>
      <c r="AM21" s="110">
        <v>-48612.450000000004</v>
      </c>
      <c r="AN21" s="114">
        <f t="shared" si="3"/>
        <v>-8532303.4800000004</v>
      </c>
    </row>
    <row r="22" spans="1:40" ht="13.5" thickBot="1" x14ac:dyDescent="0.25">
      <c r="B22" s="113">
        <f>SUM(B10:B21)</f>
        <v>-250057928.69999999</v>
      </c>
      <c r="C22" s="113">
        <f t="shared" ref="C22:H22" si="9">SUM(C10:C21)</f>
        <v>-227718243.69999999</v>
      </c>
      <c r="D22" s="113">
        <f t="shared" si="9"/>
        <v>-64131309.140000001</v>
      </c>
      <c r="E22" s="113">
        <f t="shared" si="9"/>
        <v>-4777962.9400000004</v>
      </c>
      <c r="F22" s="113">
        <f t="shared" si="9"/>
        <v>-1227641.7900000003</v>
      </c>
      <c r="G22" s="113">
        <f t="shared" si="9"/>
        <v>136201</v>
      </c>
      <c r="H22" s="113">
        <f t="shared" si="9"/>
        <v>-547776885.26999998</v>
      </c>
      <c r="K22" s="113">
        <f t="shared" ref="K22:T22" si="10">SUM(K10:K21)</f>
        <v>-119557361.77000001</v>
      </c>
      <c r="L22" s="113">
        <f t="shared" si="10"/>
        <v>-89928162.950000018</v>
      </c>
      <c r="M22" s="113">
        <f t="shared" si="10"/>
        <v>-49411198.170000002</v>
      </c>
      <c r="N22" s="113">
        <f t="shared" si="10"/>
        <v>-2669672.02</v>
      </c>
      <c r="O22" s="113">
        <f t="shared" si="10"/>
        <v>-234206.14999999997</v>
      </c>
      <c r="P22" s="113">
        <f t="shared" si="10"/>
        <v>-500196</v>
      </c>
      <c r="Q22" s="113">
        <f t="shared" si="10"/>
        <v>-18069.5</v>
      </c>
      <c r="R22" s="113">
        <f t="shared" si="10"/>
        <v>-34960.980000000003</v>
      </c>
      <c r="S22" s="113">
        <f t="shared" si="10"/>
        <v>-40438.850000000006</v>
      </c>
      <c r="T22" s="115">
        <f t="shared" si="10"/>
        <v>-262394266.39000002</v>
      </c>
      <c r="W22" s="113">
        <f t="shared" ref="W22:AD22" si="11">SUM(W10:W21)</f>
        <v>-97151452.159999996</v>
      </c>
      <c r="X22" s="113">
        <f t="shared" si="11"/>
        <v>-46414269.450000003</v>
      </c>
      <c r="Y22" s="113">
        <f t="shared" si="11"/>
        <v>-1564878.7699999998</v>
      </c>
      <c r="Z22" s="113">
        <f t="shared" si="11"/>
        <v>0</v>
      </c>
      <c r="AA22" s="113">
        <f t="shared" si="11"/>
        <v>-209620.03999999998</v>
      </c>
      <c r="AB22" s="113">
        <f t="shared" si="11"/>
        <v>2788442</v>
      </c>
      <c r="AC22" s="113">
        <f t="shared" si="11"/>
        <v>-5183203.8199999994</v>
      </c>
      <c r="AD22" s="113">
        <f t="shared" si="11"/>
        <v>-147734982.24000001</v>
      </c>
      <c r="AG22" s="113">
        <f t="shared" ref="AG22:AN22" si="12">SUM(AG10:AG21)</f>
        <v>-44072123.430000007</v>
      </c>
      <c r="AH22" s="113">
        <f t="shared" si="12"/>
        <v>-18257667.899999999</v>
      </c>
      <c r="AI22" s="113">
        <f t="shared" si="12"/>
        <v>-1093060.54</v>
      </c>
      <c r="AJ22" s="113">
        <f t="shared" si="12"/>
        <v>0</v>
      </c>
      <c r="AK22" s="113">
        <f t="shared" si="12"/>
        <v>-28869.039999999997</v>
      </c>
      <c r="AL22" s="113">
        <f t="shared" si="12"/>
        <v>926322</v>
      </c>
      <c r="AM22" s="113">
        <f t="shared" si="12"/>
        <v>-587214.80999999994</v>
      </c>
      <c r="AN22" s="115">
        <f t="shared" si="12"/>
        <v>-63112613.719999999</v>
      </c>
    </row>
    <row r="23" spans="1:40" s="97" customFormat="1" x14ac:dyDescent="0.2">
      <c r="H23" s="95" t="s">
        <v>94</v>
      </c>
      <c r="T23" s="95" t="s">
        <v>94</v>
      </c>
      <c r="AD23" s="95" t="s">
        <v>94</v>
      </c>
      <c r="AN23" s="95" t="s">
        <v>94</v>
      </c>
    </row>
  </sheetData>
  <pageMargins left="0.7" right="0.7" top="0.75" bottom="0.75" header="0.3" footer="0.3"/>
  <pageSetup scale="80" orientation="landscape" r:id="rId1"/>
  <colBreaks count="3" manualBreakCount="3">
    <brk id="9" max="1048575" man="1"/>
    <brk id="21" max="1048575" man="1"/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.140625" defaultRowHeight="12.75" x14ac:dyDescent="0.2"/>
  <cols>
    <col min="1" max="16384" width="9.140625" style="102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M29"/>
  <sheetViews>
    <sheetView workbookViewId="0">
      <selection activeCell="K23" sqref="K23"/>
    </sheetView>
  </sheetViews>
  <sheetFormatPr defaultColWidth="9.140625" defaultRowHeight="12.75" x14ac:dyDescent="0.2"/>
  <cols>
    <col min="1" max="1" width="24.5703125" style="2" customWidth="1"/>
    <col min="2" max="5" width="11.7109375" style="2" customWidth="1"/>
    <col min="6" max="6" width="10.140625" style="2" bestFit="1" customWidth="1"/>
    <col min="7" max="9" width="9.140625" style="2"/>
    <col min="10" max="10" width="9.42578125" style="2" customWidth="1"/>
    <col min="11" max="11" width="15.28515625" style="2" customWidth="1"/>
    <col min="12" max="12" width="12.42578125" style="38" customWidth="1"/>
    <col min="13" max="13" width="13" style="2" customWidth="1"/>
    <col min="14" max="16384" width="9.140625" style="2"/>
  </cols>
  <sheetData>
    <row r="1" spans="1:13" x14ac:dyDescent="0.2">
      <c r="K1" s="40" t="s">
        <v>81</v>
      </c>
    </row>
    <row r="2" spans="1:13" x14ac:dyDescent="0.2">
      <c r="A2" s="2" t="s">
        <v>70</v>
      </c>
      <c r="B2" s="35" t="s">
        <v>151</v>
      </c>
      <c r="C2" s="29"/>
      <c r="F2" s="38"/>
      <c r="G2" s="38"/>
      <c r="H2" s="38"/>
      <c r="K2" s="47"/>
    </row>
    <row r="3" spans="1:13" x14ac:dyDescent="0.2">
      <c r="B3" s="29"/>
      <c r="C3" s="29"/>
      <c r="K3" s="56"/>
    </row>
    <row r="4" spans="1:13" x14ac:dyDescent="0.2">
      <c r="A4" s="2" t="s">
        <v>76</v>
      </c>
      <c r="B4" s="36" t="s">
        <v>77</v>
      </c>
      <c r="K4" s="56"/>
    </row>
    <row r="5" spans="1:13" x14ac:dyDescent="0.2">
      <c r="B5" s="29"/>
      <c r="C5" s="29"/>
      <c r="K5" s="56"/>
    </row>
    <row r="6" spans="1:13" x14ac:dyDescent="0.2">
      <c r="A6" s="1" t="s">
        <v>88</v>
      </c>
      <c r="B6" s="29"/>
      <c r="C6" s="29"/>
      <c r="K6" s="56"/>
    </row>
    <row r="7" spans="1:13" ht="27" customHeight="1" x14ac:dyDescent="0.2">
      <c r="A7" s="42" t="s">
        <v>71</v>
      </c>
      <c r="B7" s="104">
        <v>2E-3</v>
      </c>
      <c r="C7" s="159" t="s">
        <v>155</v>
      </c>
      <c r="D7" s="159"/>
      <c r="E7" s="159"/>
      <c r="F7" s="159"/>
      <c r="G7" s="159"/>
      <c r="H7" s="159"/>
      <c r="I7" s="159"/>
      <c r="J7" s="159"/>
      <c r="K7" s="48" t="s">
        <v>154</v>
      </c>
      <c r="L7" s="44"/>
    </row>
    <row r="8" spans="1:13" ht="27" customHeight="1" x14ac:dyDescent="0.2">
      <c r="A8" s="42" t="s">
        <v>72</v>
      </c>
      <c r="B8" s="120">
        <v>2.5929999999999998E-3</v>
      </c>
      <c r="C8" s="159" t="s">
        <v>153</v>
      </c>
      <c r="D8" s="159"/>
      <c r="E8" s="159"/>
      <c r="F8" s="159"/>
      <c r="G8" s="159"/>
      <c r="H8" s="159"/>
      <c r="I8" s="159"/>
      <c r="J8" s="159"/>
      <c r="K8" s="48" t="s">
        <v>154</v>
      </c>
    </row>
    <row r="9" spans="1:13" x14ac:dyDescent="0.2">
      <c r="B9" s="29"/>
      <c r="C9" s="2" t="s">
        <v>92</v>
      </c>
      <c r="K9" s="16"/>
    </row>
    <row r="10" spans="1:13" x14ac:dyDescent="0.2">
      <c r="A10" s="1" t="s">
        <v>89</v>
      </c>
      <c r="B10" s="39">
        <v>0.21</v>
      </c>
      <c r="J10" s="2">
        <v>88988789</v>
      </c>
      <c r="K10" s="16">
        <v>2951251</v>
      </c>
    </row>
    <row r="11" spans="1:13" x14ac:dyDescent="0.2">
      <c r="K11" s="16"/>
    </row>
    <row r="12" spans="1:13" x14ac:dyDescent="0.2">
      <c r="B12" s="16" t="s">
        <v>73</v>
      </c>
      <c r="C12" s="16" t="s">
        <v>74</v>
      </c>
      <c r="D12" s="16" t="s">
        <v>75</v>
      </c>
      <c r="E12" s="16" t="s">
        <v>80</v>
      </c>
      <c r="F12" s="156" t="s">
        <v>90</v>
      </c>
      <c r="G12" s="157"/>
      <c r="H12" s="157"/>
      <c r="I12" s="157"/>
      <c r="J12" s="157"/>
      <c r="K12" s="16"/>
      <c r="L12" s="56" t="s">
        <v>97</v>
      </c>
      <c r="M12" s="16" t="s">
        <v>100</v>
      </c>
    </row>
    <row r="13" spans="1:13" x14ac:dyDescent="0.2">
      <c r="A13" s="1" t="s">
        <v>83</v>
      </c>
      <c r="B13" s="118">
        <v>547776886</v>
      </c>
      <c r="C13" s="118">
        <f>142551778+5183204</f>
        <v>147734982</v>
      </c>
      <c r="D13" s="118">
        <v>262394266</v>
      </c>
      <c r="E13" s="118">
        <f>62525399+587215</f>
        <v>63112614</v>
      </c>
      <c r="F13" s="157"/>
      <c r="G13" s="157"/>
      <c r="H13" s="157"/>
      <c r="I13" s="157"/>
      <c r="J13" s="157"/>
      <c r="K13" s="47" t="s">
        <v>154</v>
      </c>
      <c r="L13" s="118">
        <f>88988789+2951251</f>
        <v>91940040</v>
      </c>
      <c r="M13" s="61">
        <f>SUM(B13:E13,L13)</f>
        <v>1112958788</v>
      </c>
    </row>
    <row r="14" spans="1:13" x14ac:dyDescent="0.2">
      <c r="A14" s="2" t="s">
        <v>148</v>
      </c>
      <c r="B14" s="101">
        <f>B13+'C-UE-3'!H22</f>
        <v>0.73000001907348633</v>
      </c>
      <c r="C14" s="101">
        <f>C13+'C-UE-3'!AD22</f>
        <v>-0.24000000953674316</v>
      </c>
      <c r="D14" s="101">
        <f>D13+'C-UE-3'!T22</f>
        <v>-0.39000001549720764</v>
      </c>
      <c r="E14" s="101">
        <f>E13+'C-UE-3'!AN22</f>
        <v>0.2800000011920929</v>
      </c>
      <c r="F14" s="41"/>
      <c r="G14" s="41"/>
      <c r="H14" s="41"/>
      <c r="I14" s="41"/>
      <c r="J14" s="41"/>
      <c r="K14" s="47"/>
    </row>
    <row r="15" spans="1:13" x14ac:dyDescent="0.2">
      <c r="K15" s="16"/>
    </row>
    <row r="16" spans="1:13" ht="12.75" customHeight="1" x14ac:dyDescent="0.2">
      <c r="A16" s="1" t="s">
        <v>85</v>
      </c>
      <c r="B16" s="16" t="s">
        <v>73</v>
      </c>
      <c r="C16" s="16" t="s">
        <v>74</v>
      </c>
      <c r="E16" s="43" t="s">
        <v>84</v>
      </c>
      <c r="K16" s="16"/>
    </row>
    <row r="17" spans="1:12" x14ac:dyDescent="0.2">
      <c r="A17" s="158"/>
      <c r="B17" s="104">
        <v>3.8733999999999998E-2</v>
      </c>
      <c r="C17" s="104">
        <v>3.8519999999999999E-2</v>
      </c>
      <c r="G17" s="36"/>
      <c r="H17" s="36"/>
      <c r="I17" s="36"/>
      <c r="K17" s="47" t="s">
        <v>152</v>
      </c>
    </row>
    <row r="18" spans="1:12" x14ac:dyDescent="0.2">
      <c r="A18" s="158"/>
      <c r="B18" s="35"/>
      <c r="C18" s="35"/>
      <c r="D18" s="38"/>
      <c r="E18" s="38"/>
      <c r="G18" s="37"/>
      <c r="H18" s="37"/>
      <c r="I18" s="37"/>
      <c r="K18" s="16"/>
    </row>
    <row r="19" spans="1:12" x14ac:dyDescent="0.2">
      <c r="B19" s="37" t="s">
        <v>91</v>
      </c>
      <c r="D19" s="33"/>
      <c r="E19" s="33"/>
      <c r="F19" s="32"/>
      <c r="K19" s="16"/>
    </row>
    <row r="20" spans="1:12" x14ac:dyDescent="0.2">
      <c r="A20" s="1"/>
      <c r="B20" s="1"/>
      <c r="C20" s="1"/>
      <c r="D20" s="34"/>
      <c r="E20" s="34"/>
      <c r="F20" s="32"/>
      <c r="K20" s="16"/>
    </row>
    <row r="21" spans="1:12" x14ac:dyDescent="0.2">
      <c r="D21" s="32"/>
      <c r="E21" s="32"/>
      <c r="F21" s="32"/>
      <c r="K21" s="16"/>
    </row>
    <row r="22" spans="1:12" x14ac:dyDescent="0.2">
      <c r="A22" s="1" t="s">
        <v>86</v>
      </c>
      <c r="B22" s="1"/>
      <c r="C22" s="1"/>
      <c r="D22" s="119">
        <v>6.9250000000000006E-2</v>
      </c>
      <c r="E22" s="27"/>
      <c r="F22" s="32"/>
      <c r="K22" s="47" t="s">
        <v>154</v>
      </c>
      <c r="L22" s="37"/>
    </row>
    <row r="23" spans="1:12" x14ac:dyDescent="0.2">
      <c r="A23" s="65" t="s">
        <v>150</v>
      </c>
      <c r="B23" s="49"/>
      <c r="C23" s="1"/>
      <c r="D23" s="119">
        <v>0.19870499999999999</v>
      </c>
      <c r="E23" s="35" t="s">
        <v>149</v>
      </c>
      <c r="F23" s="32"/>
      <c r="K23" s="47" t="s">
        <v>152</v>
      </c>
    </row>
    <row r="24" spans="1:12" x14ac:dyDescent="0.2">
      <c r="A24" s="60" t="s">
        <v>99</v>
      </c>
      <c r="D24" s="38">
        <f>(D13+E13)/M13</f>
        <v>0.29246984121032882</v>
      </c>
      <c r="E24" s="1" t="s">
        <v>87</v>
      </c>
      <c r="K24" s="47" t="s">
        <v>152</v>
      </c>
    </row>
    <row r="27" spans="1:12" x14ac:dyDescent="0.2">
      <c r="C27" s="37"/>
      <c r="D27" s="38"/>
      <c r="E27" s="38"/>
      <c r="F27" s="38"/>
      <c r="G27" s="38"/>
      <c r="H27" s="38"/>
      <c r="I27" s="38"/>
      <c r="J27" s="38"/>
    </row>
    <row r="28" spans="1:12" x14ac:dyDescent="0.2">
      <c r="E28" s="38"/>
      <c r="F28" s="38"/>
      <c r="G28" s="38"/>
      <c r="H28" s="38"/>
      <c r="I28" s="38"/>
      <c r="J28" s="38"/>
    </row>
    <row r="29" spans="1:12" x14ac:dyDescent="0.2">
      <c r="E29" s="38"/>
      <c r="F29" s="38"/>
      <c r="G29" s="38"/>
      <c r="H29" s="38"/>
      <c r="I29" s="38"/>
      <c r="J29" s="38"/>
    </row>
  </sheetData>
  <mergeCells count="4">
    <mergeCell ref="F12:J13"/>
    <mergeCell ref="A17:A18"/>
    <mergeCell ref="C7:J7"/>
    <mergeCell ref="C8:J8"/>
  </mergeCells>
  <phoneticPr fontId="0" type="noConversion"/>
  <printOptions horizontalCentered="1"/>
  <pageMargins left="0.75" right="0.75" top="0.75" bottom="0.75" header="0.5" footer="0.5"/>
  <pageSetup scale="77" orientation="landscape" horizontalDpi="300" verticalDpi="300" r:id="rId1"/>
  <headerFooter alignWithMargins="0">
    <oddFooter xml:space="preserve">&amp;R&amp;F
&amp;A
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A08A98646D534B82D0990F27BFBC3C" ma:contentTypeVersion="52" ma:contentTypeDescription="" ma:contentTypeScope="" ma:versionID="dd3c9ba9876fec2b89245930455a717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IsConfidential xmlns="dc463f71-b30c-4ab2-9473-d307f9d35888">false</IsConfidential>
    <Date1 xmlns="dc463f71-b30c-4ab2-9473-d307f9d35888">2020-10-30T07:00:00+00:00</Date1>
    <DocumentSetType xmlns="dc463f71-b30c-4ab2-9473-d307f9d35888">Workpapers</DocumentSetType>
    <DocketNumber xmlns="dc463f71-b30c-4ab2-9473-d307f9d35888">200901</DocketNumber>
    <Prefix xmlns="dc463f71-b30c-4ab2-9473-d307f9d35888">UG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Suspended</CaseStatus>
    <OpenedDate xmlns="dc463f71-b30c-4ab2-9473-d307f9d35888">2020-10-30T07:00:00+00:00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B4765B7-EF00-4BA5-9D7A-4E02C57CAB81}"/>
</file>

<file path=customXml/itemProps2.xml><?xml version="1.0" encoding="utf-8"?>
<ds:datastoreItem xmlns:ds="http://schemas.openxmlformats.org/officeDocument/2006/customXml" ds:itemID="{A7429076-E1E4-4342-A4E6-D567678089BB}"/>
</file>

<file path=customXml/itemProps3.xml><?xml version="1.0" encoding="utf-8"?>
<ds:datastoreItem xmlns:ds="http://schemas.openxmlformats.org/officeDocument/2006/customXml" ds:itemID="{7DD55DBA-8F70-4C76-BA52-D592A024C232}"/>
</file>

<file path=customXml/itemProps4.xml><?xml version="1.0" encoding="utf-8"?>
<ds:datastoreItem xmlns:ds="http://schemas.openxmlformats.org/officeDocument/2006/customXml" ds:itemID="{9DBBC056-A19D-42CE-807F-69C2AFE5D8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CF WA Elec</vt:lpstr>
      <vt:lpstr>CF WA Gas</vt:lpstr>
      <vt:lpstr>CF ID Elec</vt:lpstr>
      <vt:lpstr>CF ID Gas</vt:lpstr>
      <vt:lpstr>C-UE-1</vt:lpstr>
      <vt:lpstr>C-UE-2</vt:lpstr>
      <vt:lpstr>C-UE-3</vt:lpstr>
      <vt:lpstr>SharedInputs</vt:lpstr>
      <vt:lpstr>'C-UE-1'!Print_Area</vt:lpstr>
      <vt:lpstr>'C-UE-2'!Print_Area</vt:lpstr>
      <vt:lpstr>'C-UE-1'!Print_Titles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Andrews, Liz</cp:lastModifiedBy>
  <cp:lastPrinted>2020-09-23T21:05:46Z</cp:lastPrinted>
  <dcterms:created xsi:type="dcterms:W3CDTF">1997-04-18T16:56:32Z</dcterms:created>
  <dcterms:modified xsi:type="dcterms:W3CDTF">2020-09-30T23:38:36Z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0x0101006E56B4D1795A2E4DB2F0B01679ED314A0027A08A98646D534B82D0990F27BFBC3C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