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8 ECBR - Power Supply\"/>
    </mc:Choice>
  </mc:AlternateContent>
  <bookViews>
    <workbookView xWindow="0" yWindow="0" windowWidth="28800" windowHeight="12690"/>
  </bookViews>
  <sheets>
    <sheet name="PF Power Supply Adjustments" sheetId="1" r:id="rId1"/>
    <sheet name="Monthly Authorized" sheetId="4" r:id="rId2"/>
    <sheet name="12.2019 Actual" sheetId="3" r:id="rId3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0">'PF Power Supply Adjustments'!$A$1:$T$55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G99" i="3" l="1"/>
  <c r="D99" i="3"/>
  <c r="G33" i="3" l="1"/>
  <c r="X13" i="1" l="1"/>
  <c r="O11" i="1"/>
  <c r="F17" i="1"/>
  <c r="D18" i="1" l="1"/>
  <c r="E43" i="3" l="1"/>
  <c r="E42" i="3"/>
  <c r="E110" i="3" l="1"/>
  <c r="E108" i="3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D107" i="3"/>
  <c r="F107" i="3" s="1"/>
  <c r="F27" i="3" l="1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3" i="1" l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M36" i="1" l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AM38" i="1" l="1"/>
  <c r="AK20" i="1" l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M40" i="1" l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AQ34" i="1" l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<sst xmlns="http://schemas.openxmlformats.org/spreadsheetml/2006/main" count="387" uniqueCount="233">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</sst>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3" fontId="2" fillId="4" borderId="3" xfId="3" applyNumberFormat="1" applyFill="1" applyBorder="1" applyAlignment="1">
      <alignment horizontal="right"/>
    </xf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7" fillId="2" borderId="0" xfId="5" applyFont="1" applyFill="1" applyAlignment="1">
      <alignment horizontal="center"/>
    </xf>
    <xf numFmtId="0" fontId="6" fillId="0" borderId="0" xfId="5" applyFont="1" applyAlignment="1">
      <alignment horizontal="center" vertical="center" wrapText="1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tabSelected="1" view="pageBreakPreview" zoomScale="85" zoomScaleNormal="100" zoomScaleSheetLayoutView="85" workbookViewId="0">
      <selection activeCell="L23" sqref="L2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82" t="s">
        <v>0</v>
      </c>
      <c r="L1" s="182"/>
      <c r="M1" s="182"/>
      <c r="N1" s="182"/>
      <c r="O1" s="182"/>
      <c r="P1" s="2"/>
      <c r="Q1" s="1"/>
      <c r="R1" s="3"/>
      <c r="S1" s="1"/>
      <c r="T1" s="2"/>
      <c r="U1" s="184" t="s">
        <v>0</v>
      </c>
      <c r="V1" s="184"/>
      <c r="W1" s="184"/>
      <c r="X1" s="184"/>
      <c r="Y1" s="184"/>
      <c r="Z1" s="184"/>
      <c r="AA1" s="2"/>
      <c r="AB1" s="1"/>
      <c r="AC1" s="3"/>
      <c r="AD1" s="1"/>
      <c r="AE1" s="2"/>
      <c r="AF1" s="1"/>
      <c r="AG1" s="184" t="s">
        <v>0</v>
      </c>
      <c r="AH1" s="184"/>
      <c r="AI1" s="184"/>
      <c r="AJ1" s="184"/>
      <c r="AK1" s="184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84" t="s">
        <v>136</v>
      </c>
      <c r="L2" s="184"/>
      <c r="M2" s="184"/>
      <c r="N2" s="184"/>
      <c r="O2" s="184"/>
      <c r="P2" s="2"/>
      <c r="Q2" s="4"/>
      <c r="R2" s="3"/>
      <c r="S2" s="94"/>
      <c r="T2" s="2"/>
      <c r="U2" s="184" t="s">
        <v>195</v>
      </c>
      <c r="V2" s="184"/>
      <c r="W2" s="184"/>
      <c r="X2" s="184"/>
      <c r="Y2" s="184"/>
      <c r="Z2" s="184"/>
      <c r="AA2" s="2"/>
      <c r="AB2" s="4"/>
      <c r="AC2" s="3"/>
      <c r="AD2" s="93"/>
      <c r="AE2" s="2"/>
      <c r="AF2" s="8"/>
      <c r="AG2" s="182" t="s">
        <v>52</v>
      </c>
      <c r="AH2" s="182"/>
      <c r="AI2" s="182"/>
      <c r="AJ2" s="182"/>
      <c r="AK2" s="182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86" t="s">
        <v>229</v>
      </c>
      <c r="L3" s="186"/>
      <c r="M3" s="186"/>
      <c r="N3" s="186"/>
      <c r="O3" s="186"/>
      <c r="P3" s="2"/>
      <c r="Q3" s="4"/>
      <c r="R3" s="3"/>
      <c r="S3" s="94" t="s">
        <v>54</v>
      </c>
      <c r="T3" s="2"/>
      <c r="U3" s="186" t="s">
        <v>230</v>
      </c>
      <c r="V3" s="186"/>
      <c r="W3" s="186"/>
      <c r="X3" s="186"/>
      <c r="Y3" s="186"/>
      <c r="Z3" s="186"/>
      <c r="AA3" s="2"/>
      <c r="AB3" s="4"/>
      <c r="AC3" s="3"/>
      <c r="AD3" s="153" t="s">
        <v>204</v>
      </c>
      <c r="AE3" s="2"/>
      <c r="AF3" s="54"/>
      <c r="AG3" s="182"/>
      <c r="AH3" s="182"/>
      <c r="AI3" s="182"/>
      <c r="AJ3" s="182"/>
      <c r="AK3" s="182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86"/>
      <c r="L4" s="186"/>
      <c r="M4" s="186"/>
      <c r="N4" s="186"/>
      <c r="O4" s="186"/>
      <c r="P4" s="2"/>
      <c r="Q4" s="4"/>
      <c r="R4" s="3"/>
      <c r="S4" s="128">
        <v>2.1800000000000002</v>
      </c>
      <c r="T4" s="2"/>
      <c r="U4" s="186"/>
      <c r="V4" s="186"/>
      <c r="W4" s="186"/>
      <c r="X4" s="186"/>
      <c r="Y4" s="186"/>
      <c r="Z4" s="186"/>
      <c r="AA4" s="2"/>
      <c r="AB4" s="4"/>
      <c r="AC4" s="3"/>
      <c r="AD4" s="128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216</v>
      </c>
      <c r="B5" s="1"/>
      <c r="C5" s="1"/>
      <c r="D5" s="1"/>
      <c r="E5" s="1"/>
      <c r="F5" s="1"/>
      <c r="G5" s="1"/>
      <c r="H5" s="1"/>
      <c r="I5" s="2"/>
      <c r="J5" s="50"/>
      <c r="K5" s="186"/>
      <c r="L5" s="186"/>
      <c r="M5" s="186"/>
      <c r="N5" s="186"/>
      <c r="O5" s="186"/>
      <c r="P5" s="2"/>
      <c r="Q5" s="4" t="s">
        <v>1</v>
      </c>
      <c r="R5" s="3"/>
      <c r="S5" s="94" t="s">
        <v>2</v>
      </c>
      <c r="T5" s="2"/>
      <c r="U5" s="186"/>
      <c r="V5" s="186"/>
      <c r="W5" s="186"/>
      <c r="X5" s="186"/>
      <c r="Y5" s="186"/>
      <c r="Z5" s="186"/>
      <c r="AA5" s="2"/>
      <c r="AB5" s="4" t="s">
        <v>1</v>
      </c>
      <c r="AC5" s="3"/>
      <c r="AD5" s="93" t="s">
        <v>2</v>
      </c>
      <c r="AE5" s="2"/>
      <c r="AF5" s="50"/>
      <c r="AG5" s="181" t="s">
        <v>138</v>
      </c>
      <c r="AH5" s="181"/>
      <c r="AI5" s="181"/>
      <c r="AJ5" s="181"/>
      <c r="AK5" s="181"/>
      <c r="AL5" s="2"/>
      <c r="AM5" s="4" t="s">
        <v>1</v>
      </c>
      <c r="AN5" s="3"/>
      <c r="AO5" s="93" t="s">
        <v>2</v>
      </c>
      <c r="AP5" s="2"/>
    </row>
    <row r="6" spans="1:44">
      <c r="A6" s="185" t="s">
        <v>217</v>
      </c>
      <c r="B6" s="185"/>
      <c r="C6" s="185"/>
      <c r="D6" s="185"/>
      <c r="E6" s="185"/>
      <c r="F6" s="185"/>
      <c r="G6" s="185"/>
      <c r="H6" s="185"/>
      <c r="I6" s="2"/>
      <c r="J6" s="185" t="s">
        <v>227</v>
      </c>
      <c r="K6" s="185"/>
      <c r="L6" s="185"/>
      <c r="M6" s="185"/>
      <c r="N6" s="185"/>
      <c r="O6" s="185"/>
      <c r="P6" s="2"/>
      <c r="Q6" s="51" t="s">
        <v>3</v>
      </c>
      <c r="R6" s="3"/>
      <c r="S6" s="93" t="s">
        <v>4</v>
      </c>
      <c r="T6" s="2"/>
      <c r="U6" s="185" t="s">
        <v>227</v>
      </c>
      <c r="V6" s="185"/>
      <c r="W6" s="185"/>
      <c r="X6" s="185"/>
      <c r="Y6" s="185"/>
      <c r="Z6" s="185"/>
      <c r="AA6" s="2"/>
      <c r="AB6" s="51" t="s">
        <v>3</v>
      </c>
      <c r="AC6" s="3"/>
      <c r="AD6" s="93" t="s">
        <v>4</v>
      </c>
      <c r="AE6" s="2"/>
      <c r="AF6" s="185" t="s">
        <v>48</v>
      </c>
      <c r="AG6" s="185"/>
      <c r="AH6" s="185"/>
      <c r="AI6" s="185"/>
      <c r="AJ6" s="185"/>
      <c r="AK6" s="18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9"/>
      <c r="D7" s="173" t="s">
        <v>218</v>
      </c>
      <c r="E7" s="179"/>
      <c r="F7" s="180"/>
      <c r="G7" s="6"/>
      <c r="H7" s="7"/>
      <c r="I7" s="2"/>
      <c r="J7" s="2"/>
      <c r="K7" s="183" t="s">
        <v>220</v>
      </c>
      <c r="L7" s="183"/>
      <c r="M7" s="183"/>
      <c r="N7" s="183"/>
      <c r="O7" s="183"/>
      <c r="P7" s="2"/>
      <c r="Q7" s="63" t="s">
        <v>221</v>
      </c>
      <c r="R7" s="3"/>
      <c r="S7" s="96" t="s">
        <v>221</v>
      </c>
      <c r="T7" s="2"/>
      <c r="U7" s="183" t="s">
        <v>228</v>
      </c>
      <c r="V7" s="183"/>
      <c r="W7" s="183"/>
      <c r="X7" s="183"/>
      <c r="Y7" s="183"/>
      <c r="Z7" s="183"/>
      <c r="AA7" s="2"/>
      <c r="AB7" s="63" t="s">
        <v>203</v>
      </c>
      <c r="AC7" s="3"/>
      <c r="AD7" s="63" t="s">
        <v>203</v>
      </c>
      <c r="AE7" s="2"/>
      <c r="AF7" s="2"/>
      <c r="AG7" s="183" t="s">
        <v>42</v>
      </c>
      <c r="AH7" s="183"/>
      <c r="AI7" s="183"/>
      <c r="AJ7" s="183"/>
      <c r="AK7" s="183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197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6">
        <f>F11</f>
        <v>0.65639999999999998</v>
      </c>
      <c r="P11" s="2"/>
      <c r="Q11" s="3"/>
      <c r="R11" s="3"/>
      <c r="S11" s="15"/>
      <c r="T11" s="2"/>
      <c r="U11" s="3" t="s">
        <v>202</v>
      </c>
      <c r="V11" s="3"/>
      <c r="W11" s="3"/>
      <c r="X11" s="3"/>
      <c r="Y11" s="16" t="s">
        <v>12</v>
      </c>
      <c r="Z11" s="14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7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7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55467.083651000001</v>
      </c>
      <c r="E19" s="23"/>
      <c r="F19" s="23">
        <f>F$11*D19</f>
        <v>36408.593708516397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-55467.083651000001</v>
      </c>
      <c r="R19" s="3"/>
      <c r="S19" s="24">
        <f t="shared" si="5"/>
        <v>-36408.593708516397</v>
      </c>
      <c r="T19" s="2"/>
      <c r="U19" s="19" t="s">
        <v>19</v>
      </c>
      <c r="V19" s="19"/>
      <c r="W19" s="19"/>
      <c r="X19" s="139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-36408.593708516397</v>
      </c>
      <c r="AR19" s="66">
        <f t="shared" si="3"/>
        <v>-36408.593708516397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154997.088651</v>
      </c>
      <c r="E21" s="27"/>
      <c r="F21" s="61">
        <f>SUM(F13:F20)</f>
        <v>101810.29979051639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-85743.748651000002</v>
      </c>
      <c r="R21" s="3"/>
      <c r="S21" s="52">
        <f>SUM(S13:S20)</f>
        <v>-56352.40741451639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-56290.079408516387</v>
      </c>
      <c r="AR21" s="66">
        <f t="shared" si="3"/>
        <v>-56290.079408516394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5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5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5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5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5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5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5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5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5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5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5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5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5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5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5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5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5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5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4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194</v>
      </c>
      <c r="X33" s="15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5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5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-146256.911349</v>
      </c>
      <c r="E40" s="21"/>
      <c r="F40" s="21">
        <f>F21-F38</f>
        <v>-95932.825809483576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-10138.351651000004</v>
      </c>
      <c r="R40" s="3"/>
      <c r="S40" s="17">
        <f>S21-S38</f>
        <v>-5864.9940237163828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-6782.0024604163973</v>
      </c>
      <c r="AR40" s="66">
        <f t="shared" si="11"/>
        <v>-6782.0024604164209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192</v>
      </c>
      <c r="B42" s="3"/>
      <c r="C42" s="37">
        <v>0.21</v>
      </c>
      <c r="D42" s="3"/>
      <c r="E42" s="18"/>
      <c r="F42" s="29">
        <f>C42*F40</f>
        <v>-20145.893419991549</v>
      </c>
      <c r="G42" s="17"/>
      <c r="H42" s="3"/>
      <c r="I42" s="2"/>
      <c r="J42" s="3" t="s">
        <v>36</v>
      </c>
      <c r="K42" s="3"/>
      <c r="L42" s="168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-1231.6487449804404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40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-75786.932389492024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-4633.345278735942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-5357.7819437289536</v>
      </c>
      <c r="AR44" s="66">
        <f t="shared" ref="AR44" si="28">Z44+AK44-F44</f>
        <v>-5357.7819437289727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7468.4155803684471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137</v>
      </c>
      <c r="L47" s="3"/>
      <c r="M47" s="3"/>
      <c r="N47" s="3"/>
      <c r="O47" s="147">
        <f>-O40/K51*1000</f>
        <v>18.080942160384936</v>
      </c>
      <c r="P47" s="3"/>
      <c r="Q47" s="3"/>
      <c r="R47" s="3"/>
      <c r="S47" s="42"/>
      <c r="U47" s="39" t="s">
        <v>201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7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232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8"/>
    </row>
    <row r="50" spans="1:39">
      <c r="A50" s="187" t="s">
        <v>193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U50" t="s">
        <v>198</v>
      </c>
      <c r="AD50" s="148">
        <f>-K55/1000</f>
        <v>774.29304999999988</v>
      </c>
      <c r="AE50" s="151"/>
      <c r="AF50" s="151"/>
      <c r="AG50" s="151"/>
      <c r="AH50" s="151"/>
      <c r="AI50" s="151"/>
      <c r="AJ50" s="151"/>
      <c r="AK50" s="151"/>
      <c r="AL50" s="151"/>
      <c r="AM50" s="151"/>
    </row>
    <row r="51" spans="1:39">
      <c r="A51" s="19"/>
      <c r="B51" s="19"/>
      <c r="C51" s="19"/>
      <c r="D51" s="19"/>
      <c r="E51" s="27"/>
      <c r="F51" s="19"/>
      <c r="G51" s="19"/>
      <c r="H51" s="98" t="s">
        <v>225</v>
      </c>
      <c r="I51" s="19"/>
      <c r="K51" s="32">
        <f>K52+K53</f>
        <v>5630117</v>
      </c>
      <c r="L51" s="100" t="s">
        <v>39</v>
      </c>
      <c r="M51" s="145">
        <v>5672872</v>
      </c>
      <c r="N51" s="27"/>
      <c r="O51" s="126" t="s">
        <v>222</v>
      </c>
      <c r="P51" s="19"/>
      <c r="Q51" s="19"/>
      <c r="R51" s="19"/>
      <c r="S51" s="23"/>
      <c r="U51" t="s">
        <v>199</v>
      </c>
      <c r="AD51" s="14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217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223</v>
      </c>
      <c r="P52" s="19"/>
      <c r="Q52" s="19"/>
      <c r="R52" s="19"/>
      <c r="S52" s="19"/>
      <c r="U52" t="s">
        <v>200</v>
      </c>
      <c r="AD52" s="14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140</v>
      </c>
      <c r="I53" s="3"/>
      <c r="K53" s="167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50"/>
    </row>
    <row r="54" spans="1:39">
      <c r="A54" s="3"/>
      <c r="B54" s="3"/>
      <c r="C54" s="3"/>
      <c r="D54" s="3"/>
      <c r="E54" s="3"/>
      <c r="F54" s="3"/>
      <c r="G54" s="3"/>
      <c r="H54" s="99" t="s">
        <v>224</v>
      </c>
      <c r="I54" s="3"/>
      <c r="K54" s="46">
        <v>18.11</v>
      </c>
      <c r="L54" s="101" t="s">
        <v>141</v>
      </c>
      <c r="M54" s="46">
        <f>'Monthly Authorized'!B51</f>
        <v>18.106350137374651</v>
      </c>
      <c r="N54" s="3"/>
      <c r="O54" s="3" t="s">
        <v>224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139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5" t="s">
        <v>226</v>
      </c>
      <c r="H57" s="165"/>
      <c r="I57" s="165"/>
      <c r="J57" s="165"/>
      <c r="K57" s="166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5"/>
  <cols>
    <col min="1" max="1" width="37.28515625" customWidth="1"/>
    <col min="2" max="2" width="13.85546875" style="106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2.28515625" customWidth="1"/>
    <col min="12" max="12" width="12.42578125" customWidth="1"/>
    <col min="13" max="13" width="13" customWidth="1"/>
    <col min="14" max="14" width="12.7109375" customWidth="1"/>
    <col min="18" max="18" width="12.140625" bestFit="1" customWidth="1"/>
  </cols>
  <sheetData>
    <row r="1" spans="1:14">
      <c r="A1" s="119" t="s">
        <v>149</v>
      </c>
    </row>
    <row r="2" spans="1:14">
      <c r="A2" s="119" t="s">
        <v>150</v>
      </c>
    </row>
    <row r="3" spans="1:14">
      <c r="A3" s="119" t="s">
        <v>151</v>
      </c>
    </row>
    <row r="4" spans="1:14">
      <c r="A4" s="119" t="s">
        <v>206</v>
      </c>
    </row>
    <row r="5" spans="1:14">
      <c r="A5" s="119"/>
    </row>
    <row r="6" spans="1:14" ht="18.75">
      <c r="A6" s="189" t="s">
        <v>205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</row>
    <row r="8" spans="1:14">
      <c r="A8" s="154" t="s">
        <v>178</v>
      </c>
      <c r="B8" s="169" t="s">
        <v>179</v>
      </c>
    </row>
    <row r="9" spans="1:14" ht="15.75">
      <c r="A9" s="105" t="s">
        <v>152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75">
      <c r="A10" s="105" t="s">
        <v>180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75">
      <c r="A11" s="105" t="s">
        <v>153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75">
      <c r="A12" s="105" t="s">
        <v>181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75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155</v>
      </c>
      <c r="D16" s="110" t="s">
        <v>156</v>
      </c>
      <c r="E16" s="110" t="s">
        <v>157</v>
      </c>
      <c r="F16" s="110" t="s">
        <v>158</v>
      </c>
      <c r="G16" s="110" t="s">
        <v>159</v>
      </c>
      <c r="H16" s="110" t="s">
        <v>160</v>
      </c>
      <c r="I16" s="110" t="s">
        <v>161</v>
      </c>
      <c r="J16" s="110" t="s">
        <v>162</v>
      </c>
      <c r="K16" s="110" t="s">
        <v>163</v>
      </c>
      <c r="L16" s="110" t="s">
        <v>164</v>
      </c>
      <c r="M16" s="110" t="s">
        <v>165</v>
      </c>
      <c r="N16" s="110" t="s">
        <v>166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167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168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169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170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171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172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148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173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182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174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183</v>
      </c>
      <c r="B38" s="170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184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176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185</v>
      </c>
      <c r="B51" s="171">
        <f>B40/B49</f>
        <v>18.106350137374651</v>
      </c>
      <c r="C51" s="118" t="s">
        <v>177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186</v>
      </c>
      <c r="C56" s="106"/>
      <c r="D56" s="106"/>
      <c r="E56" s="155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187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66" workbookViewId="0">
      <selection activeCell="E108" sqref="E108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32" bestFit="1" customWidth="1"/>
    <col min="8" max="16" width="14.28515625" style="132" bestFit="1" customWidth="1"/>
    <col min="17" max="18" width="11.5703125" style="132" bestFit="1" customWidth="1"/>
    <col min="19" max="19" width="12.42578125" style="132" bestFit="1" customWidth="1"/>
    <col min="20" max="16384" width="11.42578125" style="67"/>
  </cols>
  <sheetData>
    <row r="1" spans="1:19">
      <c r="A1" s="90"/>
      <c r="B1" s="90"/>
      <c r="C1" s="92" t="s">
        <v>134</v>
      </c>
    </row>
    <row r="2" spans="1:19">
      <c r="A2" s="90"/>
      <c r="B2" s="90"/>
      <c r="C2" s="92" t="s">
        <v>133</v>
      </c>
    </row>
    <row r="3" spans="1:19">
      <c r="A3" s="91"/>
      <c r="B3" s="90"/>
      <c r="C3" s="92" t="s">
        <v>207</v>
      </c>
    </row>
    <row r="4" spans="1:19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132</v>
      </c>
      <c r="D6" s="121" t="s">
        <v>210</v>
      </c>
      <c r="E6" s="71" t="s">
        <v>189</v>
      </c>
    </row>
    <row r="7" spans="1:19">
      <c r="A7" s="88" t="s">
        <v>131</v>
      </c>
      <c r="D7" s="87" t="s">
        <v>130</v>
      </c>
      <c r="E7" s="71" t="s">
        <v>6</v>
      </c>
      <c r="G7" s="132" t="s">
        <v>6</v>
      </c>
      <c r="H7" s="174">
        <v>43466</v>
      </c>
      <c r="I7" s="174">
        <v>43497</v>
      </c>
      <c r="J7" s="174">
        <v>43525</v>
      </c>
      <c r="K7" s="174">
        <v>43556</v>
      </c>
      <c r="L7" s="174">
        <v>43586</v>
      </c>
      <c r="M7" s="174">
        <v>43617</v>
      </c>
      <c r="N7" s="174">
        <v>43647</v>
      </c>
      <c r="O7" s="174">
        <v>43678</v>
      </c>
      <c r="P7" s="174">
        <v>43709</v>
      </c>
      <c r="Q7" s="174">
        <v>43739</v>
      </c>
      <c r="R7" s="174">
        <v>43770</v>
      </c>
      <c r="S7" s="174">
        <v>43800</v>
      </c>
    </row>
    <row r="8" spans="1:19">
      <c r="A8" s="71"/>
      <c r="B8" s="79" t="s">
        <v>129</v>
      </c>
      <c r="D8" s="86"/>
    </row>
    <row r="9" spans="1:19">
      <c r="A9" s="71">
        <f t="shared" ref="A9:A27" si="0">A8+1</f>
        <v>1</v>
      </c>
      <c r="B9" s="67" t="s">
        <v>128</v>
      </c>
      <c r="D9" s="122">
        <f>ROUND(G9/1000,0)</f>
        <v>0</v>
      </c>
      <c r="G9" s="134">
        <f t="shared" ref="G9:G15" si="1">SUM(H9:S9)</f>
        <v>0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>
      <c r="A10" s="71">
        <f t="shared" si="0"/>
        <v>2</v>
      </c>
      <c r="B10" s="67" t="s">
        <v>127</v>
      </c>
      <c r="D10" s="122">
        <f t="shared" ref="D10:D26" si="2">ROUND(G10/1000,0)</f>
        <v>38136</v>
      </c>
      <c r="G10" s="134">
        <f t="shared" si="1"/>
        <v>38136438</v>
      </c>
      <c r="H10" s="134">
        <v>2854577</v>
      </c>
      <c r="I10" s="134">
        <v>3156734</v>
      </c>
      <c r="J10" s="134">
        <v>7001996</v>
      </c>
      <c r="K10" s="134">
        <v>1757522</v>
      </c>
      <c r="L10" s="134">
        <v>2214282</v>
      </c>
      <c r="M10" s="134">
        <v>2424058</v>
      </c>
      <c r="N10" s="134">
        <v>3479617</v>
      </c>
      <c r="O10" s="134">
        <v>7463399</v>
      </c>
      <c r="P10" s="134">
        <v>2516919</v>
      </c>
      <c r="Q10" s="134">
        <v>1793415</v>
      </c>
      <c r="R10" s="134">
        <v>1237991</v>
      </c>
      <c r="S10" s="134">
        <v>2235928</v>
      </c>
    </row>
    <row r="11" spans="1:19">
      <c r="A11" s="71">
        <f t="shared" si="0"/>
        <v>3</v>
      </c>
      <c r="B11" s="67" t="s">
        <v>126</v>
      </c>
      <c r="D11" s="122">
        <f t="shared" si="2"/>
        <v>0</v>
      </c>
      <c r="G11" s="134">
        <f t="shared" si="1"/>
        <v>0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>
      <c r="A12" s="71">
        <f t="shared" si="0"/>
        <v>4</v>
      </c>
      <c r="B12" s="67" t="s">
        <v>125</v>
      </c>
      <c r="D12" s="122">
        <f t="shared" si="2"/>
        <v>15277</v>
      </c>
      <c r="G12" s="134">
        <f t="shared" si="1"/>
        <v>15276676</v>
      </c>
      <c r="H12" s="134">
        <v>1277785</v>
      </c>
      <c r="I12" s="134">
        <v>1277785</v>
      </c>
      <c r="J12" s="134">
        <v>1277785</v>
      </c>
      <c r="K12" s="134">
        <v>1277785</v>
      </c>
      <c r="L12" s="134">
        <v>1277785</v>
      </c>
      <c r="M12" s="134">
        <v>1277785</v>
      </c>
      <c r="N12" s="134">
        <v>1277785</v>
      </c>
      <c r="O12" s="134">
        <v>1277785</v>
      </c>
      <c r="P12" s="134">
        <v>1277785</v>
      </c>
      <c r="Q12" s="134">
        <v>1277785</v>
      </c>
      <c r="R12" s="134">
        <v>1277785</v>
      </c>
      <c r="S12" s="134">
        <v>1221041</v>
      </c>
    </row>
    <row r="13" spans="1:19">
      <c r="A13" s="71">
        <f t="shared" si="0"/>
        <v>5</v>
      </c>
      <c r="B13" s="67" t="s">
        <v>124</v>
      </c>
      <c r="D13" s="122">
        <f t="shared" si="2"/>
        <v>1835</v>
      </c>
      <c r="G13" s="134">
        <f t="shared" si="1"/>
        <v>1835376</v>
      </c>
      <c r="H13" s="134">
        <v>152948</v>
      </c>
      <c r="I13" s="134">
        <v>152948</v>
      </c>
      <c r="J13" s="134">
        <v>152948</v>
      </c>
      <c r="K13" s="134">
        <v>152948</v>
      </c>
      <c r="L13" s="134">
        <v>152948</v>
      </c>
      <c r="M13" s="134">
        <v>152948</v>
      </c>
      <c r="N13" s="134">
        <v>152948</v>
      </c>
      <c r="O13" s="134">
        <v>152948</v>
      </c>
      <c r="P13" s="134">
        <v>152948</v>
      </c>
      <c r="Q13" s="134">
        <v>152948</v>
      </c>
      <c r="R13" s="134">
        <v>152948</v>
      </c>
      <c r="S13" s="134">
        <v>152948</v>
      </c>
    </row>
    <row r="14" spans="1:19">
      <c r="A14" s="71">
        <f t="shared" si="0"/>
        <v>6</v>
      </c>
      <c r="B14" s="67" t="s">
        <v>123</v>
      </c>
      <c r="D14" s="122">
        <f t="shared" si="2"/>
        <v>9438</v>
      </c>
      <c r="G14" s="134">
        <f t="shared" si="1"/>
        <v>9437628</v>
      </c>
      <c r="H14" s="134">
        <v>776466</v>
      </c>
      <c r="I14" s="134">
        <v>776466</v>
      </c>
      <c r="J14" s="134">
        <v>776466</v>
      </c>
      <c r="K14" s="134">
        <v>896502</v>
      </c>
      <c r="L14" s="134">
        <v>776466</v>
      </c>
      <c r="M14" s="134">
        <v>776466</v>
      </c>
      <c r="N14" s="134">
        <v>776466</v>
      </c>
      <c r="O14" s="134">
        <v>776466</v>
      </c>
      <c r="P14" s="134">
        <v>776466</v>
      </c>
      <c r="Q14" s="134">
        <v>776466</v>
      </c>
      <c r="R14" s="134">
        <v>776466</v>
      </c>
      <c r="S14" s="134">
        <v>776466</v>
      </c>
    </row>
    <row r="15" spans="1:19">
      <c r="A15" s="71">
        <f t="shared" si="0"/>
        <v>7</v>
      </c>
      <c r="B15" s="67" t="s">
        <v>122</v>
      </c>
      <c r="D15" s="122">
        <f t="shared" si="2"/>
        <v>794</v>
      </c>
      <c r="G15" s="134">
        <f t="shared" si="1"/>
        <v>793828</v>
      </c>
      <c r="H15" s="134">
        <v>63699</v>
      </c>
      <c r="I15" s="134">
        <v>55709</v>
      </c>
      <c r="J15" s="134">
        <v>57590</v>
      </c>
      <c r="K15" s="134">
        <v>39998</v>
      </c>
      <c r="L15" s="134">
        <v>67634</v>
      </c>
      <c r="M15" s="134">
        <v>57526</v>
      </c>
      <c r="N15" s="134">
        <v>121244</v>
      </c>
      <c r="O15" s="134">
        <v>124899</v>
      </c>
      <c r="P15" s="134">
        <v>37471</v>
      </c>
      <c r="Q15" s="134">
        <v>39480</v>
      </c>
      <c r="R15" s="134">
        <v>69247</v>
      </c>
      <c r="S15" s="134">
        <v>59331</v>
      </c>
    </row>
    <row r="16" spans="1:19">
      <c r="A16" s="71">
        <f t="shared" si="0"/>
        <v>8</v>
      </c>
      <c r="B16" s="67" t="s">
        <v>121</v>
      </c>
      <c r="D16" s="122">
        <f t="shared" si="2"/>
        <v>28141</v>
      </c>
      <c r="E16" s="67" t="s">
        <v>208</v>
      </c>
      <c r="G16" s="134">
        <f>SUM(H16:S16)</f>
        <v>28140786</v>
      </c>
      <c r="H16" s="175">
        <v>2434351</v>
      </c>
      <c r="I16" s="175">
        <v>2347256</v>
      </c>
      <c r="J16" s="175">
        <v>2433715</v>
      </c>
      <c r="K16" s="175">
        <v>2283549</v>
      </c>
      <c r="L16" s="175">
        <v>2161515</v>
      </c>
      <c r="M16" s="175">
        <v>2100743</v>
      </c>
      <c r="N16" s="175">
        <v>2362015</v>
      </c>
      <c r="O16" s="175">
        <v>2412726</v>
      </c>
      <c r="P16" s="175">
        <v>2362607</v>
      </c>
      <c r="Q16" s="134">
        <v>2426736</v>
      </c>
      <c r="R16" s="134">
        <v>2418797</v>
      </c>
      <c r="S16" s="134">
        <v>2396776</v>
      </c>
    </row>
    <row r="17" spans="1:19">
      <c r="A17" s="71">
        <f t="shared" si="0"/>
        <v>9</v>
      </c>
      <c r="B17" s="67" t="s">
        <v>190</v>
      </c>
      <c r="D17" s="122">
        <f t="shared" si="2"/>
        <v>14</v>
      </c>
      <c r="G17" s="134">
        <f t="shared" ref="G17:G26" si="3">SUM(H17:S17)</f>
        <v>13889</v>
      </c>
      <c r="H17" s="134">
        <v>1297</v>
      </c>
      <c r="I17" s="134">
        <v>1364</v>
      </c>
      <c r="J17" s="134">
        <v>1397</v>
      </c>
      <c r="K17" s="134">
        <v>1286</v>
      </c>
      <c r="L17" s="134">
        <v>955</v>
      </c>
      <c r="M17" s="134">
        <v>1187</v>
      </c>
      <c r="N17" s="134">
        <v>1003</v>
      </c>
      <c r="O17" s="134">
        <v>955</v>
      </c>
      <c r="P17" s="134">
        <v>1117</v>
      </c>
      <c r="Q17" s="134">
        <v>1058</v>
      </c>
      <c r="R17" s="134">
        <v>1032</v>
      </c>
      <c r="S17" s="134">
        <v>1238</v>
      </c>
    </row>
    <row r="18" spans="1:19">
      <c r="A18" s="71">
        <f t="shared" si="0"/>
        <v>10</v>
      </c>
      <c r="B18" s="67" t="s">
        <v>88</v>
      </c>
      <c r="D18" s="122">
        <f t="shared" si="2"/>
        <v>7911</v>
      </c>
      <c r="G18" s="134">
        <f t="shared" si="3"/>
        <v>7910918</v>
      </c>
      <c r="H18" s="134">
        <v>2751195</v>
      </c>
      <c r="I18" s="134">
        <v>2485973</v>
      </c>
      <c r="J18" s="134">
        <v>1358266</v>
      </c>
      <c r="K18" s="134">
        <v>1315484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</row>
    <row r="19" spans="1:19">
      <c r="A19" s="71">
        <f t="shared" si="0"/>
        <v>11</v>
      </c>
      <c r="B19" s="67" t="s">
        <v>120</v>
      </c>
      <c r="D19" s="122">
        <f t="shared" si="2"/>
        <v>10</v>
      </c>
      <c r="G19" s="134">
        <f t="shared" si="3"/>
        <v>10154</v>
      </c>
      <c r="H19" s="134">
        <v>973</v>
      </c>
      <c r="I19" s="134">
        <v>1128</v>
      </c>
      <c r="J19" s="134">
        <v>1326</v>
      </c>
      <c r="K19" s="134">
        <v>1015</v>
      </c>
      <c r="L19" s="134">
        <v>700</v>
      </c>
      <c r="M19" s="134">
        <v>633</v>
      </c>
      <c r="N19" s="134">
        <v>616</v>
      </c>
      <c r="O19" s="134">
        <v>712</v>
      </c>
      <c r="P19" s="134">
        <v>746</v>
      </c>
      <c r="Q19" s="134">
        <v>24</v>
      </c>
      <c r="R19" s="134">
        <v>1343</v>
      </c>
      <c r="S19" s="134">
        <v>938</v>
      </c>
    </row>
    <row r="20" spans="1:19">
      <c r="A20" s="71">
        <f t="shared" si="0"/>
        <v>12</v>
      </c>
      <c r="B20" s="67" t="s">
        <v>119</v>
      </c>
      <c r="D20" s="122">
        <f t="shared" si="2"/>
        <v>1363</v>
      </c>
      <c r="F20" s="157"/>
      <c r="G20" s="134">
        <f t="shared" si="3"/>
        <v>1363496</v>
      </c>
      <c r="H20" s="134">
        <v>137301</v>
      </c>
      <c r="I20" s="134">
        <v>160032</v>
      </c>
      <c r="J20" s="134">
        <v>130122</v>
      </c>
      <c r="K20" s="134">
        <v>164292</v>
      </c>
      <c r="L20" s="134">
        <v>134892</v>
      </c>
      <c r="M20" s="134">
        <v>155759</v>
      </c>
      <c r="N20" s="134">
        <v>115371</v>
      </c>
      <c r="O20" s="134">
        <v>56688</v>
      </c>
      <c r="P20" s="134">
        <v>54123</v>
      </c>
      <c r="Q20" s="134">
        <v>67753</v>
      </c>
      <c r="R20" s="134">
        <v>88390</v>
      </c>
      <c r="S20" s="134">
        <v>98773</v>
      </c>
    </row>
    <row r="21" spans="1:19">
      <c r="A21" s="71">
        <f t="shared" si="0"/>
        <v>13</v>
      </c>
      <c r="B21" s="67" t="s">
        <v>118</v>
      </c>
      <c r="D21" s="122">
        <f t="shared" si="2"/>
        <v>1941</v>
      </c>
      <c r="F21" s="158"/>
      <c r="G21" s="134">
        <f t="shared" si="3"/>
        <v>1940817</v>
      </c>
      <c r="H21" s="134">
        <v>175035</v>
      </c>
      <c r="I21" s="134">
        <v>112639</v>
      </c>
      <c r="J21" s="134">
        <v>116166</v>
      </c>
      <c r="K21" s="134">
        <v>88987</v>
      </c>
      <c r="L21" s="134">
        <v>158545</v>
      </c>
      <c r="M21" s="134">
        <v>160694</v>
      </c>
      <c r="N21" s="134">
        <v>223005</v>
      </c>
      <c r="O21" s="134">
        <v>204295</v>
      </c>
      <c r="P21" s="134">
        <v>185887</v>
      </c>
      <c r="Q21" s="134">
        <v>74994</v>
      </c>
      <c r="R21" s="134">
        <v>250293</v>
      </c>
      <c r="S21" s="134">
        <v>190277</v>
      </c>
    </row>
    <row r="22" spans="1:19">
      <c r="A22" s="71">
        <f t="shared" si="0"/>
        <v>14</v>
      </c>
      <c r="B22" s="67" t="s">
        <v>117</v>
      </c>
      <c r="D22" s="122">
        <f t="shared" si="2"/>
        <v>2142</v>
      </c>
      <c r="F22" s="159"/>
      <c r="G22" s="134">
        <f t="shared" si="3"/>
        <v>2141849</v>
      </c>
      <c r="H22" s="134">
        <v>278635</v>
      </c>
      <c r="I22" s="134">
        <v>269107</v>
      </c>
      <c r="J22" s="134">
        <v>250887</v>
      </c>
      <c r="K22" s="134">
        <v>301774</v>
      </c>
      <c r="L22" s="134">
        <v>332525</v>
      </c>
      <c r="M22" s="134">
        <v>204948</v>
      </c>
      <c r="N22" s="134">
        <v>14118</v>
      </c>
      <c r="O22" s="134">
        <v>2646</v>
      </c>
      <c r="P22" s="134">
        <v>19886</v>
      </c>
      <c r="Q22" s="134">
        <v>141726</v>
      </c>
      <c r="R22" s="134">
        <v>156592</v>
      </c>
      <c r="S22" s="134">
        <v>169005</v>
      </c>
    </row>
    <row r="23" spans="1:19">
      <c r="A23" s="71">
        <f t="shared" si="0"/>
        <v>15</v>
      </c>
      <c r="B23" s="67" t="s">
        <v>116</v>
      </c>
      <c r="D23" s="122">
        <f t="shared" si="2"/>
        <v>5575</v>
      </c>
      <c r="G23" s="134">
        <f t="shared" si="3"/>
        <v>5574934</v>
      </c>
      <c r="H23" s="134">
        <v>584639</v>
      </c>
      <c r="I23" s="134">
        <v>427257</v>
      </c>
      <c r="J23" s="134">
        <v>466708</v>
      </c>
      <c r="K23" s="134">
        <v>424403</v>
      </c>
      <c r="L23" s="134">
        <v>265006</v>
      </c>
      <c r="M23" s="134">
        <v>390567</v>
      </c>
      <c r="N23" s="134">
        <v>482286</v>
      </c>
      <c r="O23" s="134">
        <v>464242</v>
      </c>
      <c r="P23" s="134">
        <v>487904</v>
      </c>
      <c r="Q23" s="134">
        <v>597266</v>
      </c>
      <c r="R23" s="134">
        <v>373372</v>
      </c>
      <c r="S23" s="134">
        <v>611284</v>
      </c>
    </row>
    <row r="24" spans="1:19">
      <c r="A24" s="71">
        <f>A23+1</f>
        <v>16</v>
      </c>
      <c r="B24" s="67" t="s">
        <v>115</v>
      </c>
      <c r="D24" s="122">
        <f t="shared" si="2"/>
        <v>254</v>
      </c>
      <c r="F24" s="160"/>
      <c r="G24" s="134">
        <f t="shared" si="3"/>
        <v>254375</v>
      </c>
      <c r="H24" s="134">
        <v>-336895</v>
      </c>
      <c r="I24" s="134">
        <v>-717182</v>
      </c>
      <c r="J24" s="134">
        <v>-527151</v>
      </c>
      <c r="K24" s="134">
        <v>-257975</v>
      </c>
      <c r="L24" s="134">
        <v>22739</v>
      </c>
      <c r="M24" s="134">
        <v>1248303</v>
      </c>
      <c r="N24" s="134">
        <v>-480458</v>
      </c>
      <c r="O24" s="134">
        <v>-588206</v>
      </c>
      <c r="P24" s="134">
        <v>44889</v>
      </c>
      <c r="Q24" s="134">
        <v>14473</v>
      </c>
      <c r="R24" s="134">
        <v>-35026</v>
      </c>
      <c r="S24" s="134">
        <v>1866864</v>
      </c>
    </row>
    <row r="25" spans="1:19">
      <c r="A25" s="71">
        <f t="shared" si="0"/>
        <v>17</v>
      </c>
      <c r="B25" s="67" t="s">
        <v>114</v>
      </c>
      <c r="D25" s="122">
        <f t="shared" si="2"/>
        <v>2517</v>
      </c>
      <c r="G25" s="134">
        <f t="shared" si="3"/>
        <v>2516657</v>
      </c>
      <c r="H25" s="134">
        <v>214294</v>
      </c>
      <c r="I25" s="134">
        <v>255268</v>
      </c>
      <c r="J25" s="134">
        <v>255076</v>
      </c>
      <c r="K25" s="134">
        <v>175722</v>
      </c>
      <c r="L25" s="134">
        <v>184130</v>
      </c>
      <c r="M25" s="134">
        <v>188967</v>
      </c>
      <c r="N25" s="134">
        <v>204764</v>
      </c>
      <c r="O25" s="134">
        <v>208156</v>
      </c>
      <c r="P25" s="134">
        <v>185287</v>
      </c>
      <c r="Q25" s="134">
        <v>224882</v>
      </c>
      <c r="R25" s="134">
        <v>208981</v>
      </c>
      <c r="S25" s="134">
        <v>211130</v>
      </c>
    </row>
    <row r="26" spans="1:19">
      <c r="A26" s="71">
        <f t="shared" si="0"/>
        <v>18</v>
      </c>
      <c r="B26" s="69" t="s">
        <v>113</v>
      </c>
      <c r="C26" s="69"/>
      <c r="D26" s="122">
        <f t="shared" si="2"/>
        <v>18596</v>
      </c>
      <c r="G26" s="134">
        <f t="shared" si="3"/>
        <v>18596471</v>
      </c>
      <c r="H26" s="134">
        <v>1921037</v>
      </c>
      <c r="I26" s="134">
        <v>1708936</v>
      </c>
      <c r="J26" s="134">
        <v>1266884</v>
      </c>
      <c r="K26" s="134">
        <v>2031088</v>
      </c>
      <c r="L26" s="134">
        <v>1632368</v>
      </c>
      <c r="M26" s="134">
        <v>1626459</v>
      </c>
      <c r="N26" s="134">
        <v>1146307</v>
      </c>
      <c r="O26" s="134">
        <v>960549</v>
      </c>
      <c r="P26" s="134">
        <v>1499481</v>
      </c>
      <c r="Q26" s="134">
        <v>1786735</v>
      </c>
      <c r="R26" s="134">
        <v>1340867</v>
      </c>
      <c r="S26" s="134">
        <v>1675760</v>
      </c>
    </row>
    <row r="27" spans="1:19">
      <c r="A27" s="71">
        <f t="shared" si="0"/>
        <v>19</v>
      </c>
      <c r="B27" s="67" t="s">
        <v>112</v>
      </c>
      <c r="D27" s="78">
        <f>SUM(D9:D26)</f>
        <v>133944</v>
      </c>
      <c r="E27" s="76">
        <f>144313775/1000</f>
        <v>144313.77499999999</v>
      </c>
      <c r="F27" s="129">
        <f>E27-D27</f>
        <v>10369.774999999994</v>
      </c>
      <c r="G27" s="176">
        <f t="shared" ref="G27:S27" si="4">SUM(G9:G26)</f>
        <v>133944292</v>
      </c>
      <c r="H27" s="176">
        <f t="shared" si="4"/>
        <v>13287337</v>
      </c>
      <c r="I27" s="176">
        <f t="shared" si="4"/>
        <v>12471420</v>
      </c>
      <c r="J27" s="176">
        <f t="shared" si="4"/>
        <v>15020181</v>
      </c>
      <c r="K27" s="176">
        <f t="shared" si="4"/>
        <v>10654380</v>
      </c>
      <c r="L27" s="176">
        <f t="shared" si="4"/>
        <v>9382490</v>
      </c>
      <c r="M27" s="176">
        <f t="shared" si="4"/>
        <v>10767043</v>
      </c>
      <c r="N27" s="176">
        <f t="shared" si="4"/>
        <v>9877087</v>
      </c>
      <c r="O27" s="176">
        <f t="shared" si="4"/>
        <v>13518260</v>
      </c>
      <c r="P27" s="176">
        <f t="shared" si="4"/>
        <v>9603516</v>
      </c>
      <c r="Q27" s="176">
        <f t="shared" si="4"/>
        <v>9375741</v>
      </c>
      <c r="R27" s="176">
        <f t="shared" si="4"/>
        <v>8319078</v>
      </c>
      <c r="S27" s="176">
        <f t="shared" si="4"/>
        <v>11667759</v>
      </c>
    </row>
    <row r="28" spans="1:19">
      <c r="A28" s="71"/>
      <c r="E28" s="129">
        <f>1647259/1000</f>
        <v>1647.259</v>
      </c>
      <c r="F28" s="67" t="s">
        <v>214</v>
      </c>
      <c r="G28" s="177" t="s">
        <v>209</v>
      </c>
    </row>
    <row r="29" spans="1:19">
      <c r="A29" s="71"/>
      <c r="B29" s="79" t="s">
        <v>111</v>
      </c>
      <c r="D29" s="72"/>
      <c r="E29" s="102">
        <f>8728076/1000</f>
        <v>8728.0759999999991</v>
      </c>
      <c r="F29" s="67" t="s">
        <v>212</v>
      </c>
    </row>
    <row r="30" spans="1:19">
      <c r="A30" s="71">
        <f>A27+1</f>
        <v>20</v>
      </c>
      <c r="B30" s="67" t="s">
        <v>110</v>
      </c>
      <c r="D30" s="122">
        <f t="shared" ref="D30:D33" si="5">ROUND(G30/1000,0)</f>
        <v>570</v>
      </c>
      <c r="E30" s="156">
        <v>-5</v>
      </c>
      <c r="F30" s="67" t="s">
        <v>215</v>
      </c>
      <c r="G30" s="134">
        <f t="shared" ref="G30" si="6">SUM(H30:S30)</f>
        <v>570398</v>
      </c>
      <c r="H30" s="134">
        <v>40867</v>
      </c>
      <c r="I30" s="134">
        <v>37768</v>
      </c>
      <c r="J30" s="134">
        <v>91606</v>
      </c>
      <c r="K30" s="134">
        <v>122083</v>
      </c>
      <c r="L30" s="134">
        <v>34547</v>
      </c>
      <c r="M30" s="134">
        <v>44007</v>
      </c>
      <c r="N30" s="134">
        <v>52526</v>
      </c>
      <c r="O30" s="134">
        <v>14925</v>
      </c>
      <c r="P30" s="134">
        <v>40566</v>
      </c>
      <c r="Q30" s="134">
        <v>25367</v>
      </c>
      <c r="R30" s="134">
        <v>29228</v>
      </c>
      <c r="S30" s="134">
        <v>36908</v>
      </c>
    </row>
    <row r="31" spans="1:19">
      <c r="A31" s="71">
        <f>A30+1</f>
        <v>21</v>
      </c>
      <c r="B31" s="67" t="s">
        <v>211</v>
      </c>
      <c r="D31" s="122">
        <f t="shared" si="5"/>
        <v>1454</v>
      </c>
      <c r="E31" s="129">
        <f>SUM(E28:E30)</f>
        <v>10370.334999999999</v>
      </c>
      <c r="F31" s="161"/>
      <c r="G31" s="134">
        <f t="shared" ref="G31:G39" si="7">SUM(H31:S31)</f>
        <v>1454005</v>
      </c>
      <c r="H31" s="134">
        <v>436</v>
      </c>
      <c r="I31" s="134">
        <v>267</v>
      </c>
      <c r="J31" s="134">
        <v>1452099</v>
      </c>
      <c r="K31" s="134">
        <v>0</v>
      </c>
      <c r="L31" s="134">
        <v>0</v>
      </c>
      <c r="M31" s="134">
        <v>1059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144</v>
      </c>
    </row>
    <row r="32" spans="1:19">
      <c r="A32" s="71">
        <f>A31+1</f>
        <v>22</v>
      </c>
      <c r="B32" s="67" t="s">
        <v>231</v>
      </c>
      <c r="D32" s="122">
        <f t="shared" si="5"/>
        <v>0</v>
      </c>
      <c r="E32" s="132"/>
      <c r="G32" s="134"/>
    </row>
    <row r="33" spans="1:19">
      <c r="A33" s="71">
        <f>A32+1</f>
        <v>23</v>
      </c>
      <c r="B33" s="67" t="s">
        <v>213</v>
      </c>
      <c r="D33" s="122">
        <f t="shared" si="5"/>
        <v>1</v>
      </c>
      <c r="E33" s="132"/>
      <c r="G33" s="134">
        <f>SUM(H33:S33)</f>
        <v>601</v>
      </c>
      <c r="H33" s="134">
        <v>25</v>
      </c>
      <c r="I33" s="134">
        <v>17</v>
      </c>
      <c r="J33" s="134">
        <v>135</v>
      </c>
      <c r="K33" s="134">
        <v>32</v>
      </c>
      <c r="L33" s="134">
        <v>37</v>
      </c>
      <c r="M33" s="134">
        <v>48</v>
      </c>
      <c r="N33" s="134">
        <v>74</v>
      </c>
      <c r="O33" s="134">
        <v>79</v>
      </c>
      <c r="P33" s="134">
        <v>48</v>
      </c>
      <c r="Q33" s="134">
        <v>52</v>
      </c>
      <c r="R33" s="134">
        <v>41</v>
      </c>
      <c r="S33" s="134">
        <v>13</v>
      </c>
    </row>
    <row r="34" spans="1:19" hidden="1" outlineLevel="1">
      <c r="A34" s="71"/>
      <c r="D34" s="76"/>
      <c r="E34" s="132"/>
      <c r="G34" s="134">
        <f t="shared" si="7"/>
        <v>15988970</v>
      </c>
      <c r="H34" s="134">
        <v>1083619</v>
      </c>
      <c r="I34" s="134">
        <v>1645941</v>
      </c>
      <c r="J34" s="134">
        <v>1377218</v>
      </c>
      <c r="K34" s="134">
        <v>1492640</v>
      </c>
      <c r="L34" s="134">
        <v>2912803</v>
      </c>
      <c r="M34" s="134">
        <v>2761505</v>
      </c>
      <c r="N34" s="134">
        <v>1833937</v>
      </c>
      <c r="O34" s="134">
        <v>973692</v>
      </c>
      <c r="P34" s="134">
        <v>1907615</v>
      </c>
      <c r="Q34" s="134"/>
      <c r="R34" s="134"/>
      <c r="S34" s="134"/>
    </row>
    <row r="35" spans="1:19" hidden="1" outlineLevel="1">
      <c r="A35" s="71"/>
      <c r="D35" s="76"/>
      <c r="E35" s="132"/>
      <c r="G35" s="134">
        <f t="shared" si="7"/>
        <v>-2547112</v>
      </c>
      <c r="H35" s="134">
        <v>-2490169</v>
      </c>
      <c r="I35" s="134">
        <v>-336824</v>
      </c>
      <c r="J35" s="134">
        <v>363762</v>
      </c>
      <c r="K35" s="134">
        <v>852918</v>
      </c>
      <c r="L35" s="134">
        <v>675072</v>
      </c>
      <c r="M35" s="134">
        <v>1435046</v>
      </c>
      <c r="N35" s="134">
        <v>-2218714</v>
      </c>
      <c r="O35" s="134">
        <v>-914639</v>
      </c>
      <c r="P35" s="134">
        <v>86436</v>
      </c>
      <c r="Q35" s="134"/>
      <c r="R35" s="134"/>
      <c r="S35" s="134"/>
    </row>
    <row r="36" spans="1:19" hidden="1" outlineLevel="1">
      <c r="A36" s="71"/>
      <c r="D36" s="76"/>
      <c r="E36" s="132"/>
      <c r="G36" s="134">
        <f t="shared" si="7"/>
        <v>4129430</v>
      </c>
      <c r="H36" s="134">
        <v>414178</v>
      </c>
      <c r="I36" s="134">
        <v>204400</v>
      </c>
      <c r="J36" s="134">
        <v>49615</v>
      </c>
      <c r="K36" s="134">
        <v>233130</v>
      </c>
      <c r="L36" s="134">
        <v>0</v>
      </c>
      <c r="M36" s="134">
        <v>487824</v>
      </c>
      <c r="N36" s="134">
        <v>357663</v>
      </c>
      <c r="O36" s="134">
        <v>1564964</v>
      </c>
      <c r="P36" s="134">
        <v>817656</v>
      </c>
      <c r="Q36" s="134"/>
      <c r="R36" s="134"/>
      <c r="S36" s="134"/>
    </row>
    <row r="37" spans="1:19" hidden="1" outlineLevel="1">
      <c r="A37" s="71"/>
      <c r="D37" s="76"/>
      <c r="E37" s="132"/>
      <c r="G37" s="134">
        <f t="shared" si="7"/>
        <v>-4129430</v>
      </c>
      <c r="H37" s="134">
        <v>-414178</v>
      </c>
      <c r="I37" s="134">
        <v>-204400</v>
      </c>
      <c r="J37" s="134">
        <v>-49615</v>
      </c>
      <c r="K37" s="134">
        <v>-233130</v>
      </c>
      <c r="L37" s="134">
        <v>0</v>
      </c>
      <c r="M37" s="134">
        <v>-487824</v>
      </c>
      <c r="N37" s="134">
        <v>-357663</v>
      </c>
      <c r="O37" s="134">
        <v>-1564964</v>
      </c>
      <c r="P37" s="134">
        <v>-817656</v>
      </c>
      <c r="Q37" s="134"/>
      <c r="R37" s="134"/>
      <c r="S37" s="134"/>
    </row>
    <row r="38" spans="1:19" hidden="1" outlineLevel="1">
      <c r="A38" s="71"/>
      <c r="D38" s="76"/>
      <c r="E38" s="132"/>
      <c r="G38" s="134">
        <f t="shared" si="7"/>
        <v>30039096</v>
      </c>
      <c r="H38" s="134">
        <v>5812837</v>
      </c>
      <c r="I38" s="134">
        <v>2658645</v>
      </c>
      <c r="J38" s="134">
        <v>1842941</v>
      </c>
      <c r="K38" s="134">
        <v>2305884</v>
      </c>
      <c r="L38" s="134">
        <v>2957007</v>
      </c>
      <c r="M38" s="134">
        <v>2015344</v>
      </c>
      <c r="N38" s="134">
        <v>4667489</v>
      </c>
      <c r="O38" s="134">
        <v>5198705</v>
      </c>
      <c r="P38" s="134">
        <v>2580244</v>
      </c>
      <c r="Q38" s="134"/>
      <c r="R38" s="134"/>
      <c r="S38" s="134"/>
    </row>
    <row r="39" spans="1:19" collapsed="1">
      <c r="A39" s="71">
        <f>A33+1</f>
        <v>24</v>
      </c>
      <c r="B39" s="69" t="s">
        <v>109</v>
      </c>
      <c r="C39" s="69"/>
      <c r="D39" s="122">
        <f t="shared" ref="D39" si="8">ROUND(G39/1000,0)</f>
        <v>47651</v>
      </c>
      <c r="E39" s="132"/>
      <c r="G39" s="134">
        <f t="shared" si="7"/>
        <v>47650873</v>
      </c>
      <c r="H39" s="134">
        <v>2530332</v>
      </c>
      <c r="I39" s="134">
        <v>9060358</v>
      </c>
      <c r="J39" s="134">
        <v>4093972</v>
      </c>
      <c r="K39" s="134">
        <v>1889142</v>
      </c>
      <c r="L39" s="134">
        <v>4038080</v>
      </c>
      <c r="M39" s="134">
        <v>2558795</v>
      </c>
      <c r="N39" s="134">
        <v>3317580</v>
      </c>
      <c r="O39" s="134">
        <v>4369104</v>
      </c>
      <c r="P39" s="134">
        <v>3370414</v>
      </c>
      <c r="Q39" s="134">
        <v>3003479</v>
      </c>
      <c r="R39" s="134">
        <v>5588103</v>
      </c>
      <c r="S39" s="134">
        <v>3831514</v>
      </c>
    </row>
    <row r="40" spans="1:19">
      <c r="A40" s="71">
        <f>A39+1</f>
        <v>25</v>
      </c>
      <c r="B40" s="67" t="s">
        <v>108</v>
      </c>
      <c r="D40" s="78">
        <f>SUM(D30:D39)</f>
        <v>49676</v>
      </c>
      <c r="E40" s="130">
        <v>49822</v>
      </c>
      <c r="F40" s="131">
        <f>E40-D40</f>
        <v>146</v>
      </c>
      <c r="G40" s="176">
        <f>SUM(G30:G33,G39)</f>
        <v>49675877</v>
      </c>
      <c r="H40" s="176">
        <f t="shared" ref="H40:S40" si="9">SUM(H30:H33,H39)</f>
        <v>2571660</v>
      </c>
      <c r="I40" s="176">
        <f t="shared" si="9"/>
        <v>9098410</v>
      </c>
      <c r="J40" s="176">
        <f t="shared" si="9"/>
        <v>5637812</v>
      </c>
      <c r="K40" s="176">
        <f t="shared" si="9"/>
        <v>2011257</v>
      </c>
      <c r="L40" s="176">
        <f t="shared" si="9"/>
        <v>4072664</v>
      </c>
      <c r="M40" s="176">
        <f t="shared" si="9"/>
        <v>2603909</v>
      </c>
      <c r="N40" s="176">
        <f t="shared" si="9"/>
        <v>3370180</v>
      </c>
      <c r="O40" s="176">
        <f t="shared" si="9"/>
        <v>4384108</v>
      </c>
      <c r="P40" s="176">
        <f t="shared" si="9"/>
        <v>3411028</v>
      </c>
      <c r="Q40" s="176">
        <f t="shared" si="9"/>
        <v>3028898</v>
      </c>
      <c r="R40" s="176">
        <f t="shared" si="9"/>
        <v>5617372</v>
      </c>
      <c r="S40" s="176">
        <f t="shared" si="9"/>
        <v>3868579</v>
      </c>
    </row>
    <row r="41" spans="1:19">
      <c r="A41" s="71"/>
      <c r="D41" s="72"/>
      <c r="E41" s="130">
        <v>3601</v>
      </c>
      <c r="F41" s="132" t="s">
        <v>143</v>
      </c>
      <c r="G41" s="177" t="s">
        <v>209</v>
      </c>
    </row>
    <row r="42" spans="1:19">
      <c r="A42" s="71"/>
      <c r="B42" s="79" t="s">
        <v>107</v>
      </c>
      <c r="D42" s="72"/>
      <c r="E42" s="130">
        <f>-8186+461</f>
        <v>-7725</v>
      </c>
      <c r="F42" s="132" t="s">
        <v>144</v>
      </c>
    </row>
    <row r="43" spans="1:19">
      <c r="A43" s="71">
        <f>A40+1</f>
        <v>26</v>
      </c>
      <c r="B43" s="67" t="s">
        <v>106</v>
      </c>
      <c r="C43" s="85"/>
      <c r="D43" s="122">
        <f t="shared" ref="D43:D46" si="10">ROUND(G43/1000,0)</f>
        <v>6214</v>
      </c>
      <c r="E43" s="130">
        <f>4732-461</f>
        <v>4271</v>
      </c>
      <c r="F43" s="132" t="s">
        <v>145</v>
      </c>
      <c r="G43" s="134">
        <f t="shared" ref="G43:G46" si="11">SUM(H43:S43)</f>
        <v>6213997</v>
      </c>
      <c r="H43" s="134">
        <v>776613</v>
      </c>
      <c r="I43" s="134">
        <v>610601</v>
      </c>
      <c r="J43" s="134">
        <v>632850</v>
      </c>
      <c r="K43" s="134">
        <v>-22216</v>
      </c>
      <c r="L43" s="134">
        <v>0</v>
      </c>
      <c r="M43" s="134">
        <v>272220</v>
      </c>
      <c r="N43" s="134">
        <v>656265</v>
      </c>
      <c r="O43" s="134">
        <v>640827</v>
      </c>
      <c r="P43" s="134">
        <v>645386</v>
      </c>
      <c r="Q43" s="134">
        <v>608280</v>
      </c>
      <c r="R43" s="134">
        <v>620300</v>
      </c>
      <c r="S43" s="134">
        <v>772871</v>
      </c>
    </row>
    <row r="44" spans="1:19">
      <c r="A44" s="71">
        <f>A43+1</f>
        <v>27</v>
      </c>
      <c r="B44" s="67" t="s">
        <v>105</v>
      </c>
      <c r="C44" s="85"/>
      <c r="D44" s="122">
        <f t="shared" si="10"/>
        <v>18</v>
      </c>
      <c r="E44" s="133">
        <f>SUM(E41:E43)</f>
        <v>147</v>
      </c>
      <c r="F44" s="132"/>
      <c r="G44" s="134">
        <f t="shared" si="11"/>
        <v>18435</v>
      </c>
      <c r="H44" s="134">
        <v>788</v>
      </c>
      <c r="I44" s="134">
        <v>5300</v>
      </c>
      <c r="J44" s="134">
        <v>-3247</v>
      </c>
      <c r="K44" s="134">
        <v>20</v>
      </c>
      <c r="L44" s="134">
        <v>-5519</v>
      </c>
      <c r="M44" s="134">
        <v>6030</v>
      </c>
      <c r="N44" s="134">
        <v>162</v>
      </c>
      <c r="O44" s="134">
        <v>-8</v>
      </c>
      <c r="P44" s="134">
        <v>-4</v>
      </c>
      <c r="Q44" s="134">
        <v>10408</v>
      </c>
      <c r="R44" s="134">
        <v>3259</v>
      </c>
      <c r="S44" s="134">
        <v>1246</v>
      </c>
    </row>
    <row r="45" spans="1:19">
      <c r="A45" s="71">
        <f>A44+1</f>
        <v>28</v>
      </c>
      <c r="B45" s="81" t="s">
        <v>104</v>
      </c>
      <c r="C45" s="83"/>
      <c r="D45" s="122">
        <f t="shared" si="10"/>
        <v>22448</v>
      </c>
      <c r="G45" s="134">
        <f t="shared" si="11"/>
        <v>22448146</v>
      </c>
      <c r="H45" s="134">
        <v>2068317</v>
      </c>
      <c r="I45" s="134">
        <v>857176</v>
      </c>
      <c r="J45" s="134">
        <v>2215754</v>
      </c>
      <c r="K45" s="134">
        <v>2009290</v>
      </c>
      <c r="L45" s="134">
        <v>1172871</v>
      </c>
      <c r="M45" s="134">
        <v>1573569</v>
      </c>
      <c r="N45" s="134">
        <v>1691988</v>
      </c>
      <c r="O45" s="134">
        <v>3868707</v>
      </c>
      <c r="P45" s="134">
        <v>1944992</v>
      </c>
      <c r="Q45" s="134">
        <v>1664444</v>
      </c>
      <c r="R45" s="134">
        <v>1822521</v>
      </c>
      <c r="S45" s="134">
        <v>1558517</v>
      </c>
    </row>
    <row r="46" spans="1:19">
      <c r="A46" s="71">
        <f>A45+1</f>
        <v>29</v>
      </c>
      <c r="B46" s="69" t="s">
        <v>103</v>
      </c>
      <c r="C46" s="84"/>
      <c r="D46" s="122">
        <f t="shared" si="10"/>
        <v>200</v>
      </c>
      <c r="G46" s="134">
        <f t="shared" si="11"/>
        <v>200053</v>
      </c>
      <c r="H46" s="134">
        <v>20662</v>
      </c>
      <c r="I46" s="134">
        <v>16718</v>
      </c>
      <c r="J46" s="134">
        <v>22282</v>
      </c>
      <c r="K46" s="134">
        <v>6678</v>
      </c>
      <c r="L46" s="134">
        <v>4134</v>
      </c>
      <c r="M46" s="134">
        <v>41037</v>
      </c>
      <c r="N46" s="134">
        <v>17069</v>
      </c>
      <c r="O46" s="134">
        <v>23871</v>
      </c>
      <c r="P46" s="134">
        <v>0</v>
      </c>
      <c r="Q46" s="134">
        <v>1329</v>
      </c>
      <c r="R46" s="134">
        <v>45847</v>
      </c>
      <c r="S46" s="134">
        <v>426</v>
      </c>
    </row>
    <row r="47" spans="1:19">
      <c r="A47" s="83">
        <f>A46+1</f>
        <v>30</v>
      </c>
      <c r="B47" s="67" t="s">
        <v>102</v>
      </c>
      <c r="D47" s="78">
        <f>SUM(D43:D46)</f>
        <v>28880</v>
      </c>
      <c r="E47" s="102">
        <v>30850</v>
      </c>
      <c r="G47" s="176">
        <f>SUM(G43:G46)</f>
        <v>28880631</v>
      </c>
      <c r="H47" s="176">
        <f t="shared" ref="H47:S47" si="12">SUM(H43:H46)</f>
        <v>2866380</v>
      </c>
      <c r="I47" s="176">
        <f t="shared" si="12"/>
        <v>1489795</v>
      </c>
      <c r="J47" s="176">
        <f t="shared" si="12"/>
        <v>2867639</v>
      </c>
      <c r="K47" s="176">
        <f t="shared" si="12"/>
        <v>1993772</v>
      </c>
      <c r="L47" s="176">
        <f t="shared" si="12"/>
        <v>1171486</v>
      </c>
      <c r="M47" s="176">
        <f t="shared" si="12"/>
        <v>1892856</v>
      </c>
      <c r="N47" s="176">
        <f t="shared" si="12"/>
        <v>2365484</v>
      </c>
      <c r="O47" s="176">
        <f t="shared" si="12"/>
        <v>4533397</v>
      </c>
      <c r="P47" s="176">
        <f t="shared" si="12"/>
        <v>2590374</v>
      </c>
      <c r="Q47" s="176">
        <f t="shared" si="12"/>
        <v>2284461</v>
      </c>
      <c r="R47" s="176">
        <f t="shared" si="12"/>
        <v>2491927</v>
      </c>
      <c r="S47" s="176">
        <f t="shared" si="12"/>
        <v>2333060</v>
      </c>
    </row>
    <row r="48" spans="1:19">
      <c r="A48" s="71"/>
      <c r="D48" s="72"/>
      <c r="E48" s="103">
        <f>E47-D47</f>
        <v>1970</v>
      </c>
      <c r="F48" s="191" t="s">
        <v>142</v>
      </c>
      <c r="G48" s="177" t="s">
        <v>209</v>
      </c>
    </row>
    <row r="49" spans="1:19">
      <c r="A49" s="71"/>
      <c r="B49" s="79" t="s">
        <v>101</v>
      </c>
      <c r="D49" s="72"/>
      <c r="F49" s="191"/>
    </row>
    <row r="50" spans="1:19">
      <c r="A50" s="71">
        <f>A47+1</f>
        <v>31</v>
      </c>
      <c r="B50" s="80" t="s">
        <v>100</v>
      </c>
      <c r="D50" s="122">
        <f t="shared" ref="D50:D60" si="13">ROUND(G50/1000,0)</f>
        <v>32968</v>
      </c>
      <c r="G50" s="134">
        <f t="shared" ref="G50:G53" si="14">SUM(H50:S50)</f>
        <v>32967511</v>
      </c>
      <c r="H50" s="134">
        <v>2612337</v>
      </c>
      <c r="I50" s="134">
        <v>5587117</v>
      </c>
      <c r="J50" s="134">
        <v>3604314</v>
      </c>
      <c r="K50" s="134">
        <v>1817341</v>
      </c>
      <c r="L50" s="134">
        <v>653380</v>
      </c>
      <c r="M50" s="134">
        <v>760751</v>
      </c>
      <c r="N50" s="134">
        <v>2648262</v>
      </c>
      <c r="O50" s="134">
        <v>2763838</v>
      </c>
      <c r="P50" s="134">
        <v>2811486</v>
      </c>
      <c r="Q50" s="134">
        <v>3068999</v>
      </c>
      <c r="R50" s="134">
        <v>3562018</v>
      </c>
      <c r="S50" s="134">
        <v>3077668</v>
      </c>
    </row>
    <row r="51" spans="1:19">
      <c r="A51" s="71">
        <f t="shared" ref="A51:A61" si="15">A50+1</f>
        <v>32</v>
      </c>
      <c r="B51" s="80" t="s">
        <v>99</v>
      </c>
      <c r="D51" s="122">
        <f t="shared" si="13"/>
        <v>0</v>
      </c>
      <c r="G51" s="134">
        <f t="shared" si="14"/>
        <v>0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</row>
    <row r="52" spans="1:19">
      <c r="A52" s="71">
        <f t="shared" si="15"/>
        <v>33</v>
      </c>
      <c r="B52" s="80" t="s">
        <v>98</v>
      </c>
      <c r="D52" s="122">
        <f t="shared" si="13"/>
        <v>32086</v>
      </c>
      <c r="G52" s="134">
        <f t="shared" si="14"/>
        <v>32086242</v>
      </c>
      <c r="H52" s="134">
        <v>2820838</v>
      </c>
      <c r="I52" s="134">
        <v>5983438</v>
      </c>
      <c r="J52" s="134">
        <v>3298237</v>
      </c>
      <c r="K52" s="134">
        <v>1471291</v>
      </c>
      <c r="L52" s="134">
        <v>1149758</v>
      </c>
      <c r="M52" s="134">
        <v>831582</v>
      </c>
      <c r="N52" s="134">
        <v>2346743</v>
      </c>
      <c r="O52" s="134">
        <v>2456056</v>
      </c>
      <c r="P52" s="134">
        <v>2572484</v>
      </c>
      <c r="Q52" s="134">
        <v>3040955</v>
      </c>
      <c r="R52" s="134">
        <v>3319423</v>
      </c>
      <c r="S52" s="134">
        <v>2795437</v>
      </c>
    </row>
    <row r="53" spans="1:19">
      <c r="A53" s="71">
        <f t="shared" si="15"/>
        <v>34</v>
      </c>
      <c r="B53" s="80" t="s">
        <v>97</v>
      </c>
      <c r="D53" s="122">
        <f t="shared" si="13"/>
        <v>0</v>
      </c>
      <c r="G53" s="134">
        <f t="shared" si="14"/>
        <v>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>
      <c r="A54" s="71">
        <f t="shared" si="15"/>
        <v>35</v>
      </c>
      <c r="B54" s="67" t="s">
        <v>96</v>
      </c>
      <c r="D54" s="122">
        <f t="shared" si="13"/>
        <v>0</v>
      </c>
      <c r="G54" s="134">
        <f t="shared" ref="G54:G60" si="16">SUM(H54:S54)</f>
        <v>0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1:19">
      <c r="A55" s="71">
        <f t="shared" si="15"/>
        <v>36</v>
      </c>
      <c r="B55" s="67" t="s">
        <v>191</v>
      </c>
      <c r="D55" s="122">
        <f t="shared" si="13"/>
        <v>0</v>
      </c>
      <c r="G55" s="134">
        <f t="shared" si="16"/>
        <v>0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19">
      <c r="A56" s="71">
        <f t="shared" si="15"/>
        <v>37</v>
      </c>
      <c r="B56" s="67" t="s">
        <v>95</v>
      </c>
      <c r="D56" s="122">
        <f t="shared" si="13"/>
        <v>0</v>
      </c>
      <c r="G56" s="134">
        <f t="shared" si="16"/>
        <v>0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</row>
    <row r="57" spans="1:19">
      <c r="A57" s="71">
        <f t="shared" si="15"/>
        <v>38</v>
      </c>
      <c r="B57" s="81" t="s">
        <v>94</v>
      </c>
      <c r="C57" s="81"/>
      <c r="D57" s="122">
        <f t="shared" si="13"/>
        <v>4410</v>
      </c>
      <c r="G57" s="134">
        <f t="shared" si="16"/>
        <v>4409646</v>
      </c>
      <c r="H57" s="134">
        <v>50766</v>
      </c>
      <c r="I57" s="134">
        <v>534706</v>
      </c>
      <c r="J57" s="134">
        <v>570531</v>
      </c>
      <c r="K57" s="134">
        <v>45297</v>
      </c>
      <c r="L57" s="134">
        <v>42573</v>
      </c>
      <c r="M57" s="134">
        <v>152865</v>
      </c>
      <c r="N57" s="134">
        <v>348664</v>
      </c>
      <c r="O57" s="134">
        <v>876795</v>
      </c>
      <c r="P57" s="134">
        <v>548612</v>
      </c>
      <c r="Q57" s="134">
        <v>350514</v>
      </c>
      <c r="R57" s="134">
        <v>573698</v>
      </c>
      <c r="S57" s="134">
        <v>314625</v>
      </c>
    </row>
    <row r="58" spans="1:19">
      <c r="A58" s="71">
        <f t="shared" si="15"/>
        <v>39</v>
      </c>
      <c r="B58" s="67" t="s">
        <v>93</v>
      </c>
      <c r="D58" s="122">
        <f t="shared" si="13"/>
        <v>71</v>
      </c>
      <c r="G58" s="134">
        <f t="shared" si="16"/>
        <v>70677</v>
      </c>
      <c r="H58" s="134">
        <v>-152</v>
      </c>
      <c r="I58" s="134">
        <v>2307</v>
      </c>
      <c r="J58" s="134">
        <v>10489</v>
      </c>
      <c r="K58" s="134">
        <v>23648</v>
      </c>
      <c r="L58" s="134">
        <v>-2426</v>
      </c>
      <c r="M58" s="134">
        <v>13904</v>
      </c>
      <c r="N58" s="134">
        <v>-1050</v>
      </c>
      <c r="O58" s="134">
        <v>683</v>
      </c>
      <c r="P58" s="134">
        <v>422</v>
      </c>
      <c r="Q58" s="134">
        <v>680</v>
      </c>
      <c r="R58" s="134">
        <v>-169</v>
      </c>
      <c r="S58" s="134">
        <v>22341</v>
      </c>
    </row>
    <row r="59" spans="1:19">
      <c r="A59" s="71">
        <f t="shared" si="15"/>
        <v>40</v>
      </c>
      <c r="B59" s="67" t="s">
        <v>92</v>
      </c>
      <c r="D59" s="122">
        <f t="shared" si="13"/>
        <v>1472</v>
      </c>
      <c r="G59" s="134">
        <f t="shared" si="16"/>
        <v>1472414</v>
      </c>
      <c r="H59" s="134">
        <v>30234</v>
      </c>
      <c r="I59" s="134">
        <v>205334</v>
      </c>
      <c r="J59" s="134">
        <v>152890</v>
      </c>
      <c r="K59" s="134">
        <v>10113</v>
      </c>
      <c r="L59" s="134">
        <v>14935</v>
      </c>
      <c r="M59" s="134">
        <v>54616</v>
      </c>
      <c r="N59" s="134">
        <v>100795</v>
      </c>
      <c r="O59" s="134">
        <v>207925</v>
      </c>
      <c r="P59" s="134">
        <v>114001</v>
      </c>
      <c r="Q59" s="134">
        <v>238051</v>
      </c>
      <c r="R59" s="134">
        <v>179389</v>
      </c>
      <c r="S59" s="134">
        <v>164131</v>
      </c>
    </row>
    <row r="60" spans="1:19">
      <c r="A60" s="71">
        <f t="shared" si="15"/>
        <v>41</v>
      </c>
      <c r="B60" s="82" t="s">
        <v>91</v>
      </c>
      <c r="C60" s="69"/>
      <c r="D60" s="122">
        <f t="shared" si="13"/>
        <v>494</v>
      </c>
      <c r="G60" s="134">
        <f t="shared" si="16"/>
        <v>494464</v>
      </c>
      <c r="H60" s="134">
        <v>6111</v>
      </c>
      <c r="I60" s="134">
        <v>72905</v>
      </c>
      <c r="J60" s="134">
        <v>35599</v>
      </c>
      <c r="K60" s="134">
        <v>-47</v>
      </c>
      <c r="L60" s="134">
        <v>4027</v>
      </c>
      <c r="M60" s="134">
        <v>8818</v>
      </c>
      <c r="N60" s="134">
        <v>27249</v>
      </c>
      <c r="O60" s="134">
        <v>48356</v>
      </c>
      <c r="P60" s="134">
        <v>74541</v>
      </c>
      <c r="Q60" s="134">
        <v>79841</v>
      </c>
      <c r="R60" s="134">
        <v>103215</v>
      </c>
      <c r="S60" s="134">
        <v>33849</v>
      </c>
    </row>
    <row r="61" spans="1:19">
      <c r="A61" s="71">
        <f t="shared" si="15"/>
        <v>42</v>
      </c>
      <c r="B61" s="67" t="s">
        <v>90</v>
      </c>
      <c r="D61" s="78">
        <f>SUM(D50:D60)</f>
        <v>71501</v>
      </c>
      <c r="E61" s="72">
        <v>71501</v>
      </c>
      <c r="G61" s="176">
        <f>SUM(G50:G60)</f>
        <v>71500954</v>
      </c>
      <c r="H61" s="176">
        <f t="shared" ref="H61:S61" si="17">SUM(H50:H60)</f>
        <v>5520134</v>
      </c>
      <c r="I61" s="176">
        <f t="shared" si="17"/>
        <v>12385807</v>
      </c>
      <c r="J61" s="176">
        <f t="shared" si="17"/>
        <v>7672060</v>
      </c>
      <c r="K61" s="176">
        <f t="shared" si="17"/>
        <v>3367643</v>
      </c>
      <c r="L61" s="176">
        <f t="shared" si="17"/>
        <v>1862247</v>
      </c>
      <c r="M61" s="176">
        <f t="shared" si="17"/>
        <v>1822536</v>
      </c>
      <c r="N61" s="176">
        <f t="shared" si="17"/>
        <v>5470663</v>
      </c>
      <c r="O61" s="176">
        <f t="shared" si="17"/>
        <v>6353653</v>
      </c>
      <c r="P61" s="176">
        <f t="shared" si="17"/>
        <v>6121546</v>
      </c>
      <c r="Q61" s="176">
        <f t="shared" si="17"/>
        <v>6779040</v>
      </c>
      <c r="R61" s="176">
        <f t="shared" si="17"/>
        <v>7737574</v>
      </c>
      <c r="S61" s="176">
        <f t="shared" si="17"/>
        <v>6408051</v>
      </c>
    </row>
    <row r="62" spans="1:19">
      <c r="A62" s="71"/>
      <c r="G62" s="177" t="s">
        <v>209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89</v>
      </c>
      <c r="D66" s="72"/>
    </row>
    <row r="67" spans="1:19">
      <c r="A67" s="71"/>
      <c r="B67" s="67" t="s">
        <v>135</v>
      </c>
      <c r="C67" s="81"/>
      <c r="D67" s="122">
        <f t="shared" ref="D67:D76" si="18">ROUND(G67/1000,0)</f>
        <v>17253</v>
      </c>
      <c r="G67" s="134">
        <f t="shared" ref="G67:G74" si="19">SUM(H67:S67)</f>
        <v>17252818</v>
      </c>
      <c r="H67" s="134">
        <v>1471955</v>
      </c>
      <c r="I67" s="134">
        <v>1538740</v>
      </c>
      <c r="J67" s="134">
        <v>1681541</v>
      </c>
      <c r="K67" s="134">
        <v>1453127</v>
      </c>
      <c r="L67" s="134">
        <v>1443878</v>
      </c>
      <c r="M67" s="134">
        <v>1405484</v>
      </c>
      <c r="N67" s="134">
        <v>1336049</v>
      </c>
      <c r="O67" s="134">
        <v>1351057</v>
      </c>
      <c r="P67" s="134">
        <v>1368573</v>
      </c>
      <c r="Q67" s="134">
        <v>1378329</v>
      </c>
      <c r="R67" s="134">
        <v>1412329</v>
      </c>
      <c r="S67" s="134">
        <v>1411756</v>
      </c>
    </row>
    <row r="68" spans="1:19">
      <c r="A68" s="71">
        <f>A61+1</f>
        <v>43</v>
      </c>
      <c r="B68" s="67" t="s">
        <v>88</v>
      </c>
      <c r="C68" s="81"/>
      <c r="D68" s="122">
        <f t="shared" si="18"/>
        <v>0</v>
      </c>
      <c r="G68" s="134">
        <f t="shared" si="19"/>
        <v>0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>
      <c r="A69" s="71">
        <f>A68+1</f>
        <v>44</v>
      </c>
      <c r="B69" s="67" t="s">
        <v>87</v>
      </c>
      <c r="D69" s="122">
        <f t="shared" si="18"/>
        <v>0</v>
      </c>
      <c r="G69" s="134">
        <f t="shared" si="19"/>
        <v>0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</row>
    <row r="70" spans="1:19">
      <c r="A70" s="71">
        <f t="shared" ref="A70:A77" si="20">A69+1</f>
        <v>45</v>
      </c>
      <c r="B70" s="67" t="s">
        <v>86</v>
      </c>
      <c r="D70" s="122">
        <f t="shared" si="18"/>
        <v>0</v>
      </c>
      <c r="G70" s="134">
        <f t="shared" si="19"/>
        <v>0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</row>
    <row r="71" spans="1:19">
      <c r="A71" s="71">
        <f t="shared" si="20"/>
        <v>46</v>
      </c>
      <c r="B71" s="67" t="s">
        <v>85</v>
      </c>
      <c r="D71" s="122">
        <f t="shared" si="18"/>
        <v>0</v>
      </c>
      <c r="G71" s="134">
        <f t="shared" si="19"/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</row>
    <row r="72" spans="1:19">
      <c r="A72" s="71">
        <f t="shared" si="20"/>
        <v>47</v>
      </c>
      <c r="B72" s="67" t="s">
        <v>84</v>
      </c>
      <c r="D72" s="122">
        <f t="shared" si="18"/>
        <v>0</v>
      </c>
      <c r="G72" s="134">
        <f t="shared" si="19"/>
        <v>0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</row>
    <row r="73" spans="1:19">
      <c r="A73" s="71">
        <f t="shared" si="20"/>
        <v>48</v>
      </c>
      <c r="B73" s="67" t="s">
        <v>83</v>
      </c>
      <c r="D73" s="122">
        <f t="shared" si="18"/>
        <v>0</v>
      </c>
      <c r="G73" s="134">
        <f t="shared" si="19"/>
        <v>0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</row>
    <row r="74" spans="1:19">
      <c r="A74" s="71">
        <f t="shared" si="20"/>
        <v>49</v>
      </c>
      <c r="B74" s="67" t="s">
        <v>82</v>
      </c>
      <c r="D74" s="122">
        <f t="shared" si="18"/>
        <v>0</v>
      </c>
      <c r="G74" s="134">
        <f t="shared" si="19"/>
        <v>0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</row>
    <row r="75" spans="1:19">
      <c r="A75" s="71">
        <f t="shared" si="20"/>
        <v>50</v>
      </c>
      <c r="B75" s="67" t="s">
        <v>81</v>
      </c>
      <c r="C75" s="81"/>
      <c r="D75" s="122">
        <f t="shared" si="18"/>
        <v>0</v>
      </c>
      <c r="G75" s="134">
        <f t="shared" ref="G75:G76" si="21">SUM(H75:S75)</f>
        <v>0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</row>
    <row r="76" spans="1:19">
      <c r="A76" s="71">
        <f t="shared" si="20"/>
        <v>51</v>
      </c>
      <c r="B76" s="69" t="s">
        <v>80</v>
      </c>
      <c r="C76" s="69"/>
      <c r="D76" s="122">
        <f t="shared" si="18"/>
        <v>0</v>
      </c>
      <c r="G76" s="134">
        <f t="shared" si="21"/>
        <v>0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</row>
    <row r="77" spans="1:19">
      <c r="A77" s="71">
        <f t="shared" si="20"/>
        <v>52</v>
      </c>
      <c r="B77" s="67" t="s">
        <v>79</v>
      </c>
      <c r="D77" s="78">
        <f>SUM(D67:D76)</f>
        <v>17253</v>
      </c>
      <c r="E77" s="72">
        <v>17253</v>
      </c>
      <c r="G77" s="176">
        <f>SUM(G67:G76)</f>
        <v>17252818</v>
      </c>
      <c r="H77" s="176">
        <f t="shared" ref="H77:S77" si="22">SUM(H67:H76)</f>
        <v>1471955</v>
      </c>
      <c r="I77" s="176">
        <f t="shared" si="22"/>
        <v>1538740</v>
      </c>
      <c r="J77" s="176">
        <f t="shared" si="22"/>
        <v>1681541</v>
      </c>
      <c r="K77" s="176">
        <f t="shared" si="22"/>
        <v>1453127</v>
      </c>
      <c r="L77" s="176">
        <f t="shared" si="22"/>
        <v>1443878</v>
      </c>
      <c r="M77" s="176">
        <f t="shared" si="22"/>
        <v>1405484</v>
      </c>
      <c r="N77" s="176">
        <f t="shared" si="22"/>
        <v>1336049</v>
      </c>
      <c r="O77" s="176">
        <f t="shared" si="22"/>
        <v>1351057</v>
      </c>
      <c r="P77" s="176">
        <f t="shared" si="22"/>
        <v>1368573</v>
      </c>
      <c r="Q77" s="176">
        <f t="shared" si="22"/>
        <v>1378329</v>
      </c>
      <c r="R77" s="176">
        <f t="shared" si="22"/>
        <v>1412329</v>
      </c>
      <c r="S77" s="176">
        <f t="shared" si="22"/>
        <v>1411756</v>
      </c>
    </row>
    <row r="78" spans="1:19" ht="12.95" customHeight="1">
      <c r="A78" s="71"/>
      <c r="G78" s="177" t="s">
        <v>209</v>
      </c>
    </row>
    <row r="79" spans="1:19" ht="12" customHeight="1">
      <c r="A79" s="71"/>
      <c r="B79" s="79" t="s">
        <v>78</v>
      </c>
      <c r="D79" s="72"/>
    </row>
    <row r="80" spans="1:19" ht="12" customHeight="1">
      <c r="A80" s="71">
        <f>A77+1</f>
        <v>53</v>
      </c>
      <c r="B80" s="67" t="s">
        <v>77</v>
      </c>
      <c r="D80" s="76"/>
      <c r="G80" s="134">
        <f t="shared" ref="G80" si="23">SUM(H80:S80)</f>
        <v>0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1" t="s">
        <v>76</v>
      </c>
      <c r="C82" s="142"/>
      <c r="D82" s="143">
        <f>D27+D40+D47+D61+D77+D80</f>
        <v>301254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75</v>
      </c>
      <c r="D84" s="72"/>
    </row>
    <row r="85" spans="1:19" ht="12.95" customHeight="1">
      <c r="A85" s="71">
        <f>A82+1</f>
        <v>55</v>
      </c>
      <c r="B85" s="67" t="s">
        <v>74</v>
      </c>
      <c r="D85" s="122">
        <f>-ROUND(G85/1000,0)</f>
        <v>62644</v>
      </c>
      <c r="G85" s="134">
        <f t="shared" ref="G85:G94" si="24">SUM(H85:S85)</f>
        <v>-62643957</v>
      </c>
      <c r="H85" s="134">
        <v>-5667231</v>
      </c>
      <c r="I85" s="134">
        <v>-1839796</v>
      </c>
      <c r="J85" s="134">
        <v>-6130300</v>
      </c>
      <c r="K85" s="134">
        <v>-9008080</v>
      </c>
      <c r="L85" s="134">
        <v>-7461700</v>
      </c>
      <c r="M85" s="134">
        <v>-5925220</v>
      </c>
      <c r="N85" s="134">
        <v>-5181353</v>
      </c>
      <c r="O85" s="134">
        <v>-4169722</v>
      </c>
      <c r="P85" s="134">
        <v>-5591067</v>
      </c>
      <c r="Q85" s="134">
        <v>-3365547</v>
      </c>
      <c r="R85" s="134">
        <v>-3627169</v>
      </c>
      <c r="S85" s="134">
        <v>-4676772</v>
      </c>
    </row>
    <row r="86" spans="1:19" ht="12.95" customHeight="1">
      <c r="A86" s="71">
        <f t="shared" ref="A86:A95" si="25">A85+1</f>
        <v>56</v>
      </c>
      <c r="B86" s="67" t="s">
        <v>73</v>
      </c>
      <c r="D86" s="122">
        <f t="shared" ref="D86:D94" si="26">-ROUND(G86/1000,0)</f>
        <v>0</v>
      </c>
      <c r="G86" s="134">
        <f t="shared" si="24"/>
        <v>0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</row>
    <row r="87" spans="1:19" ht="12.95" customHeight="1">
      <c r="A87" s="71">
        <f t="shared" si="25"/>
        <v>57</v>
      </c>
      <c r="B87" s="67" t="s">
        <v>72</v>
      </c>
      <c r="D87" s="122">
        <f t="shared" si="26"/>
        <v>0</v>
      </c>
      <c r="G87" s="134">
        <f t="shared" si="24"/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19">
      <c r="A88" s="71">
        <f t="shared" si="25"/>
        <v>58</v>
      </c>
      <c r="B88" s="80" t="s">
        <v>71</v>
      </c>
      <c r="D88" s="122">
        <f t="shared" si="26"/>
        <v>0</v>
      </c>
      <c r="G88" s="134">
        <f t="shared" si="24"/>
        <v>0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</row>
    <row r="89" spans="1:19">
      <c r="A89" s="71">
        <f t="shared" si="25"/>
        <v>59</v>
      </c>
      <c r="B89" s="67" t="s">
        <v>70</v>
      </c>
      <c r="D89" s="122">
        <f t="shared" si="26"/>
        <v>1724</v>
      </c>
      <c r="G89" s="134">
        <f t="shared" si="24"/>
        <v>-1724003</v>
      </c>
      <c r="H89" s="134">
        <v>-120724</v>
      </c>
      <c r="I89" s="134">
        <v>-304137</v>
      </c>
      <c r="J89" s="134">
        <v>-375125</v>
      </c>
      <c r="K89" s="134">
        <v>-60162</v>
      </c>
      <c r="L89" s="134">
        <v>-45193</v>
      </c>
      <c r="M89" s="134">
        <v>-61644</v>
      </c>
      <c r="N89" s="134">
        <v>-104422</v>
      </c>
      <c r="O89" s="134">
        <v>-139139</v>
      </c>
      <c r="P89" s="134">
        <v>-135088</v>
      </c>
      <c r="Q89" s="134">
        <v>-124139</v>
      </c>
      <c r="R89" s="134">
        <v>-123122</v>
      </c>
      <c r="S89" s="134">
        <v>-131108</v>
      </c>
    </row>
    <row r="90" spans="1:19">
      <c r="A90" s="71">
        <f t="shared" si="25"/>
        <v>60</v>
      </c>
      <c r="B90" s="67" t="s">
        <v>69</v>
      </c>
      <c r="D90" s="122">
        <f t="shared" si="26"/>
        <v>149</v>
      </c>
      <c r="G90" s="134">
        <f t="shared" si="24"/>
        <v>-149070</v>
      </c>
      <c r="H90" s="134">
        <v>-12804</v>
      </c>
      <c r="I90" s="134">
        <v>-11620</v>
      </c>
      <c r="J90" s="134">
        <v>-12663</v>
      </c>
      <c r="K90" s="134">
        <v>-12424</v>
      </c>
      <c r="L90" s="134">
        <v>-12082</v>
      </c>
      <c r="M90" s="134">
        <v>-12073</v>
      </c>
      <c r="N90" s="134">
        <v>-12467</v>
      </c>
      <c r="O90" s="134">
        <v>-12668</v>
      </c>
      <c r="P90" s="134">
        <v>-12296</v>
      </c>
      <c r="Q90" s="134">
        <v>-12663</v>
      </c>
      <c r="R90" s="134">
        <v>-12588</v>
      </c>
      <c r="S90" s="134">
        <v>-12722</v>
      </c>
    </row>
    <row r="91" spans="1:19">
      <c r="A91" s="71">
        <f t="shared" si="25"/>
        <v>61</v>
      </c>
      <c r="B91" s="67" t="s">
        <v>68</v>
      </c>
      <c r="D91" s="122">
        <f t="shared" si="26"/>
        <v>665</v>
      </c>
      <c r="G91" s="134">
        <f t="shared" si="24"/>
        <v>-665451</v>
      </c>
      <c r="H91" s="134">
        <v>-63475</v>
      </c>
      <c r="I91" s="134">
        <v>-58476</v>
      </c>
      <c r="J91" s="134">
        <v>-58414</v>
      </c>
      <c r="K91" s="134">
        <v>-50505</v>
      </c>
      <c r="L91" s="134">
        <v>-54144</v>
      </c>
      <c r="M91" s="134">
        <v>-54456</v>
      </c>
      <c r="N91" s="134">
        <v>-52981</v>
      </c>
      <c r="O91" s="134">
        <v>-49092</v>
      </c>
      <c r="P91" s="134">
        <v>-50837</v>
      </c>
      <c r="Q91" s="134">
        <v>-60377</v>
      </c>
      <c r="R91" s="134">
        <v>-54865</v>
      </c>
      <c r="S91" s="134">
        <v>-57829</v>
      </c>
    </row>
    <row r="92" spans="1:19">
      <c r="A92" s="71">
        <f t="shared" si="25"/>
        <v>62</v>
      </c>
      <c r="B92" s="67" t="s">
        <v>67</v>
      </c>
      <c r="D92" s="122">
        <f t="shared" si="26"/>
        <v>0</v>
      </c>
      <c r="G92" s="134">
        <f t="shared" si="24"/>
        <v>0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</row>
    <row r="93" spans="1:19">
      <c r="A93" s="71">
        <f t="shared" si="25"/>
        <v>63</v>
      </c>
      <c r="B93" s="67" t="s">
        <v>66</v>
      </c>
      <c r="D93" s="122">
        <f t="shared" si="26"/>
        <v>0</v>
      </c>
      <c r="G93" s="134">
        <f t="shared" si="24"/>
        <v>0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</row>
    <row r="94" spans="1:19">
      <c r="A94" s="71">
        <f t="shared" si="25"/>
        <v>64</v>
      </c>
      <c r="B94" s="69" t="s">
        <v>65</v>
      </c>
      <c r="C94" s="69"/>
      <c r="D94" s="122">
        <f t="shared" si="26"/>
        <v>15040</v>
      </c>
      <c r="G94" s="134">
        <f t="shared" si="24"/>
        <v>-15040488</v>
      </c>
      <c r="H94" s="134">
        <v>-1090562</v>
      </c>
      <c r="I94" s="134">
        <v>-1486418</v>
      </c>
      <c r="J94" s="134">
        <v>-1399685</v>
      </c>
      <c r="K94" s="134">
        <v>-1642181</v>
      </c>
      <c r="L94" s="134">
        <v>-1644969</v>
      </c>
      <c r="M94" s="134">
        <v>-1587682</v>
      </c>
      <c r="N94" s="134">
        <v>-1264148</v>
      </c>
      <c r="O94" s="134">
        <v>-1014122</v>
      </c>
      <c r="P94" s="134">
        <v>-1119797</v>
      </c>
      <c r="Q94" s="134">
        <v>-921083</v>
      </c>
      <c r="R94" s="134">
        <v>-899978</v>
      </c>
      <c r="S94" s="134">
        <v>-969863</v>
      </c>
    </row>
    <row r="95" spans="1:19">
      <c r="A95" s="71">
        <f t="shared" si="25"/>
        <v>65</v>
      </c>
      <c r="B95" s="67" t="s">
        <v>64</v>
      </c>
      <c r="D95" s="123">
        <f>SUM(D85:D94)</f>
        <v>80222</v>
      </c>
      <c r="E95" s="72">
        <v>81398</v>
      </c>
      <c r="G95" s="176">
        <f>SUM(G85:G94)</f>
        <v>-80222969</v>
      </c>
      <c r="H95" s="176">
        <f t="shared" ref="H95:S95" si="27">SUM(H85:H94)</f>
        <v>-6954796</v>
      </c>
      <c r="I95" s="176">
        <f t="shared" si="27"/>
        <v>-3700447</v>
      </c>
      <c r="J95" s="176">
        <f t="shared" si="27"/>
        <v>-7976187</v>
      </c>
      <c r="K95" s="176">
        <f t="shared" si="27"/>
        <v>-10773352</v>
      </c>
      <c r="L95" s="176">
        <f t="shared" si="27"/>
        <v>-9218088</v>
      </c>
      <c r="M95" s="176">
        <f t="shared" si="27"/>
        <v>-7641075</v>
      </c>
      <c r="N95" s="176">
        <f t="shared" si="27"/>
        <v>-6615371</v>
      </c>
      <c r="O95" s="176">
        <f t="shared" si="27"/>
        <v>-5384743</v>
      </c>
      <c r="P95" s="176">
        <f t="shared" si="27"/>
        <v>-6909085</v>
      </c>
      <c r="Q95" s="176">
        <f t="shared" si="27"/>
        <v>-4483809</v>
      </c>
      <c r="R95" s="176">
        <f t="shared" si="27"/>
        <v>-4717722</v>
      </c>
      <c r="S95" s="176">
        <f t="shared" si="27"/>
        <v>-5848294</v>
      </c>
    </row>
    <row r="96" spans="1:19">
      <c r="A96" s="71"/>
      <c r="E96" s="129">
        <f>E95-D95</f>
        <v>1176</v>
      </c>
      <c r="F96" s="67" t="s">
        <v>196</v>
      </c>
      <c r="G96" s="177" t="s">
        <v>209</v>
      </c>
    </row>
    <row r="97" spans="1:19">
      <c r="A97" s="71"/>
      <c r="B97" s="79" t="s">
        <v>63</v>
      </c>
      <c r="D97" s="72"/>
    </row>
    <row r="98" spans="1:19">
      <c r="A98" s="71">
        <f>A95+1</f>
        <v>66</v>
      </c>
      <c r="B98" s="144" t="s">
        <v>219</v>
      </c>
      <c r="D98" s="172">
        <f>-G98/1000</f>
        <v>1749.328</v>
      </c>
      <c r="G98" s="134">
        <f t="shared" ref="G98" si="28">SUM(H98:S98)</f>
        <v>-1749328</v>
      </c>
      <c r="H98" s="134">
        <v>-144120</v>
      </c>
      <c r="I98" s="134">
        <v>-107154</v>
      </c>
      <c r="J98" s="134">
        <v>-116699</v>
      </c>
      <c r="K98" s="134">
        <v>-214328</v>
      </c>
      <c r="L98" s="134">
        <v>-171596</v>
      </c>
      <c r="M98" s="134">
        <v>-166715</v>
      </c>
      <c r="N98" s="134">
        <v>-275203</v>
      </c>
      <c r="O98" s="134">
        <v>-141598</v>
      </c>
      <c r="P98" s="134">
        <v>26430</v>
      </c>
      <c r="Q98" s="134">
        <v>-125821</v>
      </c>
      <c r="R98" s="134">
        <v>-116402</v>
      </c>
      <c r="S98" s="134">
        <v>-196122</v>
      </c>
    </row>
    <row r="99" spans="1:19">
      <c r="A99" s="71">
        <f>A98+1</f>
        <v>67</v>
      </c>
      <c r="B99" s="67" t="s">
        <v>62</v>
      </c>
      <c r="C99" s="132"/>
      <c r="D99" s="76">
        <f>G99/10000</f>
        <v>4.7556510000000003</v>
      </c>
      <c r="G99" s="134">
        <f>SUM(H99:S99)</f>
        <v>47556.51</v>
      </c>
      <c r="H99" s="134">
        <v>1675.51</v>
      </c>
      <c r="I99" s="134">
        <v>4290.3500000000004</v>
      </c>
      <c r="J99" s="134">
        <v>1435.4599999999998</v>
      </c>
      <c r="K99" s="134">
        <v>4930.13</v>
      </c>
      <c r="L99" s="134">
        <v>3219.46</v>
      </c>
      <c r="M99" s="134">
        <v>3476.03</v>
      </c>
      <c r="N99" s="134">
        <v>3400.35</v>
      </c>
      <c r="O99" s="134">
        <v>6636.29</v>
      </c>
      <c r="P99" s="134">
        <v>6703.5300000000007</v>
      </c>
      <c r="Q99" s="134">
        <v>4578.6000000000004</v>
      </c>
      <c r="R99" s="134">
        <v>4377.05</v>
      </c>
      <c r="S99" s="134">
        <v>2833.75</v>
      </c>
    </row>
    <row r="100" spans="1:19" hidden="1" outlineLevel="1">
      <c r="A100" s="71"/>
      <c r="D100" s="124"/>
      <c r="G100" s="134">
        <f t="shared" ref="G100:G104" si="29">SUM(H100:S100)</f>
        <v>-5327943</v>
      </c>
      <c r="H100" s="134">
        <v>-168836</v>
      </c>
      <c r="I100" s="134">
        <v>-1280368</v>
      </c>
      <c r="J100" s="134">
        <v>-712744</v>
      </c>
      <c r="K100" s="134">
        <v>-1424435</v>
      </c>
      <c r="L100" s="134">
        <v>-1952688</v>
      </c>
      <c r="M100" s="134">
        <v>-1566138</v>
      </c>
      <c r="N100" s="134">
        <v>-1059625</v>
      </c>
      <c r="O100" s="134">
        <v>-315640</v>
      </c>
      <c r="P100" s="134">
        <v>-834788</v>
      </c>
      <c r="Q100" s="134">
        <v>-1154925</v>
      </c>
      <c r="R100" s="134">
        <v>973890</v>
      </c>
      <c r="S100" s="134">
        <v>4168354</v>
      </c>
    </row>
    <row r="101" spans="1:19" hidden="1" outlineLevel="1">
      <c r="A101" s="71"/>
      <c r="D101" s="124"/>
      <c r="G101" s="134">
        <f t="shared" si="29"/>
        <v>-33445351</v>
      </c>
      <c r="H101" s="134">
        <v>-364889</v>
      </c>
      <c r="I101" s="134">
        <v>-2477540</v>
      </c>
      <c r="J101" s="134">
        <v>-2469784</v>
      </c>
      <c r="K101" s="134">
        <v>-3601157</v>
      </c>
      <c r="L101" s="134">
        <v>-5475344</v>
      </c>
      <c r="M101" s="134">
        <v>-5390232</v>
      </c>
      <c r="N101" s="134">
        <v>-1141788</v>
      </c>
      <c r="O101" s="134">
        <v>-1251787</v>
      </c>
      <c r="P101" s="134">
        <v>-1233448</v>
      </c>
      <c r="Q101" s="134">
        <v>-6461511</v>
      </c>
      <c r="R101" s="134">
        <v>-979330</v>
      </c>
      <c r="S101" s="134">
        <v>-2598541</v>
      </c>
    </row>
    <row r="102" spans="1:19" hidden="1" outlineLevel="1">
      <c r="A102" s="71"/>
      <c r="D102" s="124"/>
      <c r="G102" s="134">
        <f t="shared" si="29"/>
        <v>-755453</v>
      </c>
      <c r="H102" s="134">
        <v>0</v>
      </c>
      <c r="I102" s="134">
        <v>0</v>
      </c>
      <c r="J102" s="134">
        <v>-182104</v>
      </c>
      <c r="K102" s="134">
        <v>-49440</v>
      </c>
      <c r="L102" s="134">
        <v>-58523</v>
      </c>
      <c r="M102" s="134">
        <v>-68065</v>
      </c>
      <c r="N102" s="134">
        <v>-67171</v>
      </c>
      <c r="O102" s="134">
        <v>-62167</v>
      </c>
      <c r="P102" s="134">
        <v>-78295</v>
      </c>
      <c r="Q102" s="134">
        <v>-74042</v>
      </c>
      <c r="R102" s="134">
        <v>-71613</v>
      </c>
      <c r="S102" s="134">
        <v>-44033</v>
      </c>
    </row>
    <row r="103" spans="1:19" hidden="1" outlineLevel="1">
      <c r="A103" s="71"/>
      <c r="D103" s="124"/>
      <c r="G103" s="134">
        <f t="shared" si="29"/>
        <v>-30550888</v>
      </c>
      <c r="H103" s="134">
        <v>-4514484</v>
      </c>
      <c r="I103" s="134">
        <v>-1324718</v>
      </c>
      <c r="J103" s="134">
        <v>-1017222</v>
      </c>
      <c r="K103" s="134">
        <v>-816042</v>
      </c>
      <c r="L103" s="134">
        <v>-523918</v>
      </c>
      <c r="M103" s="134">
        <v>-664057</v>
      </c>
      <c r="N103" s="134">
        <v>-3408554</v>
      </c>
      <c r="O103" s="134">
        <v>-4540587</v>
      </c>
      <c r="P103" s="134">
        <v>-3692298</v>
      </c>
      <c r="Q103" s="134">
        <v>-1562158</v>
      </c>
      <c r="R103" s="134">
        <v>-2959363</v>
      </c>
      <c r="S103" s="134">
        <v>-5527487</v>
      </c>
    </row>
    <row r="104" spans="1:19" hidden="1" outlineLevel="1">
      <c r="A104" s="71"/>
      <c r="D104" s="124"/>
      <c r="G104" s="134">
        <f t="shared" si="29"/>
        <v>5765182</v>
      </c>
      <c r="H104" s="134">
        <v>187589</v>
      </c>
      <c r="I104" s="134">
        <v>238295</v>
      </c>
      <c r="J104" s="134">
        <v>27125</v>
      </c>
      <c r="K104" s="134">
        <v>371923</v>
      </c>
      <c r="L104" s="134">
        <v>107454</v>
      </c>
      <c r="M104" s="134">
        <v>225014</v>
      </c>
      <c r="N104" s="134">
        <v>356500</v>
      </c>
      <c r="O104" s="134">
        <v>1156300</v>
      </c>
      <c r="P104" s="134">
        <v>709500</v>
      </c>
      <c r="Q104" s="134">
        <v>1432550</v>
      </c>
      <c r="R104" s="134">
        <v>16750</v>
      </c>
      <c r="S104" s="134">
        <v>936182</v>
      </c>
    </row>
    <row r="105" spans="1:19" hidden="1" outlineLevel="1">
      <c r="A105" s="71"/>
      <c r="D105" s="124"/>
      <c r="G105" s="134">
        <f t="shared" ref="G105" si="30">SUM(H105:S105)</f>
        <v>-5765182</v>
      </c>
      <c r="H105" s="134">
        <v>-187589</v>
      </c>
      <c r="I105" s="134">
        <v>-238295</v>
      </c>
      <c r="J105" s="134">
        <v>-27125</v>
      </c>
      <c r="K105" s="134">
        <v>-371923</v>
      </c>
      <c r="L105" s="134">
        <v>-107454</v>
      </c>
      <c r="M105" s="134">
        <v>-225014</v>
      </c>
      <c r="N105" s="134">
        <v>-356500</v>
      </c>
      <c r="O105" s="134">
        <v>-1156300</v>
      </c>
      <c r="P105" s="134">
        <v>-709500</v>
      </c>
      <c r="Q105" s="134">
        <v>-1432550</v>
      </c>
      <c r="R105" s="134">
        <v>-16750</v>
      </c>
      <c r="S105" s="134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4">
        <f>SUM(H106:S106)</f>
        <v>-53713300</v>
      </c>
      <c r="H106" s="134">
        <v>-1791972</v>
      </c>
      <c r="I106" s="134">
        <v>-11545416</v>
      </c>
      <c r="J106" s="134">
        <v>-2926458</v>
      </c>
      <c r="K106" s="134">
        <v>-2328212</v>
      </c>
      <c r="L106" s="134">
        <v>-5138988</v>
      </c>
      <c r="M106" s="134">
        <v>-3733771</v>
      </c>
      <c r="N106" s="134">
        <v>-3898232</v>
      </c>
      <c r="O106" s="134">
        <v>-4328551</v>
      </c>
      <c r="P106" s="134">
        <v>-3965160</v>
      </c>
      <c r="Q106" s="134">
        <v>-3375425</v>
      </c>
      <c r="R106" s="134">
        <v>-6403167</v>
      </c>
      <c r="S106" s="134">
        <v>-4277948</v>
      </c>
    </row>
    <row r="107" spans="1:19">
      <c r="A107" s="71">
        <f>A106+1</f>
        <v>69</v>
      </c>
      <c r="B107" s="67" t="s">
        <v>60</v>
      </c>
      <c r="D107" s="78">
        <f>SUM(D98:D106)</f>
        <v>55467.083651000001</v>
      </c>
      <c r="E107" s="130">
        <v>85521</v>
      </c>
      <c r="F107" s="103">
        <f>E107-D107</f>
        <v>30053.916348999999</v>
      </c>
      <c r="G107" s="176">
        <f t="shared" ref="G107:S107" si="31">SUM(G98:G99,G106)</f>
        <v>-55415071.490000002</v>
      </c>
      <c r="H107" s="176">
        <f t="shared" si="31"/>
        <v>-1934416.49</v>
      </c>
      <c r="I107" s="176">
        <f t="shared" si="31"/>
        <v>-11648279.65</v>
      </c>
      <c r="J107" s="176">
        <f t="shared" si="31"/>
        <v>-3041721.54</v>
      </c>
      <c r="K107" s="176">
        <f t="shared" si="31"/>
        <v>-2537609.87</v>
      </c>
      <c r="L107" s="176">
        <f t="shared" si="31"/>
        <v>-5307364.54</v>
      </c>
      <c r="M107" s="176">
        <f t="shared" si="31"/>
        <v>-3897009.97</v>
      </c>
      <c r="N107" s="176">
        <f t="shared" si="31"/>
        <v>-4170034.65</v>
      </c>
      <c r="O107" s="176">
        <f t="shared" si="31"/>
        <v>-4463512.71</v>
      </c>
      <c r="P107" s="176">
        <f t="shared" si="31"/>
        <v>-3932026.47</v>
      </c>
      <c r="Q107" s="176">
        <f t="shared" si="31"/>
        <v>-3496667.4</v>
      </c>
      <c r="R107" s="176">
        <f t="shared" si="31"/>
        <v>-6515191.9500000002</v>
      </c>
      <c r="S107" s="176">
        <f t="shared" si="31"/>
        <v>-4471236.25</v>
      </c>
    </row>
    <row r="108" spans="1:19" s="132" customFormat="1" ht="13.15" customHeight="1">
      <c r="A108" s="136" t="s">
        <v>59</v>
      </c>
      <c r="D108" s="76"/>
      <c r="E108" s="130">
        <f>19308005/1000</f>
        <v>19308.005000000001</v>
      </c>
      <c r="F108" s="132" t="s">
        <v>148</v>
      </c>
      <c r="G108" s="134">
        <f t="shared" ref="G108:G110" si="32">SUM(H108:S108)</f>
        <v>-19360034</v>
      </c>
      <c r="H108" s="134">
        <v>-1387701</v>
      </c>
      <c r="I108" s="134">
        <v>-1693902</v>
      </c>
      <c r="J108" s="134">
        <v>-2209602</v>
      </c>
      <c r="K108" s="134">
        <v>-1531403</v>
      </c>
      <c r="L108" s="134">
        <v>-1383252</v>
      </c>
      <c r="M108" s="134">
        <v>-1745648</v>
      </c>
      <c r="N108" s="134">
        <v>-1528953</v>
      </c>
      <c r="O108" s="134">
        <v>-1486892</v>
      </c>
      <c r="P108" s="134">
        <v>-1347981</v>
      </c>
      <c r="Q108" s="178">
        <v>-1430613</v>
      </c>
      <c r="R108" s="178">
        <v>-1678250</v>
      </c>
      <c r="S108" s="178">
        <v>-1935837</v>
      </c>
    </row>
    <row r="109" spans="1:19">
      <c r="A109" s="71"/>
      <c r="B109" s="77" t="s">
        <v>58</v>
      </c>
      <c r="D109" s="72"/>
      <c r="E109" s="130">
        <f>8699268.31/1000</f>
        <v>8699.2683100000013</v>
      </c>
      <c r="F109" s="67" t="s">
        <v>147</v>
      </c>
      <c r="G109" s="177" t="s">
        <v>209</v>
      </c>
    </row>
    <row r="110" spans="1:19">
      <c r="A110" s="71">
        <f>A107+1</f>
        <v>70</v>
      </c>
      <c r="B110" s="67" t="s">
        <v>57</v>
      </c>
      <c r="D110" s="76">
        <v>0</v>
      </c>
      <c r="E110" s="130">
        <f>2051478.41/1000</f>
        <v>2051.4784099999997</v>
      </c>
      <c r="F110" s="67" t="s">
        <v>146</v>
      </c>
      <c r="G110" s="134">
        <f t="shared" si="32"/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</row>
    <row r="111" spans="1:19" ht="12.6" customHeight="1">
      <c r="A111" s="71"/>
      <c r="D111" s="76"/>
      <c r="E111" s="104">
        <f>SUM(E108:E110)</f>
        <v>30058.751720000004</v>
      </c>
    </row>
    <row r="112" spans="1:19" ht="6" customHeight="1">
      <c r="A112" s="71"/>
      <c r="D112" s="72"/>
    </row>
    <row r="113" spans="1:4">
      <c r="A113" s="71">
        <f>A110+1</f>
        <v>71</v>
      </c>
      <c r="B113" s="75" t="s">
        <v>56</v>
      </c>
      <c r="C113" s="74"/>
      <c r="D113" s="73">
        <f>D95+D107+D110</f>
        <v>135689.08365099999</v>
      </c>
    </row>
    <row r="114" spans="1:4" ht="7.5" customHeight="1">
      <c r="A114" s="71"/>
      <c r="D114" s="72"/>
    </row>
    <row r="115" spans="1:4">
      <c r="A115" s="71">
        <f>A113+1</f>
        <v>72</v>
      </c>
      <c r="B115" s="75" t="s">
        <v>55</v>
      </c>
      <c r="C115" s="74"/>
      <c r="D115" s="73">
        <f>D82-D113</f>
        <v>165564.91634900001</v>
      </c>
    </row>
    <row r="116" spans="1:4" ht="6" customHeight="1">
      <c r="A116" s="71"/>
      <c r="D116" s="72"/>
    </row>
    <row r="117" spans="1:4" ht="12.75" customHeight="1">
      <c r="A117" s="71"/>
      <c r="B117" s="70"/>
      <c r="D117" s="72"/>
    </row>
    <row r="118" spans="1:4">
      <c r="A118" s="190"/>
      <c r="B118" s="190"/>
      <c r="C118" s="190"/>
      <c r="D118" s="190"/>
    </row>
    <row r="119" spans="1:4">
      <c r="B119" s="135"/>
      <c r="C119" s="135"/>
      <c r="D119" s="135"/>
    </row>
    <row r="120" spans="1:4">
      <c r="B120" s="135"/>
      <c r="C120" s="135"/>
      <c r="D120" s="135"/>
    </row>
    <row r="121" spans="1:4">
      <c r="B121" s="135"/>
      <c r="C121" s="135"/>
      <c r="D121" s="135"/>
    </row>
    <row r="122" spans="1:4">
      <c r="B122" s="135"/>
      <c r="C122" s="135"/>
      <c r="D122" s="162"/>
    </row>
    <row r="123" spans="1:4">
      <c r="B123" s="135"/>
      <c r="C123" s="135"/>
      <c r="D123" s="163"/>
    </row>
    <row r="125" spans="1:4">
      <c r="D125" s="159"/>
    </row>
    <row r="126" spans="1:4">
      <c r="D126" s="159"/>
    </row>
    <row r="127" spans="1:4">
      <c r="D127" s="159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4FA266-77FA-47F0-AE20-3FBE8428DEDB}"/>
</file>

<file path=customXml/itemProps2.xml><?xml version="1.0" encoding="utf-8"?>
<ds:datastoreItem xmlns:ds="http://schemas.openxmlformats.org/officeDocument/2006/customXml" ds:itemID="{199DAB28-95F9-43A3-BE0C-CA60A5D3D587}"/>
</file>

<file path=customXml/itemProps3.xml><?xml version="1.0" encoding="utf-8"?>
<ds:datastoreItem xmlns:ds="http://schemas.openxmlformats.org/officeDocument/2006/customXml" ds:itemID="{42C7F0C9-660B-477C-8C89-3285107CA950}"/>
</file>

<file path=customXml/itemProps4.xml><?xml version="1.0" encoding="utf-8"?>
<ds:datastoreItem xmlns:ds="http://schemas.openxmlformats.org/officeDocument/2006/customXml" ds:itemID="{5812A869-BCB7-4F2D-B37F-BCE47DB033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PF Power Supply Adjustments</vt:lpstr>
      <vt:lpstr>Monthly Authorized</vt:lpstr>
      <vt:lpstr>12.2019 Actual</vt:lpstr>
      <vt:lpstr>'12.2019 Actual'!Print_Area</vt:lpstr>
      <vt:lpstr>'Monthly Authorized'!Print_Area</vt:lpstr>
      <vt:lpstr>'PF Power Supply Adjustments'!Print_Area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2019-03-12T18:15:05Z</cp:lastPrinted>
  <dcterms:created xsi:type="dcterms:W3CDTF">2017-02-02T18:22:39Z</dcterms:created>
  <dcterms:modified xsi:type="dcterms:W3CDTF">2020-04-21T18:40:28Z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