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22.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calcChain.xml" ContentType="application/vnd.openxmlformats-officedocument.spreadsheetml.calcChain+xml"/>
  <Override PartName="/xl/comments6.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5.xml" ContentType="application/vnd.openxmlformats-officedocument.spreadsheetml.comment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4.xml" ContentType="application/vnd.openxmlformats-officedocument.spreadsheetml.comments+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mc:AlternateContent xmlns:mc="http://schemas.openxmlformats.org/markup-compatibility/2006">
    <mc:Choice Requires="x15">
      <x15ac:absPath xmlns:x15ac="http://schemas.microsoft.com/office/spreadsheetml/2010/11/ac" url="C:\wrk\30_ava\3046-9 - 2018 GRC\disc\BR01\_fnl\"/>
    </mc:Choice>
  </mc:AlternateContent>
  <bookViews>
    <workbookView xWindow="-330" yWindow="7185" windowWidth="19410" windowHeight="11010" tabRatio="848" firstSheet="1" activeTab="1"/>
  </bookViews>
  <sheets>
    <sheet name="Table 1" sheetId="127" r:id="rId1"/>
    <sheet name="Tab 1 Rev. Req. Summary" sheetId="116" r:id="rId2"/>
    <sheet name="Tab 2 Rev. Req. Calc." sheetId="51" r:id="rId3"/>
    <sheet name="Tab 3 Conversion Factor" sheetId="52" r:id="rId4"/>
    <sheet name="Tab 4 Adjustment Details" sheetId="1" r:id="rId5"/>
    <sheet name="Acerno_Cache_XXXXX" sheetId="115" state="veryHidden" r:id="rId6"/>
    <sheet name="Tab 5a Adjustment TCJA-1 " sheetId="118" r:id="rId7"/>
    <sheet name="Tab 5b Sch. M Detail" sheetId="119" r:id="rId8"/>
    <sheet name="Tab 5c Def. Tax Expense" sheetId="120" r:id="rId9"/>
    <sheet name="Tab 6a Adjustment TCJA-2" sheetId="121" r:id="rId10"/>
    <sheet name="Tab 6b Restated ADIT" sheetId="123" r:id="rId11"/>
    <sheet name="Tab 7a Deferral " sheetId="122" r:id="rId12"/>
    <sheet name="Tab 7b Deferral Amort" sheetId="124" r:id="rId13"/>
    <sheet name="Workpapers-&gt;" sheetId="117" r:id="rId14"/>
    <sheet name="ADJ SUMMARY" sheetId="3" r:id="rId15"/>
    <sheet name="LEAD SHEETS-DO NOT ENTER" sheetId="113" r:id="rId16"/>
    <sheet name="ROO INPUT" sheetId="111" r:id="rId17"/>
    <sheet name="DEBT CALC" sheetId="48" r:id="rId18"/>
    <sheet name="COMPARISON" sheetId="99" r:id="rId19"/>
    <sheet name="PROPOSED RATES-2018-NOT USED" sheetId="50" r:id="rId20"/>
    <sheet name="RETAIL REVENUE CREDIT-not used" sheetId="82" r:id="rId21"/>
    <sheet name="PROPOSED RATES-2019-not used" sheetId="114" r:id="rId22"/>
  </sheets>
  <externalReferences>
    <externalReference r:id="rId23"/>
    <externalReference r:id="rId24"/>
    <externalReference r:id="rId25"/>
    <externalReference r:id="rId26"/>
    <externalReference r:id="rId27"/>
    <externalReference r:id="rId28"/>
  </externalReferences>
  <definedNames>
    <definedName name="Allocators">'[1]E-ALL'!$C$7:$J$145</definedName>
    <definedName name="C_AAM_Titles" localSheetId="0">#REF!,#REF!</definedName>
    <definedName name="C_AAM_Titles">#REF!,#REF!</definedName>
    <definedName name="C_ADP_Titles" localSheetId="0">#REF!,#REF!</definedName>
    <definedName name="C_ADP_Titles">#REF!,#REF!</definedName>
    <definedName name="C_DTX_Titles" localSheetId="0">#REF!,#REF!</definedName>
    <definedName name="C_DTX_Titles">#REF!,#REF!</definedName>
    <definedName name="C_GPL_Titles" localSheetId="0">#REF!,#REF!</definedName>
    <definedName name="C_GPL_Titles">#REF!,#REF!</definedName>
    <definedName name="C_IPL_Titles" localSheetId="0">#REF!,#REF!</definedName>
    <definedName name="C_IPL_Titles">#REF!,#REF!</definedName>
    <definedName name="_xlnm.Database">[2]!_xlnm.Database</definedName>
    <definedName name="E_903" localSheetId="0">#REF!</definedName>
    <definedName name="E_903">#REF!</definedName>
    <definedName name="E_903_Area" localSheetId="0">#REF!</definedName>
    <definedName name="E_903_Area">#REF!</definedName>
    <definedName name="E_903_Titles" localSheetId="0">#REF!,#REF!</definedName>
    <definedName name="E_903_Titles">#REF!,#REF!</definedName>
    <definedName name="E_908_Titles" localSheetId="0">#REF!,#REF!</definedName>
    <definedName name="E_908_Titles">#REF!,#REF!</definedName>
    <definedName name="E_928_Titles" localSheetId="0">#REF!,#REF!</definedName>
    <definedName name="E_928_Titles">#REF!,#REF!</definedName>
    <definedName name="E_ADP_Titles" localSheetId="0">#REF!,#REF!</definedName>
    <definedName name="E_ADP_Titles">#REF!,#REF!</definedName>
    <definedName name="E_ALL_Titles" localSheetId="0">#REF!,#REF!</definedName>
    <definedName name="E_ALL_Titles">#REF!,#REF!</definedName>
    <definedName name="E_APL_Titles" localSheetId="0">#REF!,#REF!</definedName>
    <definedName name="E_APL_Titles">#REF!,#REF!</definedName>
    <definedName name="E_CAM_Titles" localSheetId="0">#REF!,#REF!</definedName>
    <definedName name="E_CAM_Titles">#REF!,#REF!</definedName>
    <definedName name="E_DTE">'Tab 5c Def. Tax Expense'!$C$2:$C$24</definedName>
    <definedName name="E_DTE_Area">'Tab 5c Def. Tax Expense'!$H$7:$K$24</definedName>
    <definedName name="E_DTE_Titles" localSheetId="0">#REF!,#REF!</definedName>
    <definedName name="E_DTE_Titles">#REF!,#REF!</definedName>
    <definedName name="E_FIT">'Tab 5a Adjustment TCJA-1 '!$B$2:$B$30</definedName>
    <definedName name="E_FIT_Area">'Tab 5a Adjustment TCJA-1 '!$G$7:$J$36</definedName>
    <definedName name="E_FIT_Titles" localSheetId="0">#REF!,#REF!</definedName>
    <definedName name="E_FIT_Titles">#REF!,#REF!</definedName>
    <definedName name="E_OPS_Titles" localSheetId="0">#REF!,#REF!</definedName>
    <definedName name="E_OPS_Titles">#REF!,#REF!</definedName>
    <definedName name="E_OTX_Titles" localSheetId="0">#REF!,#REF!</definedName>
    <definedName name="E_OTX_Titles">#REF!,#REF!</definedName>
    <definedName name="E_PLT_Titles" localSheetId="0">#REF!,#REF!</definedName>
    <definedName name="E_PLT_Titles">#REF!,#REF!</definedName>
    <definedName name="E_ROR_Titles" localSheetId="0">#REF!,#REF!</definedName>
    <definedName name="E_ROR_Titles">#REF!,#REF!</definedName>
    <definedName name="E_SCM">'Tab 5b Sch. M Detail'!$C$2:$P$87</definedName>
    <definedName name="E_SCM_Area">'Tab 5b Sch. M Detail'!$H$7:$P$87</definedName>
    <definedName name="E_SCM_Titles" localSheetId="0">#REF!,#REF!</definedName>
    <definedName name="E_SCM_Titles">#REF!,#REF!</definedName>
    <definedName name="e_State_9473" localSheetId="0">#REF!</definedName>
    <definedName name="e_State_9473">#REF!</definedName>
    <definedName name="G_804_Titles">#REF!,#REF!</definedName>
    <definedName name="G_807_Titles">#REF!,#REF!</definedName>
    <definedName name="G_928_Titles">#REF!,#REF!</definedName>
    <definedName name="G_ADP_Titles">#REF!,#REF!</definedName>
    <definedName name="G_ALL_Titles">#REF!,#REF!</definedName>
    <definedName name="G_APL_Titles">#REF!,#REF!</definedName>
    <definedName name="G_CAM_Titles">#REF!,#REF!</definedName>
    <definedName name="G_DTE_Titles">#REF!,#REF!</definedName>
    <definedName name="G_FIT_Titles">#REF!,#REF!</definedName>
    <definedName name="G_OPS_Titles">#REF!,#REF!</definedName>
    <definedName name="G_OTX_Titles">#REF!,#REF!</definedName>
    <definedName name="G_PLT_Titles">#REF!,#REF!</definedName>
    <definedName name="G_ROR_Titles">#REF!,#REF!</definedName>
    <definedName name="G_SCM_Titles">#REF!,#REF!</definedName>
    <definedName name="ID_Elec" localSheetId="16">#REF!</definedName>
    <definedName name="ID_Elec">'DEBT CALC'!$A$83:$F$160</definedName>
    <definedName name="ID_Gas" localSheetId="15">'DEBT CALC'!#REF!</definedName>
    <definedName name="ID_Gas" localSheetId="21">'DEBT CALC'!#REF!</definedName>
    <definedName name="ID_Gas" localSheetId="16">#REF!</definedName>
    <definedName name="ID_Gas" localSheetId="1">'[3]DEBT CALC'!#REF!</definedName>
    <definedName name="ID_Gas" localSheetId="0">'[4]DEBT CALC'!#REF!</definedName>
    <definedName name="ID_Gas">'DEBT CALC'!#REF!</definedName>
    <definedName name="months" localSheetId="0">[5]DATA!$H$2</definedName>
    <definedName name="months">[1]Data!$H$2</definedName>
    <definedName name="_xlnm.Print_Area" localSheetId="14">'ADJ SUMMARY'!$A$1:$H$56</definedName>
    <definedName name="_xlnm.Print_Area" localSheetId="18">COMPARISON!$A$1:$Q$120</definedName>
    <definedName name="_xlnm.Print_Area" localSheetId="17">'DEBT CALC'!$A$1:$I$62</definedName>
    <definedName name="_xlnm.Print_Area" localSheetId="15">'LEAD SHEETS-DO NOT ENTER'!$A$2:$AP$80</definedName>
    <definedName name="_xlnm.Print_Area" localSheetId="19">'PROPOSED RATES-2018-NOT USED'!$A$1:$I$82</definedName>
    <definedName name="_xlnm.Print_Area" localSheetId="21">'PROPOSED RATES-2019-not used'!$A$1:$J$83</definedName>
    <definedName name="_xlnm.Print_Area" localSheetId="20">'RETAIL REVENUE CREDIT-not used'!$A$1:$J$90</definedName>
    <definedName name="_xlnm.Print_Area" localSheetId="16">'ROO INPUT'!$A$1:$G$81</definedName>
    <definedName name="_xlnm.Print_Area" localSheetId="1">'Tab 1 Rev. Req. Summary'!$A$1:$AF$60</definedName>
    <definedName name="_xlnm.Print_Area" localSheetId="2">'Tab 2 Rev. Req. Calc.'!$A$1:$H$40,'Tab 2 Rev. Req. Calc.'!$I$1:$N$18</definedName>
    <definedName name="_xlnm.Print_Area" localSheetId="3">'Tab 3 Conversion Factor'!$A$1:$H$28</definedName>
    <definedName name="_xlnm.Print_Area" localSheetId="4">'Tab 4 Adjustment Details'!$A$1:$AY$86</definedName>
    <definedName name="_xlnm.Print_Area" localSheetId="6">'Tab 5a Adjustment TCJA-1 '!$B$1:$W$41</definedName>
    <definedName name="_xlnm.Print_Area" localSheetId="7">'Tab 5b Sch. M Detail'!$C$1:$P$87</definedName>
    <definedName name="_xlnm.Print_Area" localSheetId="8">'Tab 5c Def. Tax Expense'!$C$1:$P$23</definedName>
    <definedName name="_xlnm.Print_Area" localSheetId="10">'Tab 6b Restated ADIT'!$A$3:$F$53</definedName>
    <definedName name="Print_for_CBReport" localSheetId="18">COMPARISON!$A$9:$H$117</definedName>
    <definedName name="Print_for_CBReport" localSheetId="20">'RETAIL REVENUE CREDIT-not used'!$A$1:$H$97</definedName>
    <definedName name="Print_for_CBReport">'ADJ SUMMARY'!$A$1:$F$56</definedName>
    <definedName name="Print_for_Checking" localSheetId="18">COMPARISON!#REF!:COMPARISON!#REF!</definedName>
    <definedName name="Print_for_Checking" localSheetId="15">'ADJ SUMMARY'!#REF!:'ADJ SUMMARY'!#REF!</definedName>
    <definedName name="Print_for_Checking" localSheetId="21">'ADJ SUMMARY'!#REF!:'ADJ SUMMARY'!#REF!</definedName>
    <definedName name="Print_for_Checking" localSheetId="20">'RETAIL REVENUE CREDIT-not used'!$A$1:'RETAIL REVENUE CREDIT-not used'!$K$112</definedName>
    <definedName name="Print_for_Checking" localSheetId="16">[6]PFRstmtSheet!$A$1:[6]PFRstmtSheet!#REF!</definedName>
    <definedName name="Print_for_Checking" localSheetId="1">'[3]ADJ SUMMARY'!#REF!:'[3]ADJ SUMMARY'!#REF!</definedName>
    <definedName name="Print_for_Checking" localSheetId="0">'[4]ADJ SUMMARY'!#REF!:'[4]ADJ SUMMARY'!#REF!</definedName>
    <definedName name="Print_for_Checking">'ADJ SUMMARY'!#REF!:'ADJ SUMMARY'!#REF!</definedName>
    <definedName name="_xlnm.Print_Titles" localSheetId="15">'LEAD SHEETS-DO NOT ENTER'!$A:$D,'LEAD SHEETS-DO NOT ENTER'!$2:$10</definedName>
    <definedName name="_xlnm.Print_Titles" localSheetId="20">'RETAIL REVENUE CREDIT-not used'!$1:$6</definedName>
    <definedName name="_xlnm.Print_Titles" localSheetId="16">'ROO INPUT'!$1:$10</definedName>
    <definedName name="_xlnm.Print_Titles" localSheetId="1">'Tab 1 Rev. Req. Summary'!$A:$G</definedName>
    <definedName name="_xlnm.Print_Titles" localSheetId="4">'Tab 4 Adjustment Details'!$A:$D,'Tab 4 Adjustment Details'!$2:$10</definedName>
    <definedName name="_xlnm.Print_Titles" localSheetId="7">'Tab 5b Sch. M Detail'!$1:$6</definedName>
    <definedName name="rbcalc" localSheetId="0">[5]DATA!$H$3</definedName>
    <definedName name="rbcalc">[1]Data!$H$3</definedName>
    <definedName name="rbcalc_heading" localSheetId="0">[5]DATA!$H$5</definedName>
    <definedName name="rbcalc_heading">[1]Data!$H$5</definedName>
    <definedName name="RRC_Adjustment_Print" localSheetId="1">#REF!</definedName>
    <definedName name="RRC_Adjustment_Print">'RETAIL REVENUE CREDIT-not used'!$B$90:$G$112</definedName>
    <definedName name="RRC_Rate_Print" localSheetId="1">#REF!</definedName>
    <definedName name="RRC_Rate_Print">'RETAIL REVENUE CREDIT-not used'!$A$1:$J$85</definedName>
    <definedName name="Summary" localSheetId="15">#REF!</definedName>
    <definedName name="Summary" localSheetId="21">#REF!</definedName>
    <definedName name="Summary" localSheetId="16">#REF!</definedName>
    <definedName name="Summary" localSheetId="1">#REF!</definedName>
    <definedName name="Summary" localSheetId="0">#REF!</definedName>
    <definedName name="Summary">#REF!</definedName>
    <definedName name="tp_heading" localSheetId="0">[5]DATA!$H$4</definedName>
    <definedName name="tp_heading">[1]Data!$H$4</definedName>
    <definedName name="WA_Elec" localSheetId="16">#REF!</definedName>
    <definedName name="WA_Elec">'DEBT CALC'!$A$1:$F$82</definedName>
    <definedName name="WA_Gas" localSheetId="15">'DEBT CALC'!#REF!</definedName>
    <definedName name="WA_Gas" localSheetId="21">'DEBT CALC'!#REF!</definedName>
    <definedName name="WA_Gas" localSheetId="16">#REF!</definedName>
    <definedName name="WA_Gas" localSheetId="1">'[3]DEBT CALC'!#REF!</definedName>
    <definedName name="WA_Gas" localSheetId="0">'[4]DEBT CALC'!#REF!</definedName>
    <definedName name="WA_Gas">'DEBT CALC'!#REF!</definedName>
    <definedName name="Z_6E1B8C45_B07F_11D2_B0DC_0000832CDFF0_.wvu.Cols" localSheetId="15" hidden="1">'LEAD SHEETS-DO NOT ENTER'!#REF!,'LEAD SHEETS-DO NOT ENTER'!$AA:$AF</definedName>
    <definedName name="Z_6E1B8C45_B07F_11D2_B0DC_0000832CDFF0_.wvu.Cols" localSheetId="4" hidden="1">'Tab 4 Adjustment Details'!#REF!,'Tab 4 Adjustment Details'!$AD:$AR</definedName>
    <definedName name="Z_6E1B8C45_B07F_11D2_B0DC_0000832CDFF0_.wvu.PrintArea" localSheetId="14" hidden="1">'ADJ SUMMARY'!$A$1:$F$56</definedName>
    <definedName name="Z_6E1B8C45_B07F_11D2_B0DC_0000832CDFF0_.wvu.PrintArea" localSheetId="18" hidden="1">COMPARISON!$A$9:$H$98</definedName>
    <definedName name="Z_6E1B8C45_B07F_11D2_B0DC_0000832CDFF0_.wvu.PrintArea" localSheetId="15" hidden="1">'LEAD SHEETS-DO NOT ENTER'!$E:$Y</definedName>
    <definedName name="Z_6E1B8C45_B07F_11D2_B0DC_0000832CDFF0_.wvu.PrintArea" localSheetId="20" hidden="1">'RETAIL REVENUE CREDIT-not used'!$A$1:$J$101</definedName>
    <definedName name="Z_6E1B8C45_B07F_11D2_B0DC_0000832CDFF0_.wvu.PrintArea" localSheetId="16" hidden="1">'ROO INPUT'!$A$1:$G$80</definedName>
    <definedName name="Z_6E1B8C45_B07F_11D2_B0DC_0000832CDFF0_.wvu.PrintArea" localSheetId="4" hidden="1">'Tab 4 Adjustment Details'!$E:$AC</definedName>
    <definedName name="Z_6E1B8C45_B07F_11D2_B0DC_0000832CDFF0_.wvu.PrintTitles" localSheetId="15" hidden="1">'LEAD SHEETS-DO NOT ENTER'!$A:$D,'LEAD SHEETS-DO NOT ENTER'!$2:$10</definedName>
    <definedName name="Z_6E1B8C45_B07F_11D2_B0DC_0000832CDFF0_.wvu.PrintTitles" localSheetId="4" hidden="1">'Tab 4 Adjustment Details'!$A:$D,'Tab 4 Adjustment Details'!$2:$10</definedName>
    <definedName name="Z_6E1B8C45_B07F_11D2_B0DC_0000832CDFF0_.wvu.Rows" localSheetId="14" hidden="1">'ADJ SUMMARY'!#REF!,'ADJ SUMMARY'!$20:$56,'ADJ SUMMARY'!$33:$33,'ADJ SUMMARY'!$38:$56,'ADJ SUMMARY'!#REF!,'ADJ SUMMARY'!#REF!,'ADJ SUMMARY'!#REF!</definedName>
    <definedName name="Z_6E1B8C45_B07F_11D2_B0DC_0000832CDFF0_.wvu.Rows" localSheetId="18" hidden="1">COMPARISON!#REF!,COMPARISON!$21:$43,COMPARISON!$33:$33,COMPARISON!$37:$59,COMPARISON!$90:$90,COMPARISON!$92:$92,COMPARISON!$99:$117</definedName>
    <definedName name="Z_6E1B8C45_B07F_11D2_B0DC_0000832CDFF0_.wvu.Rows" localSheetId="20" hidden="1">'RETAIL REVENUE CREDIT-not used'!$18:$18,'RETAIL REVENUE CREDIT-not used'!$31:$34,'RETAIL REVENUE CREDIT-not used'!#REF!,'RETAIL REVENUE CREDIT-not used'!$47:$64,'RETAIL REVENUE CREDIT-not used'!$94:$94,'RETAIL REVENUE CREDIT-not used'!$96:$96,'RETAIL REVENUE CREDIT-not used'!$102:$112</definedName>
    <definedName name="Z_A15D1962_B049_11D2_8670_0000832CEEE8_.wvu.Cols" localSheetId="15" hidden="1">'LEAD SHEETS-DO NOT ENTER'!$AA:$AF</definedName>
    <definedName name="Z_A15D1962_B049_11D2_8670_0000832CEEE8_.wvu.Cols" localSheetId="4" hidden="1">'Tab 4 Adjustment Details'!$AD:$AU</definedName>
    <definedName name="Z_A15D1962_B049_11D2_8670_0000832CEEE8_.wvu.Rows" localSheetId="14" hidden="1">'ADJ SUMMARY'!$38:$56,'ADJ SUMMARY'!#REF!</definedName>
    <definedName name="Z_A15D1962_B049_11D2_8670_0000832CEEE8_.wvu.Rows" localSheetId="18" hidden="1">COMPARISON!$37:$52,COMPARISON!$98:$117</definedName>
    <definedName name="Z_A15D1962_B049_11D2_8670_0000832CEEE8_.wvu.Rows" localSheetId="20" hidden="1">'RETAIL REVENUE CREDIT-not used'!$47:$63,'RETAIL REVENUE CREDIT-not used'!$101:$112</definedName>
  </definedNames>
  <calcPr calcId="171027" calcMode="manual"/>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workbook>
</file>

<file path=xl/calcChain.xml><?xml version="1.0" encoding="utf-8"?>
<calcChain xmlns="http://schemas.openxmlformats.org/spreadsheetml/2006/main">
  <c r="R23" i="118" l="1"/>
  <c r="AI5" i="116"/>
  <c r="H14" i="127" l="1"/>
  <c r="H16" i="127" s="1"/>
  <c r="R11" i="121" l="1"/>
  <c r="R23" i="121" l="1"/>
  <c r="R21" i="121"/>
  <c r="R20" i="121"/>
  <c r="AJ4" i="116"/>
  <c r="N54" i="1"/>
  <c r="U53" i="1"/>
  <c r="U51" i="1"/>
  <c r="AQ51" i="1"/>
  <c r="AP51" i="1"/>
  <c r="AO51" i="1"/>
  <c r="AN51" i="1"/>
  <c r="AL51" i="1"/>
  <c r="AK51" i="1"/>
  <c r="AJ51" i="1"/>
  <c r="AI51" i="1"/>
  <c r="AH51" i="1"/>
  <c r="AG51" i="1"/>
  <c r="AF51" i="1"/>
  <c r="AD51" i="1"/>
  <c r="Z51" i="1"/>
  <c r="X51" i="1"/>
  <c r="W51" i="1"/>
  <c r="V51" i="1"/>
  <c r="T51" i="1"/>
  <c r="S51" i="1"/>
  <c r="R51" i="1"/>
  <c r="Q51" i="1"/>
  <c r="P51" i="1"/>
  <c r="O51" i="1"/>
  <c r="N53" i="1"/>
  <c r="R30" i="118" s="1"/>
  <c r="N51" i="1"/>
  <c r="J51" i="1"/>
  <c r="K51" i="1"/>
  <c r="L51" i="1"/>
  <c r="M51" i="1"/>
  <c r="G51" i="1"/>
  <c r="H51" i="1"/>
  <c r="I51" i="1"/>
  <c r="F51" i="1"/>
  <c r="G89" i="1"/>
  <c r="E22" i="51"/>
  <c r="AY80" i="1"/>
  <c r="E26" i="51"/>
  <c r="R56" i="116"/>
  <c r="T30" i="118" l="1"/>
  <c r="V30" i="118" s="1"/>
  <c r="AU53" i="1" s="1"/>
  <c r="AX78" i="1" l="1"/>
  <c r="AU78" i="1"/>
  <c r="AS78" i="1"/>
  <c r="AQ78" i="1"/>
  <c r="AP78" i="1"/>
  <c r="AO78" i="1"/>
  <c r="AN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E78" i="1"/>
  <c r="AW78" i="1"/>
  <c r="A14" i="1"/>
  <c r="AX57" i="1"/>
  <c r="A15" i="1" l="1"/>
  <c r="A16" i="1" l="1"/>
  <c r="A17" i="1" l="1"/>
  <c r="A18" i="1" l="1"/>
  <c r="A19" i="1" l="1"/>
  <c r="A23" i="1" l="1"/>
  <c r="A24" i="1" l="1"/>
  <c r="A25" i="1" l="1"/>
  <c r="A26" i="1" l="1"/>
  <c r="A27" i="1" s="1"/>
  <c r="A28" i="1" s="1"/>
  <c r="A31" i="1" s="1"/>
  <c r="A32" i="1" s="1"/>
  <c r="A33" i="1" s="1"/>
  <c r="A34" i="1" s="1"/>
  <c r="A35" i="1" s="1"/>
  <c r="A37" i="1" s="1"/>
  <c r="A38" i="1" s="1"/>
  <c r="A39" i="1" s="1"/>
  <c r="A42" i="1" s="1"/>
  <c r="A43" i="1" s="1"/>
  <c r="A44" i="1" s="1"/>
  <c r="A45" i="1" s="1"/>
  <c r="A46" i="1" s="1"/>
  <c r="A48" i="1" s="1"/>
  <c r="A51" i="1" s="1"/>
  <c r="A52" i="1" s="1"/>
  <c r="A53" i="1" s="1"/>
  <c r="A54" i="1" s="1"/>
  <c r="A55" i="1" s="1"/>
  <c r="A57" i="1" s="1"/>
  <c r="A61" i="1" s="1"/>
  <c r="A62" i="1" s="1"/>
  <c r="A63" i="1" s="1"/>
  <c r="A64" i="1" s="1"/>
  <c r="A65" i="1" s="1"/>
  <c r="A66" i="1" s="1"/>
  <c r="A68" i="1" s="1"/>
  <c r="A69" i="1" s="1"/>
  <c r="A70" i="1" s="1"/>
  <c r="A71" i="1" s="1"/>
  <c r="A72" i="1" s="1"/>
  <c r="A73" i="1" s="1"/>
  <c r="A74" i="1" s="1"/>
  <c r="A76" i="1" s="1"/>
  <c r="A77" i="1" s="1"/>
  <c r="A78" i="1" s="1"/>
  <c r="A79" i="1" s="1"/>
  <c r="A80" i="1" s="1"/>
  <c r="A82" i="1" s="1"/>
  <c r="A83" i="1" s="1"/>
  <c r="A84" i="1" s="1"/>
  <c r="F31" i="124" l="1"/>
  <c r="F30" i="124"/>
  <c r="F29" i="124"/>
  <c r="F28" i="124"/>
  <c r="F27" i="124"/>
  <c r="F26" i="124"/>
  <c r="F25" i="124"/>
  <c r="F24" i="124"/>
  <c r="F23" i="124"/>
  <c r="F22" i="124"/>
  <c r="F21" i="124"/>
  <c r="F20" i="124"/>
  <c r="F19" i="124"/>
  <c r="F18" i="124"/>
  <c r="F17" i="124"/>
  <c r="F16" i="124"/>
  <c r="F15" i="124"/>
  <c r="F14" i="124"/>
  <c r="F13" i="124"/>
  <c r="F12" i="124"/>
  <c r="F11" i="124"/>
  <c r="F10" i="124"/>
  <c r="F9" i="124"/>
  <c r="A7" i="122"/>
  <c r="A8" i="122" s="1"/>
  <c r="A9" i="122" s="1"/>
  <c r="A10" i="122" s="1"/>
  <c r="F33" i="124"/>
  <c r="B10" i="124"/>
  <c r="B11" i="124" s="1"/>
  <c r="B12" i="124" s="1"/>
  <c r="B13" i="124" s="1"/>
  <c r="B14" i="124" s="1"/>
  <c r="B15" i="124" s="1"/>
  <c r="B16" i="124" s="1"/>
  <c r="B17" i="124" s="1"/>
  <c r="B18" i="124" s="1"/>
  <c r="B19" i="124" s="1"/>
  <c r="B20" i="124" s="1"/>
  <c r="B21" i="124" s="1"/>
  <c r="B22" i="124" s="1"/>
  <c r="B23" i="124" s="1"/>
  <c r="B24" i="124" s="1"/>
  <c r="B25" i="124" s="1"/>
  <c r="B26" i="124" s="1"/>
  <c r="B27" i="124" s="1"/>
  <c r="B28" i="124" s="1"/>
  <c r="B29" i="124" s="1"/>
  <c r="B30" i="124" s="1"/>
  <c r="B31" i="124" s="1"/>
  <c r="E23" i="122"/>
  <c r="F23" i="122" s="1"/>
  <c r="G23" i="122" s="1"/>
  <c r="D14" i="122"/>
  <c r="R54" i="116"/>
  <c r="AX73" i="1"/>
  <c r="AW73" i="1"/>
  <c r="AV73" i="1"/>
  <c r="AU73" i="1"/>
  <c r="AX66" i="1"/>
  <c r="AX74" i="1" s="1"/>
  <c r="AX82" i="1" s="1"/>
  <c r="AW66" i="1"/>
  <c r="AW74" i="1" s="1"/>
  <c r="AW82" i="1" s="1"/>
  <c r="AV66" i="1"/>
  <c r="AV74" i="1" s="1"/>
  <c r="AU66" i="1"/>
  <c r="AU74" i="1" s="1"/>
  <c r="AU82" i="1" s="1"/>
  <c r="AX45" i="1"/>
  <c r="AX46" i="1" s="1"/>
  <c r="AV45" i="1"/>
  <c r="AV46" i="1" s="1"/>
  <c r="AU45" i="1"/>
  <c r="AU46" i="1" s="1"/>
  <c r="AX35" i="1"/>
  <c r="AW35" i="1"/>
  <c r="AV35" i="1"/>
  <c r="AU35" i="1"/>
  <c r="AX28" i="1"/>
  <c r="AW28" i="1"/>
  <c r="AV28" i="1"/>
  <c r="AU28" i="1"/>
  <c r="AX17" i="1"/>
  <c r="AX19" i="1" s="1"/>
  <c r="AW17" i="1"/>
  <c r="AW19" i="1" s="1"/>
  <c r="AV17" i="1"/>
  <c r="AV19" i="1" s="1"/>
  <c r="AU17" i="1"/>
  <c r="AU19" i="1" s="1"/>
  <c r="V27" i="118"/>
  <c r="V26" i="118"/>
  <c r="V23" i="118"/>
  <c r="V31" i="118"/>
  <c r="W56" i="116" l="1"/>
  <c r="AW43" i="1"/>
  <c r="AW45" i="1" s="1"/>
  <c r="AW46" i="1" s="1"/>
  <c r="AW48" i="1" s="1"/>
  <c r="C10" i="122"/>
  <c r="A12" i="121"/>
  <c r="A12" i="122"/>
  <c r="C14" i="122" s="1"/>
  <c r="D17" i="122"/>
  <c r="AU48" i="1"/>
  <c r="AV48" i="1"/>
  <c r="AX48" i="1"/>
  <c r="AW51" i="1" l="1"/>
  <c r="AW57" i="1" s="1"/>
  <c r="C15" i="122"/>
  <c r="A13" i="121"/>
  <c r="A14" i="121" s="1"/>
  <c r="A14" i="122"/>
  <c r="A15" i="121" l="1"/>
  <c r="A16" i="121" s="1"/>
  <c r="A15" i="122"/>
  <c r="C17" i="122" s="1"/>
  <c r="C18" i="122" l="1"/>
  <c r="A17" i="121"/>
  <c r="A18" i="121" s="1"/>
  <c r="A17" i="122"/>
  <c r="A18" i="122" s="1"/>
  <c r="C20" i="122" s="1"/>
  <c r="A19" i="121" l="1"/>
  <c r="A20" i="122"/>
  <c r="A23" i="122" s="1"/>
  <c r="A20" i="121" l="1"/>
  <c r="A21" i="121" s="1"/>
  <c r="C25" i="122"/>
  <c r="A25" i="122"/>
  <c r="A27" i="122" s="1"/>
  <c r="C28" i="122" s="1"/>
  <c r="A22" i="121" l="1"/>
  <c r="A23" i="121" s="1"/>
  <c r="A25" i="121" s="1"/>
  <c r="A29" i="121" s="1"/>
  <c r="A31" i="121" s="1"/>
  <c r="A28" i="122"/>
  <c r="A30" i="122" s="1"/>
  <c r="A32" i="122" l="1"/>
  <c r="C36" i="122"/>
  <c r="C30" i="122"/>
  <c r="A34" i="122" l="1"/>
  <c r="A35" i="122" s="1"/>
  <c r="A36" i="122" l="1"/>
  <c r="A37" i="122" s="1"/>
  <c r="A38" i="122" s="1"/>
  <c r="C37" i="122"/>
  <c r="C38" i="122" l="1"/>
  <c r="B9" i="124" l="1"/>
  <c r="N12" i="121" l="1"/>
  <c r="P12" i="121" s="1"/>
  <c r="D25" i="121"/>
  <c r="F47" i="123"/>
  <c r="D47" i="123"/>
  <c r="F46" i="123"/>
  <c r="D46" i="123"/>
  <c r="F45" i="123"/>
  <c r="D45" i="123"/>
  <c r="F44" i="123"/>
  <c r="D44" i="123"/>
  <c r="F43" i="123"/>
  <c r="D43" i="123"/>
  <c r="D38" i="123"/>
  <c r="F33" i="123"/>
  <c r="F32" i="123"/>
  <c r="E25" i="123"/>
  <c r="F21" i="121" s="1"/>
  <c r="F24" i="123"/>
  <c r="E23" i="123"/>
  <c r="F19" i="123"/>
  <c r="F18" i="123"/>
  <c r="E24" i="123" l="1"/>
  <c r="F20" i="121" s="1"/>
  <c r="J20" i="121" s="1"/>
  <c r="N20" i="121" s="1"/>
  <c r="P20" i="121" s="1"/>
  <c r="T20" i="121" s="1"/>
  <c r="D34" i="123"/>
  <c r="E32" i="123"/>
  <c r="F23" i="121" s="1"/>
  <c r="J23" i="121" s="1"/>
  <c r="N23" i="121" s="1"/>
  <c r="P23" i="121" s="1"/>
  <c r="T23" i="121" s="1"/>
  <c r="E33" i="123"/>
  <c r="F22" i="121" s="1"/>
  <c r="J22" i="121" s="1"/>
  <c r="N22" i="121" s="1"/>
  <c r="P22" i="121" s="1"/>
  <c r="T22" i="121" s="1"/>
  <c r="F25" i="123"/>
  <c r="D26" i="123"/>
  <c r="J21" i="121"/>
  <c r="N21" i="121" s="1"/>
  <c r="P21" i="121" s="1"/>
  <c r="T21" i="121" s="1"/>
  <c r="J15" i="123"/>
  <c r="E22" i="123"/>
  <c r="E26" i="123" s="1"/>
  <c r="E19" i="123"/>
  <c r="F19" i="121" s="1"/>
  <c r="J19" i="121" s="1"/>
  <c r="N19" i="121" s="1"/>
  <c r="P19" i="121" s="1"/>
  <c r="T19" i="121" s="1"/>
  <c r="F22" i="123"/>
  <c r="I17" i="123"/>
  <c r="J16" i="123" s="1"/>
  <c r="E31" i="123"/>
  <c r="E18" i="123"/>
  <c r="F18" i="121" s="1"/>
  <c r="J18" i="121" s="1"/>
  <c r="N18" i="121" s="1"/>
  <c r="P18" i="121" s="1"/>
  <c r="T18" i="121" s="1"/>
  <c r="F23" i="123"/>
  <c r="F31" i="123"/>
  <c r="F34" i="123" s="1"/>
  <c r="E34" i="123" l="1"/>
  <c r="F11" i="121"/>
  <c r="F26" i="123"/>
  <c r="F15" i="123"/>
  <c r="E15" i="123"/>
  <c r="F16" i="121" s="1"/>
  <c r="J16" i="121" s="1"/>
  <c r="N16" i="121" s="1"/>
  <c r="P16" i="121" s="1"/>
  <c r="T16" i="121" s="1"/>
  <c r="I28" i="123"/>
  <c r="J14" i="123"/>
  <c r="J13" i="123"/>
  <c r="E16" i="123"/>
  <c r="F17" i="121" s="1"/>
  <c r="F16" i="123"/>
  <c r="J12" i="123"/>
  <c r="J11" i="121" l="1"/>
  <c r="J17" i="121"/>
  <c r="N17" i="121" s="1"/>
  <c r="P17" i="121" s="1"/>
  <c r="T17" i="121" s="1"/>
  <c r="J17" i="123"/>
  <c r="F14" i="123"/>
  <c r="E14" i="123"/>
  <c r="F15" i="121" s="1"/>
  <c r="E13" i="123"/>
  <c r="F14" i="121" s="1"/>
  <c r="J14" i="121" s="1"/>
  <c r="N14" i="121" s="1"/>
  <c r="P14" i="121" s="1"/>
  <c r="T14" i="121" s="1"/>
  <c r="F13" i="123"/>
  <c r="J15" i="121" l="1"/>
  <c r="N15" i="121" s="1"/>
  <c r="P15" i="121" s="1"/>
  <c r="T15" i="121" s="1"/>
  <c r="N11" i="121"/>
  <c r="F12" i="123"/>
  <c r="F20" i="123" s="1"/>
  <c r="F28" i="123" s="1"/>
  <c r="F36" i="123" s="1"/>
  <c r="F40" i="123" s="1"/>
  <c r="D20" i="123"/>
  <c r="D28" i="123" s="1"/>
  <c r="D36" i="123" s="1"/>
  <c r="D40" i="123" s="1"/>
  <c r="E12" i="123"/>
  <c r="E20" i="123" l="1"/>
  <c r="E28" i="123" s="1"/>
  <c r="E36" i="123" s="1"/>
  <c r="E40" i="123" s="1"/>
  <c r="F13" i="121"/>
  <c r="P11" i="121"/>
  <c r="T11" i="121" s="1"/>
  <c r="J13" i="121" l="1"/>
  <c r="F25" i="121"/>
  <c r="N13" i="121" l="1"/>
  <c r="J25" i="121"/>
  <c r="P13" i="121" l="1"/>
  <c r="N25" i="121"/>
  <c r="T13" i="121" l="1"/>
  <c r="T25" i="121" s="1"/>
  <c r="P25" i="121"/>
  <c r="E58" i="48" l="1"/>
  <c r="F58" i="48" s="1"/>
  <c r="G18" i="52"/>
  <c r="G20" i="52" s="1"/>
  <c r="G22" i="52" s="1"/>
  <c r="G24" i="52" s="1"/>
  <c r="N31" i="118"/>
  <c r="N27" i="118"/>
  <c r="N26" i="118"/>
  <c r="N23" i="118"/>
  <c r="H8" i="120"/>
  <c r="I8" i="120"/>
  <c r="I11" i="120" s="1"/>
  <c r="M8" i="120"/>
  <c r="P8" i="120"/>
  <c r="P11" i="120" s="1"/>
  <c r="P18" i="120" s="1"/>
  <c r="H9" i="120"/>
  <c r="J9" i="120" s="1"/>
  <c r="I9" i="120"/>
  <c r="M9" i="120"/>
  <c r="P9" i="120"/>
  <c r="H10" i="120"/>
  <c r="I10" i="120"/>
  <c r="J10" i="120"/>
  <c r="M10" i="120"/>
  <c r="P10" i="120"/>
  <c r="K11" i="120"/>
  <c r="L11" i="120"/>
  <c r="M11" i="120"/>
  <c r="M18" i="120" s="1"/>
  <c r="N11" i="120"/>
  <c r="O11" i="120"/>
  <c r="O18" i="120" s="1"/>
  <c r="H13" i="120"/>
  <c r="I13" i="120"/>
  <c r="I16" i="120" s="1"/>
  <c r="M13" i="120"/>
  <c r="P13" i="120"/>
  <c r="P16" i="120" s="1"/>
  <c r="H14" i="120"/>
  <c r="J14" i="120" s="1"/>
  <c r="I14" i="120"/>
  <c r="M14" i="120"/>
  <c r="P14" i="120"/>
  <c r="H15" i="120"/>
  <c r="I15" i="120"/>
  <c r="J15" i="120"/>
  <c r="M15" i="120"/>
  <c r="P15" i="120"/>
  <c r="K16" i="120"/>
  <c r="L16" i="120"/>
  <c r="M16" i="120"/>
  <c r="N16" i="120"/>
  <c r="O16" i="120"/>
  <c r="K18" i="120"/>
  <c r="L18" i="120"/>
  <c r="N18" i="120"/>
  <c r="H8" i="119"/>
  <c r="I8" i="119"/>
  <c r="J8" i="119"/>
  <c r="J79" i="119" s="1"/>
  <c r="Q79" i="119" s="1"/>
  <c r="M8" i="119"/>
  <c r="P8" i="119"/>
  <c r="H9" i="119"/>
  <c r="I9" i="119"/>
  <c r="J9" i="119"/>
  <c r="M9" i="119"/>
  <c r="P9" i="119"/>
  <c r="Q9" i="119"/>
  <c r="H10" i="119"/>
  <c r="I10" i="119"/>
  <c r="J10" i="119"/>
  <c r="M10" i="119"/>
  <c r="P10" i="119"/>
  <c r="Q10" i="119"/>
  <c r="H11" i="119"/>
  <c r="I11" i="119"/>
  <c r="J11" i="119"/>
  <c r="M11" i="119"/>
  <c r="P11" i="119"/>
  <c r="Q11" i="119"/>
  <c r="H12" i="119"/>
  <c r="I12" i="119"/>
  <c r="J12" i="119"/>
  <c r="M12" i="119"/>
  <c r="P12" i="119"/>
  <c r="Q12" i="119"/>
  <c r="H13" i="119"/>
  <c r="I13" i="119"/>
  <c r="J13" i="119"/>
  <c r="M13" i="119"/>
  <c r="P13" i="119"/>
  <c r="Q13" i="119"/>
  <c r="H14" i="119"/>
  <c r="I14" i="119"/>
  <c r="J14" i="119"/>
  <c r="M14" i="119"/>
  <c r="P14" i="119"/>
  <c r="Q14" i="119"/>
  <c r="H15" i="119"/>
  <c r="I15" i="119"/>
  <c r="J15" i="119"/>
  <c r="M15" i="119"/>
  <c r="P15" i="119"/>
  <c r="Q15" i="119"/>
  <c r="H16" i="119"/>
  <c r="I16" i="119"/>
  <c r="J16" i="119"/>
  <c r="M16" i="119"/>
  <c r="P16" i="119"/>
  <c r="Q16" i="119"/>
  <c r="H17" i="119"/>
  <c r="I17" i="119"/>
  <c r="J17" i="119"/>
  <c r="M17" i="119"/>
  <c r="P17" i="119"/>
  <c r="Q17" i="119"/>
  <c r="H18" i="119"/>
  <c r="I18" i="119"/>
  <c r="J18" i="119"/>
  <c r="M18" i="119"/>
  <c r="P18" i="119"/>
  <c r="Q18" i="119"/>
  <c r="H19" i="119"/>
  <c r="I19" i="119"/>
  <c r="J19" i="119"/>
  <c r="M19" i="119"/>
  <c r="P19" i="119"/>
  <c r="Q19" i="119"/>
  <c r="H20" i="119"/>
  <c r="I20" i="119"/>
  <c r="J20" i="119"/>
  <c r="M20" i="119"/>
  <c r="P20" i="119"/>
  <c r="Q20" i="119"/>
  <c r="H21" i="119"/>
  <c r="I21" i="119"/>
  <c r="J21" i="119"/>
  <c r="M21" i="119"/>
  <c r="P21" i="119"/>
  <c r="Q21" i="119"/>
  <c r="H22" i="119"/>
  <c r="I22" i="119"/>
  <c r="J22" i="119"/>
  <c r="M22" i="119"/>
  <c r="P22" i="119"/>
  <c r="Q22" i="119"/>
  <c r="H23" i="119"/>
  <c r="I23" i="119"/>
  <c r="J23" i="119"/>
  <c r="M23" i="119"/>
  <c r="P23" i="119"/>
  <c r="Q23" i="119"/>
  <c r="H24" i="119"/>
  <c r="I24" i="119"/>
  <c r="J24" i="119"/>
  <c r="M24" i="119"/>
  <c r="P24" i="119"/>
  <c r="Q24" i="119"/>
  <c r="H25" i="119"/>
  <c r="I25" i="119"/>
  <c r="J25" i="119"/>
  <c r="M25" i="119"/>
  <c r="P25" i="119"/>
  <c r="Q25" i="119"/>
  <c r="H26" i="119"/>
  <c r="I26" i="119"/>
  <c r="J26" i="119"/>
  <c r="M26" i="119"/>
  <c r="P26" i="119"/>
  <c r="Q26" i="119"/>
  <c r="H27" i="119"/>
  <c r="I27" i="119"/>
  <c r="J27" i="119"/>
  <c r="M27" i="119"/>
  <c r="P27" i="119"/>
  <c r="Q27" i="119"/>
  <c r="H28" i="119"/>
  <c r="I28" i="119"/>
  <c r="J28" i="119"/>
  <c r="M28" i="119"/>
  <c r="P28" i="119"/>
  <c r="Q28" i="119"/>
  <c r="H29" i="119"/>
  <c r="I29" i="119"/>
  <c r="J29" i="119"/>
  <c r="M29" i="119"/>
  <c r="P29" i="119"/>
  <c r="Q29" i="119"/>
  <c r="H30" i="119"/>
  <c r="I30" i="119"/>
  <c r="J30" i="119"/>
  <c r="M30" i="119"/>
  <c r="P30" i="119"/>
  <c r="Q30" i="119"/>
  <c r="H31" i="119"/>
  <c r="I31" i="119"/>
  <c r="J31" i="119"/>
  <c r="M31" i="119"/>
  <c r="P31" i="119"/>
  <c r="Q31" i="119"/>
  <c r="H32" i="119"/>
  <c r="I32" i="119"/>
  <c r="J32" i="119"/>
  <c r="M32" i="119"/>
  <c r="P32" i="119"/>
  <c r="Q32" i="119"/>
  <c r="H33" i="119"/>
  <c r="I33" i="119"/>
  <c r="J33" i="119"/>
  <c r="M33" i="119"/>
  <c r="P33" i="119"/>
  <c r="Q33" i="119"/>
  <c r="H34" i="119"/>
  <c r="I34" i="119"/>
  <c r="J34" i="119"/>
  <c r="M34" i="119"/>
  <c r="P34" i="119"/>
  <c r="Q34" i="119"/>
  <c r="H35" i="119"/>
  <c r="I35" i="119"/>
  <c r="J35" i="119"/>
  <c r="M35" i="119"/>
  <c r="P35" i="119"/>
  <c r="Q35" i="119"/>
  <c r="H36" i="119"/>
  <c r="I36" i="119"/>
  <c r="J36" i="119"/>
  <c r="M36" i="119"/>
  <c r="P36" i="119"/>
  <c r="Q36" i="119"/>
  <c r="H37" i="119"/>
  <c r="I37" i="119"/>
  <c r="J37" i="119"/>
  <c r="M37" i="119"/>
  <c r="P37" i="119"/>
  <c r="Q37" i="119"/>
  <c r="H38" i="119"/>
  <c r="I38" i="119"/>
  <c r="J38" i="119"/>
  <c r="M38" i="119"/>
  <c r="P38" i="119"/>
  <c r="Q38" i="119"/>
  <c r="H39" i="119"/>
  <c r="I39" i="119"/>
  <c r="J39" i="119"/>
  <c r="M39" i="119"/>
  <c r="P39" i="119"/>
  <c r="Q39" i="119"/>
  <c r="H40" i="119"/>
  <c r="I40" i="119"/>
  <c r="J40" i="119"/>
  <c r="M40" i="119"/>
  <c r="P40" i="119"/>
  <c r="Q40" i="119"/>
  <c r="H41" i="119"/>
  <c r="I41" i="119"/>
  <c r="J41" i="119"/>
  <c r="M41" i="119"/>
  <c r="P41" i="119"/>
  <c r="Q41" i="119"/>
  <c r="H42" i="119"/>
  <c r="I42" i="119"/>
  <c r="J42" i="119"/>
  <c r="M42" i="119"/>
  <c r="P42" i="119"/>
  <c r="Q42" i="119"/>
  <c r="H43" i="119"/>
  <c r="I43" i="119"/>
  <c r="J43" i="119"/>
  <c r="M43" i="119"/>
  <c r="P43" i="119"/>
  <c r="H44" i="119"/>
  <c r="I44" i="119"/>
  <c r="J44" i="119"/>
  <c r="M44" i="119"/>
  <c r="P44" i="119"/>
  <c r="H45" i="119"/>
  <c r="I45" i="119"/>
  <c r="J45" i="119"/>
  <c r="M45" i="119"/>
  <c r="P45" i="119"/>
  <c r="Q45" i="119"/>
  <c r="H46" i="119"/>
  <c r="I46" i="119"/>
  <c r="J46" i="119"/>
  <c r="M46" i="119"/>
  <c r="P46" i="119"/>
  <c r="Q46" i="119"/>
  <c r="H47" i="119"/>
  <c r="I47" i="119"/>
  <c r="J47" i="119"/>
  <c r="M47" i="119"/>
  <c r="P47" i="119"/>
  <c r="Q47" i="119"/>
  <c r="H48" i="119"/>
  <c r="I48" i="119"/>
  <c r="J48" i="119"/>
  <c r="M48" i="119"/>
  <c r="P48" i="119"/>
  <c r="Q48" i="119"/>
  <c r="H49" i="119"/>
  <c r="I49" i="119"/>
  <c r="J49" i="119"/>
  <c r="M49" i="119"/>
  <c r="P49" i="119"/>
  <c r="Q49" i="119"/>
  <c r="H50" i="119"/>
  <c r="I50" i="119"/>
  <c r="J50" i="119"/>
  <c r="M50" i="119"/>
  <c r="P50" i="119"/>
  <c r="Q50" i="119"/>
  <c r="H51" i="119"/>
  <c r="I51" i="119"/>
  <c r="J51" i="119"/>
  <c r="M51" i="119"/>
  <c r="P51" i="119"/>
  <c r="Q51" i="119"/>
  <c r="H52" i="119"/>
  <c r="I52" i="119"/>
  <c r="J52" i="119"/>
  <c r="M52" i="119"/>
  <c r="P52" i="119"/>
  <c r="Q52" i="119"/>
  <c r="H53" i="119"/>
  <c r="I53" i="119"/>
  <c r="J53" i="119"/>
  <c r="M53" i="119"/>
  <c r="P53" i="119"/>
  <c r="H54" i="119"/>
  <c r="I54" i="119"/>
  <c r="J54" i="119"/>
  <c r="M54" i="119"/>
  <c r="P54" i="119"/>
  <c r="H55" i="119"/>
  <c r="I55" i="119"/>
  <c r="J55" i="119"/>
  <c r="M55" i="119"/>
  <c r="P55" i="119"/>
  <c r="H56" i="119"/>
  <c r="I56" i="119"/>
  <c r="J56" i="119"/>
  <c r="M56" i="119"/>
  <c r="P56" i="119"/>
  <c r="H57" i="119"/>
  <c r="I57" i="119"/>
  <c r="J57" i="119"/>
  <c r="M57" i="119"/>
  <c r="P57" i="119"/>
  <c r="Q57" i="119"/>
  <c r="H58" i="119"/>
  <c r="I58" i="119"/>
  <c r="J58" i="119"/>
  <c r="M58" i="119"/>
  <c r="P58" i="119"/>
  <c r="Q58" i="119"/>
  <c r="H59" i="119"/>
  <c r="I59" i="119"/>
  <c r="J59" i="119"/>
  <c r="M59" i="119"/>
  <c r="P59" i="119"/>
  <c r="Q59" i="119"/>
  <c r="H60" i="119"/>
  <c r="I60" i="119"/>
  <c r="J60" i="119"/>
  <c r="M60" i="119"/>
  <c r="P60" i="119"/>
  <c r="Q60" i="119"/>
  <c r="H61" i="119"/>
  <c r="I61" i="119"/>
  <c r="J61" i="119"/>
  <c r="M61" i="119"/>
  <c r="P61" i="119"/>
  <c r="Q61" i="119"/>
  <c r="H62" i="119"/>
  <c r="I62" i="119"/>
  <c r="J62" i="119"/>
  <c r="M62" i="119"/>
  <c r="P62" i="119"/>
  <c r="Q62" i="119"/>
  <c r="H63" i="119"/>
  <c r="I63" i="119"/>
  <c r="J63" i="119"/>
  <c r="M63" i="119"/>
  <c r="P63" i="119"/>
  <c r="Q63" i="119"/>
  <c r="H64" i="119"/>
  <c r="I64" i="119"/>
  <c r="J64" i="119"/>
  <c r="M64" i="119"/>
  <c r="P64" i="119"/>
  <c r="Q64" i="119"/>
  <c r="H65" i="119"/>
  <c r="I65" i="119"/>
  <c r="J65" i="119"/>
  <c r="M65" i="119"/>
  <c r="P65" i="119"/>
  <c r="Q65" i="119"/>
  <c r="H66" i="119"/>
  <c r="I66" i="119"/>
  <c r="J66" i="119"/>
  <c r="M66" i="119"/>
  <c r="P66" i="119"/>
  <c r="Q66" i="119"/>
  <c r="H67" i="119"/>
  <c r="I67" i="119"/>
  <c r="J67" i="119"/>
  <c r="M67" i="119"/>
  <c r="P67" i="119"/>
  <c r="Q67" i="119"/>
  <c r="H68" i="119"/>
  <c r="I68" i="119"/>
  <c r="J68" i="119"/>
  <c r="M68" i="119"/>
  <c r="P68" i="119"/>
  <c r="Q68" i="119"/>
  <c r="H69" i="119"/>
  <c r="I69" i="119"/>
  <c r="J69" i="119"/>
  <c r="M69" i="119"/>
  <c r="P69" i="119"/>
  <c r="Q69" i="119"/>
  <c r="H70" i="119"/>
  <c r="I70" i="119"/>
  <c r="J70" i="119"/>
  <c r="M70" i="119"/>
  <c r="P70" i="119"/>
  <c r="Q70" i="119"/>
  <c r="H71" i="119"/>
  <c r="I71" i="119"/>
  <c r="J71" i="119"/>
  <c r="M71" i="119"/>
  <c r="P71" i="119"/>
  <c r="Q71" i="119"/>
  <c r="H72" i="119"/>
  <c r="I72" i="119"/>
  <c r="J72" i="119"/>
  <c r="M72" i="119"/>
  <c r="P72" i="119"/>
  <c r="Q72" i="119"/>
  <c r="H73" i="119"/>
  <c r="I73" i="119"/>
  <c r="J73" i="119"/>
  <c r="M73" i="119"/>
  <c r="P73" i="119"/>
  <c r="Q73" i="119"/>
  <c r="H74" i="119"/>
  <c r="I74" i="119"/>
  <c r="J74" i="119"/>
  <c r="M74" i="119"/>
  <c r="P74" i="119"/>
  <c r="Q74" i="119"/>
  <c r="H75" i="119"/>
  <c r="I75" i="119"/>
  <c r="J75" i="119"/>
  <c r="M75" i="119"/>
  <c r="P75" i="119"/>
  <c r="Q75" i="119"/>
  <c r="H76" i="119"/>
  <c r="I76" i="119"/>
  <c r="J76" i="119"/>
  <c r="M76" i="119"/>
  <c r="P76" i="119"/>
  <c r="Q76" i="119"/>
  <c r="H77" i="119"/>
  <c r="I77" i="119"/>
  <c r="J77" i="119"/>
  <c r="M77" i="119"/>
  <c r="P77" i="119"/>
  <c r="Q77" i="119"/>
  <c r="H78" i="119"/>
  <c r="I78" i="119"/>
  <c r="J78" i="119"/>
  <c r="M78" i="119"/>
  <c r="P78" i="119"/>
  <c r="Q78" i="119"/>
  <c r="H79" i="119"/>
  <c r="I79" i="119"/>
  <c r="K79" i="119"/>
  <c r="L79" i="119"/>
  <c r="M79" i="119"/>
  <c r="N79" i="119"/>
  <c r="O79" i="119"/>
  <c r="P79" i="119"/>
  <c r="G26" i="118"/>
  <c r="J26" i="118"/>
  <c r="G27" i="118"/>
  <c r="G31" i="118"/>
  <c r="I18" i="120" l="1"/>
  <c r="J13" i="120"/>
  <c r="J16" i="120" s="1"/>
  <c r="J8" i="120"/>
  <c r="J11" i="120" s="1"/>
  <c r="J18" i="120" s="1"/>
  <c r="J19" i="120" s="1"/>
  <c r="H16" i="120"/>
  <c r="H11" i="120"/>
  <c r="H18" i="120" l="1"/>
  <c r="L19" i="118" l="1"/>
  <c r="N19" i="118" s="1"/>
  <c r="G19" i="118" l="1"/>
  <c r="D18" i="118" l="1"/>
  <c r="L9" i="118" l="1"/>
  <c r="N9" i="118" s="1"/>
  <c r="G9" i="118" l="1"/>
  <c r="L13" i="118" l="1"/>
  <c r="N13" i="118" s="1"/>
  <c r="H20" i="118"/>
  <c r="L20" i="118" s="1"/>
  <c r="N20" i="118" s="1"/>
  <c r="G13" i="118" l="1"/>
  <c r="I20" i="118"/>
  <c r="G20" i="118" s="1"/>
  <c r="L15" i="118"/>
  <c r="N15" i="118" s="1"/>
  <c r="I30" i="118" l="1"/>
  <c r="G15" i="118"/>
  <c r="L11" i="118"/>
  <c r="N11" i="118" s="1"/>
  <c r="I16" i="118"/>
  <c r="H30" i="118"/>
  <c r="L18" i="118"/>
  <c r="N18" i="118" s="1"/>
  <c r="L30" i="118" l="1"/>
  <c r="N30" i="118" s="1"/>
  <c r="G11" i="118"/>
  <c r="G16" i="118" s="1"/>
  <c r="H16" i="118"/>
  <c r="H21" i="118" s="1"/>
  <c r="H24" i="118" s="1"/>
  <c r="G30" i="118"/>
  <c r="L16" i="118"/>
  <c r="G18" i="118"/>
  <c r="L21" i="118" l="1"/>
  <c r="L24" i="118" s="1"/>
  <c r="N16" i="118"/>
  <c r="I21" i="118"/>
  <c r="I24" i="118" s="1"/>
  <c r="I28" i="118" s="1"/>
  <c r="I32" i="118" s="1"/>
  <c r="H28" i="118"/>
  <c r="G21" i="118"/>
  <c r="N21" i="118" l="1"/>
  <c r="L28" i="118"/>
  <c r="N24" i="118"/>
  <c r="G24" i="118"/>
  <c r="G28" i="118"/>
  <c r="G32" i="118" s="1"/>
  <c r="G39" i="118" s="1"/>
  <c r="H32" i="118"/>
  <c r="I39" i="118"/>
  <c r="J32" i="118" l="1"/>
  <c r="L32" i="118"/>
  <c r="N28" i="118"/>
  <c r="H39" i="118"/>
  <c r="N32" i="118" l="1"/>
  <c r="M10" i="51" l="1"/>
  <c r="AU9" i="116"/>
  <c r="AX8" i="116" s="1"/>
  <c r="AY8" i="116" s="1"/>
  <c r="AX7" i="116" l="1"/>
  <c r="AY7" i="116" s="1"/>
  <c r="AY9" i="116" s="1"/>
  <c r="F29" i="121" l="1"/>
  <c r="Y44" i="116" l="1"/>
  <c r="J29" i="121"/>
  <c r="F31" i="121"/>
  <c r="W32" i="116"/>
  <c r="R48" i="116"/>
  <c r="R47" i="116"/>
  <c r="R43" i="116"/>
  <c r="R39" i="116"/>
  <c r="R38" i="116"/>
  <c r="R37" i="116"/>
  <c r="R36" i="116"/>
  <c r="R35" i="116"/>
  <c r="R12" i="116"/>
  <c r="R14" i="116"/>
  <c r="R16" i="116"/>
  <c r="R17" i="116"/>
  <c r="R18" i="116"/>
  <c r="R19" i="116"/>
  <c r="R20" i="116"/>
  <c r="R21" i="116"/>
  <c r="R22" i="116"/>
  <c r="R23" i="116"/>
  <c r="R24" i="116"/>
  <c r="R25" i="116"/>
  <c r="R26" i="116"/>
  <c r="R27" i="116"/>
  <c r="R28" i="116"/>
  <c r="R29" i="116"/>
  <c r="R30" i="116"/>
  <c r="R10" i="116"/>
  <c r="R42" i="116"/>
  <c r="R13" i="116"/>
  <c r="AK11" i="116"/>
  <c r="AI10" i="116"/>
  <c r="AI12" i="116" s="1"/>
  <c r="B10" i="116"/>
  <c r="N29" i="121" l="1"/>
  <c r="J31" i="121"/>
  <c r="AK10" i="116"/>
  <c r="AK12" i="116" s="1"/>
  <c r="Y56" i="116" s="1"/>
  <c r="B11" i="116"/>
  <c r="P56" i="116" l="1"/>
  <c r="T56" i="116" s="1"/>
  <c r="AC56" i="116"/>
  <c r="P29" i="121"/>
  <c r="N31" i="121"/>
  <c r="Y47" i="116"/>
  <c r="Y21" i="116"/>
  <c r="Y12" i="116"/>
  <c r="Y23" i="116"/>
  <c r="Y35" i="116"/>
  <c r="Y48" i="116"/>
  <c r="Y20" i="116"/>
  <c r="Y11" i="116"/>
  <c r="Y14" i="116"/>
  <c r="Y36" i="116"/>
  <c r="Y19" i="116"/>
  <c r="Y10" i="116"/>
  <c r="Y16" i="116"/>
  <c r="Y37" i="116"/>
  <c r="Y18" i="116"/>
  <c r="Y30" i="116"/>
  <c r="Y27" i="116"/>
  <c r="Y38" i="116"/>
  <c r="Y25" i="116"/>
  <c r="Y17" i="116"/>
  <c r="Y28" i="116"/>
  <c r="Y26" i="116"/>
  <c r="Y39" i="116"/>
  <c r="Y24" i="116"/>
  <c r="Y13" i="116"/>
  <c r="Y42" i="116"/>
  <c r="Y43" i="116"/>
  <c r="Y22" i="116"/>
  <c r="R49" i="116"/>
  <c r="Y49" i="116"/>
  <c r="B12" i="116"/>
  <c r="R11" i="116"/>
  <c r="P31" i="121" l="1"/>
  <c r="AV76" i="1" s="1"/>
  <c r="T29" i="121"/>
  <c r="T31" i="121" s="1"/>
  <c r="B13" i="116"/>
  <c r="AA55" i="116" l="1"/>
  <c r="D27" i="122"/>
  <c r="D28" i="122" s="1"/>
  <c r="AV55" i="1"/>
  <c r="AV77" i="1" s="1"/>
  <c r="B14" i="116"/>
  <c r="R55" i="116" l="1"/>
  <c r="AY77" i="1"/>
  <c r="AV78" i="1"/>
  <c r="AV82" i="1" s="1"/>
  <c r="E27" i="122"/>
  <c r="E28" i="122" s="1"/>
  <c r="AY55" i="1"/>
  <c r="AA32" i="116"/>
  <c r="Y15" i="116"/>
  <c r="Y32" i="116" s="1"/>
  <c r="B15" i="116"/>
  <c r="B16" i="116" s="1"/>
  <c r="B17" i="116" s="1"/>
  <c r="R15" i="116"/>
  <c r="F27" i="122" l="1"/>
  <c r="F28" i="122" s="1"/>
  <c r="B18" i="116"/>
  <c r="B19" i="116" s="1"/>
  <c r="G27" i="122" l="1"/>
  <c r="G28" i="122" s="1"/>
  <c r="B20" i="116"/>
  <c r="B21" i="116" s="1"/>
  <c r="B22" i="116" s="1"/>
  <c r="B23" i="116" l="1"/>
  <c r="B24" i="116" s="1"/>
  <c r="B25" i="116" l="1"/>
  <c r="B26" i="116" s="1"/>
  <c r="B27" i="116" s="1"/>
  <c r="B28" i="116" s="1"/>
  <c r="B29" i="116" s="1"/>
  <c r="B30" i="116" l="1"/>
  <c r="B32" i="116" s="1"/>
  <c r="B35" i="116" s="1"/>
  <c r="B36" i="116" s="1"/>
  <c r="B37" i="116" s="1"/>
  <c r="B38" i="116" s="1"/>
  <c r="B39" i="116" s="1"/>
  <c r="B40" i="116" s="1"/>
  <c r="B41" i="116" s="1"/>
  <c r="B42" i="116" s="1"/>
  <c r="B43" i="116" s="1"/>
  <c r="B44" i="116" s="1"/>
  <c r="B45" i="116" s="1"/>
  <c r="B46" i="116" s="1"/>
  <c r="B47" i="116" s="1"/>
  <c r="B48" i="116" l="1"/>
  <c r="B49" i="116" l="1"/>
  <c r="B51" i="116" s="1"/>
  <c r="Y40" i="116"/>
  <c r="B54" i="116" l="1"/>
  <c r="B55" i="116" s="1"/>
  <c r="B56" i="116" s="1"/>
  <c r="Y41" i="116"/>
  <c r="R40" i="116"/>
  <c r="B57" i="116" l="1"/>
  <c r="B59" i="116" s="1"/>
  <c r="R41" i="116"/>
  <c r="Y45" i="116" l="1"/>
  <c r="Y46" i="116" l="1"/>
  <c r="R45" i="116"/>
  <c r="R46" i="116" l="1"/>
  <c r="W51" i="116"/>
  <c r="W59" i="116" s="1"/>
  <c r="AA51" i="116"/>
  <c r="AA59" i="116" s="1"/>
  <c r="AO5" i="113" l="1"/>
  <c r="AO6" i="113"/>
  <c r="AA6" i="113" l="1"/>
  <c r="AI73" i="1" l="1"/>
  <c r="AI66" i="1"/>
  <c r="AI45" i="1"/>
  <c r="AI35" i="1"/>
  <c r="AI28" i="1"/>
  <c r="AI17" i="1"/>
  <c r="AI19" i="1" s="1"/>
  <c r="AG73" i="1"/>
  <c r="AG66" i="1"/>
  <c r="AG74" i="1" s="1"/>
  <c r="AG82" i="1" s="1"/>
  <c r="AG45" i="1"/>
  <c r="AG35" i="1"/>
  <c r="AG28" i="1"/>
  <c r="AG17" i="1"/>
  <c r="AG19" i="1" s="1"/>
  <c r="AE73" i="1"/>
  <c r="AE66" i="1"/>
  <c r="AE45" i="1"/>
  <c r="AE35" i="1"/>
  <c r="AE28" i="1"/>
  <c r="AE17" i="1"/>
  <c r="AE19" i="1" s="1"/>
  <c r="AE10" i="1"/>
  <c r="AG46" i="1" l="1"/>
  <c r="AG48" i="1" s="1"/>
  <c r="AE74" i="1"/>
  <c r="AE82" i="1" s="1"/>
  <c r="AI74" i="1"/>
  <c r="AI82" i="1" s="1"/>
  <c r="AI46" i="1"/>
  <c r="AI48" i="1" s="1"/>
  <c r="AE46" i="1"/>
  <c r="AE48" i="1" s="1"/>
  <c r="AE51" i="1" s="1"/>
  <c r="N12" i="51"/>
  <c r="AL23" i="1" l="1"/>
  <c r="P40" i="116" l="1"/>
  <c r="P36" i="116"/>
  <c r="P38" i="116"/>
  <c r="Z73" i="1"/>
  <c r="Z66" i="1"/>
  <c r="Z45" i="1"/>
  <c r="Z35" i="1"/>
  <c r="Z23" i="1"/>
  <c r="Z28" i="1" s="1"/>
  <c r="Z18" i="1"/>
  <c r="Z17" i="1"/>
  <c r="AD23" i="1"/>
  <c r="Z74" i="1" l="1"/>
  <c r="Z82" i="1" s="1"/>
  <c r="Z46" i="1"/>
  <c r="Z19" i="1"/>
  <c r="Z48" i="1" l="1"/>
  <c r="N45" i="82"/>
  <c r="G45" i="82"/>
  <c r="H45" i="82"/>
  <c r="I45" i="82"/>
  <c r="J45" i="82"/>
  <c r="G42" i="82"/>
  <c r="H42" i="82"/>
  <c r="I42" i="82"/>
  <c r="J42" i="82"/>
  <c r="N42" i="82"/>
  <c r="N43" i="82"/>
  <c r="G43" i="82"/>
  <c r="H43" i="82"/>
  <c r="I43" i="82"/>
  <c r="J43" i="82"/>
  <c r="G44" i="82"/>
  <c r="H44" i="82"/>
  <c r="I44" i="82"/>
  <c r="J44" i="82"/>
  <c r="N44" i="82"/>
  <c r="B49" i="99"/>
  <c r="AL7" i="113"/>
  <c r="AM7" i="113"/>
  <c r="AN7" i="113"/>
  <c r="AO7" i="113"/>
  <c r="AP7" i="113"/>
  <c r="AL8" i="113"/>
  <c r="AM8" i="113"/>
  <c r="AN8" i="113"/>
  <c r="AO8" i="113"/>
  <c r="AP8" i="113"/>
  <c r="AL9" i="113"/>
  <c r="AM9" i="113"/>
  <c r="AN9" i="113"/>
  <c r="AO9" i="113"/>
  <c r="AP9" i="113"/>
  <c r="AO10" i="113"/>
  <c r="AP10" i="113"/>
  <c r="AL11" i="113"/>
  <c r="AM11" i="113"/>
  <c r="AN11" i="113"/>
  <c r="AO11" i="113"/>
  <c r="AP11" i="113"/>
  <c r="AL14" i="113"/>
  <c r="AM14" i="113"/>
  <c r="AN14" i="113"/>
  <c r="AO14" i="113"/>
  <c r="AP14" i="113"/>
  <c r="AL15" i="113"/>
  <c r="AM15" i="113"/>
  <c r="AN15" i="113"/>
  <c r="AO15" i="113"/>
  <c r="AP15" i="113"/>
  <c r="AL16" i="113"/>
  <c r="AM16" i="113"/>
  <c r="AN16" i="113"/>
  <c r="AO16" i="113"/>
  <c r="AP16" i="113"/>
  <c r="AL18" i="113"/>
  <c r="AM18" i="113"/>
  <c r="AN18" i="113"/>
  <c r="AL23" i="113"/>
  <c r="AM23" i="113"/>
  <c r="AN23" i="113"/>
  <c r="AO23" i="113"/>
  <c r="AL24" i="113"/>
  <c r="AM24" i="113"/>
  <c r="AN24" i="113"/>
  <c r="AO24" i="113"/>
  <c r="AP24" i="113"/>
  <c r="AL25" i="113"/>
  <c r="AM25" i="113"/>
  <c r="AN25" i="113"/>
  <c r="AO25" i="113"/>
  <c r="AP25" i="113"/>
  <c r="AL26" i="113"/>
  <c r="AM26" i="113"/>
  <c r="AN26" i="113"/>
  <c r="AO26" i="113"/>
  <c r="AP26" i="113"/>
  <c r="AL27" i="113"/>
  <c r="AM27" i="113"/>
  <c r="AN27" i="113"/>
  <c r="AO27" i="113"/>
  <c r="AP27" i="113"/>
  <c r="AL31" i="113"/>
  <c r="AM31" i="113"/>
  <c r="AN31" i="113"/>
  <c r="AO31" i="113"/>
  <c r="AP31" i="113"/>
  <c r="AL32" i="113"/>
  <c r="AM32" i="113"/>
  <c r="AN32" i="113"/>
  <c r="AO32" i="113"/>
  <c r="AP32" i="113"/>
  <c r="AL33" i="113"/>
  <c r="AM33" i="113"/>
  <c r="AN33" i="113"/>
  <c r="AO33" i="113"/>
  <c r="AP33" i="113"/>
  <c r="AL34" i="113"/>
  <c r="AM34" i="113"/>
  <c r="AN34" i="113"/>
  <c r="AO34" i="113"/>
  <c r="AP34" i="113"/>
  <c r="AL37" i="113"/>
  <c r="AM37" i="113"/>
  <c r="AN37" i="113"/>
  <c r="AO37" i="113"/>
  <c r="AP37" i="113"/>
  <c r="AL38" i="113"/>
  <c r="AM38" i="113"/>
  <c r="AN38" i="113"/>
  <c r="AO38" i="113"/>
  <c r="AP38" i="113"/>
  <c r="AL39" i="113"/>
  <c r="AM39" i="113"/>
  <c r="AN39" i="113"/>
  <c r="AO39" i="113"/>
  <c r="AP39" i="113"/>
  <c r="AL42" i="113"/>
  <c r="AM42" i="113"/>
  <c r="AN42" i="113"/>
  <c r="AO42" i="113"/>
  <c r="AP42" i="113"/>
  <c r="AL43" i="113"/>
  <c r="AM43" i="113"/>
  <c r="AN43" i="113"/>
  <c r="AO43" i="113"/>
  <c r="AP43" i="113"/>
  <c r="AL44" i="113"/>
  <c r="AM44" i="113"/>
  <c r="AN44" i="113"/>
  <c r="AO44" i="113"/>
  <c r="AP44" i="113"/>
  <c r="AL50" i="113"/>
  <c r="AM50" i="113"/>
  <c r="AN50" i="113"/>
  <c r="AO50" i="113"/>
  <c r="AP50" i="113"/>
  <c r="AL53" i="113"/>
  <c r="AM53" i="113"/>
  <c r="AN53" i="113"/>
  <c r="AO53" i="113"/>
  <c r="AP53" i="113"/>
  <c r="AL54" i="113"/>
  <c r="AM54" i="113"/>
  <c r="AN54" i="113"/>
  <c r="AO54" i="113"/>
  <c r="AP54" i="113"/>
  <c r="AL60" i="113"/>
  <c r="AM60" i="113"/>
  <c r="AN60" i="113"/>
  <c r="AO60" i="113"/>
  <c r="AP60" i="113"/>
  <c r="AL61" i="113"/>
  <c r="AM61" i="113"/>
  <c r="AN61" i="113"/>
  <c r="AO61" i="113"/>
  <c r="AP61" i="113"/>
  <c r="AL62" i="113"/>
  <c r="AM62" i="113"/>
  <c r="AN62" i="113"/>
  <c r="AO62" i="113"/>
  <c r="AP62" i="113"/>
  <c r="AL63" i="113"/>
  <c r="AM63" i="113"/>
  <c r="AN63" i="113"/>
  <c r="AO63" i="113"/>
  <c r="AP63" i="113"/>
  <c r="AL64" i="113"/>
  <c r="AM64" i="113"/>
  <c r="AN64" i="113"/>
  <c r="AO64" i="113"/>
  <c r="AP64" i="113"/>
  <c r="AL67" i="113"/>
  <c r="AM67" i="113"/>
  <c r="AN67" i="113"/>
  <c r="AO67" i="113"/>
  <c r="AP67" i="113"/>
  <c r="AL68" i="113"/>
  <c r="AM68" i="113"/>
  <c r="AN68" i="113"/>
  <c r="AO68" i="113"/>
  <c r="AP68" i="113"/>
  <c r="AL69" i="113"/>
  <c r="AM69" i="113"/>
  <c r="AN69" i="113"/>
  <c r="AO69" i="113"/>
  <c r="AP69" i="113"/>
  <c r="AL70" i="113"/>
  <c r="AM70" i="113"/>
  <c r="AN70" i="113"/>
  <c r="AO70" i="113"/>
  <c r="AP70" i="113"/>
  <c r="AL71" i="113"/>
  <c r="AM71" i="113"/>
  <c r="AN71" i="113"/>
  <c r="AO71" i="113"/>
  <c r="AP71" i="113"/>
  <c r="AL75" i="113"/>
  <c r="AM75" i="113"/>
  <c r="AN75" i="113"/>
  <c r="AO75" i="113"/>
  <c r="AP75" i="113"/>
  <c r="AL77" i="113"/>
  <c r="AM77" i="113"/>
  <c r="AN77" i="113"/>
  <c r="AO77" i="113"/>
  <c r="AP77" i="113"/>
  <c r="AL78" i="113"/>
  <c r="AM78" i="113"/>
  <c r="AN78" i="113"/>
  <c r="AO78" i="113"/>
  <c r="AP78" i="113"/>
  <c r="AL79" i="113"/>
  <c r="AM79" i="113"/>
  <c r="AN79" i="113"/>
  <c r="AO79" i="113"/>
  <c r="AP79" i="113"/>
  <c r="C49" i="3"/>
  <c r="C44" i="82" s="1"/>
  <c r="B49" i="3"/>
  <c r="AQ73" i="1"/>
  <c r="AN72" i="113" s="1"/>
  <c r="AQ66" i="1"/>
  <c r="AN65" i="113" s="1"/>
  <c r="AQ45" i="1"/>
  <c r="AQ35" i="1"/>
  <c r="AN35" i="113" s="1"/>
  <c r="AQ28" i="1"/>
  <c r="AN28" i="113" s="1"/>
  <c r="AQ17" i="1"/>
  <c r="AQ19" i="1" s="1"/>
  <c r="AQ46" i="1" l="1"/>
  <c r="AN46" i="113" s="1"/>
  <c r="AN45" i="113"/>
  <c r="AN17" i="113"/>
  <c r="B46" i="48"/>
  <c r="L42" i="82"/>
  <c r="AN19" i="113"/>
  <c r="L45" i="82"/>
  <c r="AQ74" i="1"/>
  <c r="L44" i="82"/>
  <c r="L43" i="82"/>
  <c r="AN73" i="113" l="1"/>
  <c r="AQ48" i="1"/>
  <c r="AS73" i="1"/>
  <c r="AO72" i="113" s="1"/>
  <c r="AS66" i="1"/>
  <c r="AS45" i="1"/>
  <c r="AO45" i="113" s="1"/>
  <c r="AS35" i="1"/>
  <c r="AO35" i="113" s="1"/>
  <c r="AS28" i="1"/>
  <c r="AO18" i="113"/>
  <c r="AS17" i="1"/>
  <c r="AS74" i="1" l="1"/>
  <c r="AO65" i="113"/>
  <c r="AQ82" i="1"/>
  <c r="AN76" i="113"/>
  <c r="AN48" i="113"/>
  <c r="AS46" i="1"/>
  <c r="AO46" i="113" s="1"/>
  <c r="AO28" i="113"/>
  <c r="AS19" i="1"/>
  <c r="AO17" i="113"/>
  <c r="C45" i="82" l="1"/>
  <c r="H49" i="99"/>
  <c r="K49" i="99" s="1"/>
  <c r="AN80" i="113"/>
  <c r="E49" i="3"/>
  <c r="F46" i="48" s="1"/>
  <c r="G46" i="48" s="1"/>
  <c r="AN51" i="113"/>
  <c r="AO73" i="113"/>
  <c r="AS48" i="1"/>
  <c r="AO19" i="113"/>
  <c r="AS82" i="1" l="1"/>
  <c r="AO76" i="113"/>
  <c r="AO48" i="113"/>
  <c r="AS51" i="1"/>
  <c r="AP72" i="113"/>
  <c r="AP45" i="113"/>
  <c r="AP35" i="113"/>
  <c r="AP18" i="113"/>
  <c r="AP19" i="113" l="1"/>
  <c r="AP17" i="113"/>
  <c r="AP23" i="113"/>
  <c r="AO80" i="113"/>
  <c r="AP65" i="113"/>
  <c r="AO51" i="113"/>
  <c r="AP73" i="113" l="1"/>
  <c r="AP46" i="113"/>
  <c r="AP28" i="113"/>
  <c r="AP76" i="113" l="1"/>
  <c r="AP80" i="113" l="1"/>
  <c r="AP48" i="113"/>
  <c r="AP51" i="113" l="1"/>
  <c r="B29" i="99" l="1"/>
  <c r="B48" i="99"/>
  <c r="B47" i="99"/>
  <c r="AL17" i="1" l="1"/>
  <c r="AL19" i="1" s="1"/>
  <c r="AL28" i="1"/>
  <c r="AL35" i="1"/>
  <c r="AL45" i="1"/>
  <c r="AL66" i="1"/>
  <c r="AL73" i="1"/>
  <c r="AL74" i="1" l="1"/>
  <c r="AL82" i="1" s="1"/>
  <c r="AL46" i="1"/>
  <c r="AL48" i="1" s="1"/>
  <c r="C47" i="3" l="1"/>
  <c r="B47" i="3"/>
  <c r="B44" i="48" l="1"/>
  <c r="C42" i="82"/>
  <c r="AO73" i="1"/>
  <c r="AL72" i="113" s="1"/>
  <c r="AO66" i="1"/>
  <c r="AL65" i="113" s="1"/>
  <c r="AO45" i="1"/>
  <c r="AL45" i="113" s="1"/>
  <c r="AO35" i="1"/>
  <c r="AL35" i="113" s="1"/>
  <c r="AO28" i="1"/>
  <c r="AL28" i="113" s="1"/>
  <c r="AO17" i="1"/>
  <c r="AO19" i="1" l="1"/>
  <c r="AL19" i="113" s="1"/>
  <c r="AL17" i="113"/>
  <c r="AO74" i="1"/>
  <c r="AO46" i="1"/>
  <c r="AL73" i="113" l="1"/>
  <c r="AO48" i="1"/>
  <c r="AL46" i="113"/>
  <c r="AL51" i="113" l="1"/>
  <c r="AL48" i="113"/>
  <c r="AO82" i="1"/>
  <c r="AL76" i="113"/>
  <c r="C48" i="3"/>
  <c r="B48" i="3"/>
  <c r="C28" i="3"/>
  <c r="B28" i="3"/>
  <c r="W7" i="113"/>
  <c r="W8" i="113"/>
  <c r="W9" i="113"/>
  <c r="W11" i="113"/>
  <c r="W14" i="113"/>
  <c r="W15" i="113"/>
  <c r="W16" i="113"/>
  <c r="W18" i="113"/>
  <c r="W23" i="113"/>
  <c r="W24" i="113"/>
  <c r="W25" i="113"/>
  <c r="W26" i="113"/>
  <c r="W27" i="113"/>
  <c r="W31" i="113"/>
  <c r="W32" i="113"/>
  <c r="W33" i="113"/>
  <c r="W34" i="113"/>
  <c r="W37" i="113"/>
  <c r="W38" i="113"/>
  <c r="W39" i="113"/>
  <c r="W42" i="113"/>
  <c r="W43" i="113"/>
  <c r="W44" i="113"/>
  <c r="W50" i="113"/>
  <c r="W53" i="113"/>
  <c r="W54" i="113"/>
  <c r="W60" i="113"/>
  <c r="W61" i="113"/>
  <c r="W62" i="113"/>
  <c r="W63" i="113"/>
  <c r="W64" i="113"/>
  <c r="W67" i="113"/>
  <c r="W68" i="113"/>
  <c r="W69" i="113"/>
  <c r="W70" i="113"/>
  <c r="W71" i="113"/>
  <c r="W75" i="113"/>
  <c r="W77" i="113"/>
  <c r="W78" i="113"/>
  <c r="W79" i="113"/>
  <c r="W73" i="1"/>
  <c r="W72" i="113" s="1"/>
  <c r="W66" i="1"/>
  <c r="W65" i="113" s="1"/>
  <c r="W45" i="1"/>
  <c r="W45" i="113" s="1"/>
  <c r="W35" i="1"/>
  <c r="W35" i="113" s="1"/>
  <c r="W28" i="1"/>
  <c r="W28" i="113" s="1"/>
  <c r="W17" i="1"/>
  <c r="W17" i="113" s="1"/>
  <c r="AL80" i="113" l="1"/>
  <c r="E47" i="3"/>
  <c r="F44" i="48" s="1"/>
  <c r="G44" i="48" s="1"/>
  <c r="H47" i="99"/>
  <c r="K47" i="99" s="1"/>
  <c r="C43" i="82"/>
  <c r="B45" i="48"/>
  <c r="W19" i="1"/>
  <c r="W19" i="113" s="1"/>
  <c r="W74" i="1"/>
  <c r="W46" i="1"/>
  <c r="W46" i="113" s="1"/>
  <c r="AC23" i="113"/>
  <c r="W73" i="113" l="1"/>
  <c r="W48" i="1"/>
  <c r="W48" i="113" s="1"/>
  <c r="W82" i="1" l="1"/>
  <c r="H29" i="99" s="1"/>
  <c r="W76" i="113"/>
  <c r="W51" i="113"/>
  <c r="K29" i="99" l="1"/>
  <c r="E28" i="3"/>
  <c r="W80" i="113"/>
  <c r="Z3" i="113" l="1"/>
  <c r="L10" i="51" l="1"/>
  <c r="U37" i="1" l="1"/>
  <c r="F324" i="111" l="1"/>
  <c r="F60" i="111" s="1"/>
  <c r="F323" i="111"/>
  <c r="F325" i="111"/>
  <c r="F326" i="111"/>
  <c r="F327" i="111"/>
  <c r="F328" i="111"/>
  <c r="F329" i="111"/>
  <c r="F330" i="111"/>
  <c r="F331" i="111"/>
  <c r="F332" i="111"/>
  <c r="F333" i="111"/>
  <c r="F334" i="111"/>
  <c r="F335" i="111"/>
  <c r="F336" i="111"/>
  <c r="F337" i="111"/>
  <c r="F338" i="111"/>
  <c r="F339" i="111"/>
  <c r="F340" i="111"/>
  <c r="F341" i="111"/>
  <c r="F342" i="111"/>
  <c r="F343" i="111"/>
  <c r="F344" i="111"/>
  <c r="F345" i="111"/>
  <c r="F346" i="111"/>
  <c r="F347" i="111"/>
  <c r="F348" i="111"/>
  <c r="F349" i="111"/>
  <c r="F350" i="111"/>
  <c r="F351" i="111"/>
  <c r="F352" i="111"/>
  <c r="F353" i="111"/>
  <c r="F354" i="111"/>
  <c r="F355" i="111"/>
  <c r="F356" i="111"/>
  <c r="F357" i="111"/>
  <c r="F61" i="111" s="1"/>
  <c r="F358" i="111"/>
  <c r="F359" i="111"/>
  <c r="F360" i="111"/>
  <c r="F361" i="111"/>
  <c r="F362" i="111"/>
  <c r="F363" i="111"/>
  <c r="F364" i="111"/>
  <c r="F365" i="111"/>
  <c r="F366" i="111"/>
  <c r="F367" i="111"/>
  <c r="F368" i="111"/>
  <c r="F369" i="111"/>
  <c r="F370" i="111"/>
  <c r="F62" i="111" s="1"/>
  <c r="F373" i="111"/>
  <c r="F374" i="111"/>
  <c r="F375" i="111"/>
  <c r="F376" i="111"/>
  <c r="F377" i="111"/>
  <c r="F378" i="111"/>
  <c r="F379" i="111"/>
  <c r="F380" i="111"/>
  <c r="F381" i="111"/>
  <c r="F382" i="111"/>
  <c r="F383" i="111"/>
  <c r="F384" i="111"/>
  <c r="F385" i="111"/>
  <c r="F386" i="111"/>
  <c r="F387" i="111"/>
  <c r="F388" i="111"/>
  <c r="F389" i="111"/>
  <c r="F391" i="111"/>
  <c r="F392" i="111"/>
  <c r="F393" i="111"/>
  <c r="F394" i="111"/>
  <c r="F395" i="111"/>
  <c r="F396" i="111"/>
  <c r="F397" i="111"/>
  <c r="F398" i="111"/>
  <c r="F399" i="111"/>
  <c r="F400" i="111"/>
  <c r="F401" i="111"/>
  <c r="F402" i="111"/>
  <c r="F403" i="111"/>
  <c r="F404" i="111"/>
  <c r="F405" i="111"/>
  <c r="F406" i="111"/>
  <c r="F407" i="111"/>
  <c r="F408" i="111"/>
  <c r="F409" i="111"/>
  <c r="F410" i="111"/>
  <c r="F411" i="111"/>
  <c r="F412" i="111"/>
  <c r="F413" i="111"/>
  <c r="F414" i="111"/>
  <c r="F415" i="111"/>
  <c r="F416" i="111"/>
  <c r="F417" i="111"/>
  <c r="F418" i="111"/>
  <c r="F419" i="111"/>
  <c r="F420" i="111"/>
  <c r="F421" i="111"/>
  <c r="F422" i="111"/>
  <c r="F423" i="111"/>
  <c r="F424" i="111"/>
  <c r="F425" i="111"/>
  <c r="F426" i="111"/>
  <c r="F427" i="11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2" i="111"/>
  <c r="F453" i="111"/>
  <c r="F454" i="111"/>
  <c r="F455" i="111"/>
  <c r="F456" i="111"/>
  <c r="F457" i="111"/>
  <c r="F458" i="111"/>
  <c r="F459" i="111"/>
  <c r="F460" i="111"/>
  <c r="F461" i="111"/>
  <c r="F462" i="111"/>
  <c r="F463" i="111"/>
  <c r="F464" i="111"/>
  <c r="F465" i="111"/>
  <c r="F466" i="111"/>
  <c r="F467" i="111"/>
  <c r="F468" i="111"/>
  <c r="F469" i="111"/>
  <c r="F470" i="111"/>
  <c r="F471" i="111"/>
  <c r="F472" i="111"/>
  <c r="F473" i="111"/>
  <c r="F474" i="111"/>
  <c r="F475" i="111"/>
  <c r="F476" i="111"/>
  <c r="F477" i="111"/>
  <c r="F478" i="111"/>
  <c r="F185" i="111"/>
  <c r="F186" i="111"/>
  <c r="F187" i="111"/>
  <c r="F188" i="111"/>
  <c r="F189" i="111"/>
  <c r="F190" i="111"/>
  <c r="F191" i="111"/>
  <c r="F192" i="111"/>
  <c r="F193" i="111"/>
  <c r="F194" i="111"/>
  <c r="F195" i="111"/>
  <c r="F196" i="111"/>
  <c r="F197" i="111"/>
  <c r="F198" i="111"/>
  <c r="F199" i="111"/>
  <c r="F200" i="111"/>
  <c r="F201" i="111"/>
  <c r="F202" i="111"/>
  <c r="F203" i="111"/>
  <c r="F204" i="111"/>
  <c r="F205" i="111"/>
  <c r="F206" i="111"/>
  <c r="F207" i="111"/>
  <c r="F208" i="111"/>
  <c r="F209" i="111"/>
  <c r="F210" i="111"/>
  <c r="F211" i="111"/>
  <c r="F212" i="111"/>
  <c r="F213" i="111"/>
  <c r="F214" i="111"/>
  <c r="F215" i="111"/>
  <c r="F216" i="111"/>
  <c r="F217" i="111"/>
  <c r="F218" i="111"/>
  <c r="F219" i="111"/>
  <c r="F220" i="111"/>
  <c r="F221" i="111"/>
  <c r="F222" i="111"/>
  <c r="F223" i="111"/>
  <c r="F184" i="111"/>
  <c r="G41" i="82" l="1"/>
  <c r="H41" i="82"/>
  <c r="I41" i="82"/>
  <c r="J41" i="82"/>
  <c r="G32" i="82"/>
  <c r="H32" i="82"/>
  <c r="I32" i="82"/>
  <c r="J32" i="82"/>
  <c r="G33" i="82"/>
  <c r="H33" i="82"/>
  <c r="I33" i="82"/>
  <c r="J33" i="82"/>
  <c r="G34" i="82"/>
  <c r="H34" i="82"/>
  <c r="I34" i="82"/>
  <c r="J34" i="82"/>
  <c r="G35" i="82"/>
  <c r="H35" i="82"/>
  <c r="I35" i="82"/>
  <c r="J35" i="82"/>
  <c r="G36" i="82"/>
  <c r="H36" i="82"/>
  <c r="I36" i="82"/>
  <c r="J36" i="82"/>
  <c r="G37" i="82"/>
  <c r="H37" i="82"/>
  <c r="I37" i="82"/>
  <c r="J37" i="82"/>
  <c r="G38" i="82"/>
  <c r="H38" i="82"/>
  <c r="I38" i="82"/>
  <c r="J38" i="82"/>
  <c r="G39" i="82"/>
  <c r="H39" i="82"/>
  <c r="I39" i="82"/>
  <c r="J39" i="82"/>
  <c r="G40" i="82"/>
  <c r="H40" i="82"/>
  <c r="I40" i="82"/>
  <c r="J40" i="82"/>
  <c r="E30" i="82"/>
  <c r="G30" i="82"/>
  <c r="H30" i="82"/>
  <c r="I30" i="82"/>
  <c r="J30" i="82"/>
  <c r="E28" i="82"/>
  <c r="G28" i="82"/>
  <c r="H28" i="82"/>
  <c r="I28" i="82"/>
  <c r="J28" i="82"/>
  <c r="B42" i="99"/>
  <c r="B32" i="99"/>
  <c r="L39" i="82" l="1"/>
  <c r="L37" i="82"/>
  <c r="L35" i="82"/>
  <c r="L34" i="82"/>
  <c r="L32" i="82"/>
  <c r="L41" i="82"/>
  <c r="L40" i="82"/>
  <c r="L33" i="82"/>
  <c r="L38" i="82"/>
  <c r="L36" i="82"/>
  <c r="L28" i="82"/>
  <c r="L30" i="82"/>
  <c r="AF7" i="113"/>
  <c r="AG7" i="113"/>
  <c r="AF8" i="113"/>
  <c r="AG8" i="113"/>
  <c r="AF9" i="113"/>
  <c r="AG9" i="113"/>
  <c r="AF11" i="113"/>
  <c r="AG11" i="113"/>
  <c r="AF14" i="113"/>
  <c r="AG14" i="113"/>
  <c r="AF15" i="113"/>
  <c r="AG15" i="113"/>
  <c r="AF16" i="113"/>
  <c r="AG16" i="113"/>
  <c r="AF18" i="113"/>
  <c r="AG18" i="113"/>
  <c r="AF23" i="113"/>
  <c r="AG23" i="113"/>
  <c r="AF24" i="113"/>
  <c r="AG24" i="113"/>
  <c r="AF25" i="113"/>
  <c r="AG25" i="113"/>
  <c r="AF26" i="113"/>
  <c r="AG26" i="113"/>
  <c r="AF27" i="113"/>
  <c r="AG27" i="113"/>
  <c r="AF31" i="113"/>
  <c r="AG31" i="113"/>
  <c r="AF32" i="113"/>
  <c r="AG32" i="113"/>
  <c r="AF33" i="113"/>
  <c r="AG33" i="113"/>
  <c r="AF34" i="113"/>
  <c r="AG34" i="113"/>
  <c r="AF37" i="113"/>
  <c r="AG37" i="113"/>
  <c r="AF38" i="113"/>
  <c r="AG38" i="113"/>
  <c r="AF39" i="113"/>
  <c r="AG39" i="113"/>
  <c r="AF42" i="113"/>
  <c r="AG42" i="113"/>
  <c r="AF43" i="113"/>
  <c r="AG43" i="113"/>
  <c r="AF44" i="113"/>
  <c r="AG44" i="113"/>
  <c r="AF50" i="113"/>
  <c r="AG50" i="113"/>
  <c r="AF53" i="113"/>
  <c r="AG53" i="113"/>
  <c r="AF54" i="113"/>
  <c r="AG54" i="113"/>
  <c r="AF60" i="113"/>
  <c r="AG60" i="113"/>
  <c r="AF61" i="113"/>
  <c r="AG61" i="113"/>
  <c r="AF62" i="113"/>
  <c r="AG62" i="113"/>
  <c r="AF63" i="113"/>
  <c r="AG63" i="113"/>
  <c r="AF64" i="113"/>
  <c r="AG64" i="113"/>
  <c r="AF67" i="113"/>
  <c r="AG67" i="113"/>
  <c r="AF68" i="113"/>
  <c r="AG68" i="113"/>
  <c r="AF69" i="113"/>
  <c r="AG69" i="113"/>
  <c r="AF70" i="113"/>
  <c r="AG70" i="113"/>
  <c r="AF71" i="113"/>
  <c r="AG71" i="113"/>
  <c r="AF75" i="113"/>
  <c r="AG75" i="113"/>
  <c r="AF77" i="113"/>
  <c r="AG77" i="113"/>
  <c r="AF78" i="113"/>
  <c r="AG78" i="113"/>
  <c r="AF79" i="113"/>
  <c r="AG79" i="113"/>
  <c r="Z7" i="113"/>
  <c r="Z8" i="113"/>
  <c r="Z9" i="113"/>
  <c r="Z11" i="113"/>
  <c r="Z14" i="113"/>
  <c r="Z15" i="113"/>
  <c r="Z16" i="113"/>
  <c r="Z18" i="113"/>
  <c r="Z25" i="113"/>
  <c r="Z26" i="113"/>
  <c r="Z27" i="113"/>
  <c r="Z31" i="113"/>
  <c r="Z32" i="113"/>
  <c r="Z33" i="113"/>
  <c r="Z34" i="113"/>
  <c r="Z37" i="113"/>
  <c r="Z38" i="113"/>
  <c r="Z39" i="113"/>
  <c r="Z42" i="113"/>
  <c r="Z43" i="113"/>
  <c r="Z44" i="113"/>
  <c r="Z50" i="113"/>
  <c r="Z53" i="113"/>
  <c r="Z54" i="113"/>
  <c r="Z60" i="113"/>
  <c r="Z61" i="113"/>
  <c r="Z62" i="113"/>
  <c r="Z63" i="113"/>
  <c r="Z64" i="113"/>
  <c r="Z67" i="113"/>
  <c r="Z68" i="113"/>
  <c r="Z69" i="113"/>
  <c r="Z70" i="113"/>
  <c r="Z71" i="113"/>
  <c r="Z75" i="113"/>
  <c r="Z77" i="113"/>
  <c r="Z78" i="113"/>
  <c r="Z79" i="113"/>
  <c r="X7" i="113"/>
  <c r="X8" i="113"/>
  <c r="X9" i="113"/>
  <c r="X11" i="113"/>
  <c r="X14" i="113"/>
  <c r="X15" i="113"/>
  <c r="X16" i="113"/>
  <c r="X18" i="113"/>
  <c r="X23" i="113"/>
  <c r="X24" i="113"/>
  <c r="X25" i="113"/>
  <c r="X26" i="113"/>
  <c r="X27" i="113"/>
  <c r="X31" i="113"/>
  <c r="X32" i="113"/>
  <c r="X33" i="113"/>
  <c r="X34" i="113"/>
  <c r="X37" i="113"/>
  <c r="X38" i="113"/>
  <c r="X39" i="113"/>
  <c r="X42" i="113"/>
  <c r="X43" i="113"/>
  <c r="X44" i="113"/>
  <c r="X50" i="113"/>
  <c r="X53" i="113"/>
  <c r="X54" i="113"/>
  <c r="X60" i="113"/>
  <c r="X61" i="113"/>
  <c r="X62" i="113"/>
  <c r="X63" i="113"/>
  <c r="X64" i="113"/>
  <c r="X67" i="113"/>
  <c r="X68" i="113"/>
  <c r="X69" i="113"/>
  <c r="X70" i="113"/>
  <c r="X71" i="113"/>
  <c r="X75" i="113"/>
  <c r="X77" i="113"/>
  <c r="X78" i="113"/>
  <c r="X79" i="113"/>
  <c r="C42" i="3" l="1"/>
  <c r="B42" i="3"/>
  <c r="C31" i="3"/>
  <c r="B31" i="3"/>
  <c r="Z24" i="113"/>
  <c r="Z23" i="113"/>
  <c r="A3" i="111"/>
  <c r="G14" i="111"/>
  <c r="J14" i="111"/>
  <c r="I14" i="111" s="1"/>
  <c r="G15" i="111"/>
  <c r="J15" i="111"/>
  <c r="I15" i="111" s="1"/>
  <c r="G16" i="111"/>
  <c r="J16" i="111"/>
  <c r="I16" i="111" s="1"/>
  <c r="G18" i="111"/>
  <c r="J18" i="111"/>
  <c r="I18" i="111" s="1"/>
  <c r="G23" i="111"/>
  <c r="J23" i="111"/>
  <c r="I23" i="111" s="1"/>
  <c r="G24" i="111"/>
  <c r="J24" i="111"/>
  <c r="I24" i="111" s="1"/>
  <c r="G25" i="111"/>
  <c r="J25" i="111"/>
  <c r="I25" i="111" s="1"/>
  <c r="G26" i="111"/>
  <c r="G27" i="111"/>
  <c r="J27" i="111"/>
  <c r="G31" i="111"/>
  <c r="J31" i="111"/>
  <c r="I31" i="111" s="1"/>
  <c r="G32" i="111"/>
  <c r="J32" i="111"/>
  <c r="I32" i="111" s="1"/>
  <c r="G33" i="111"/>
  <c r="J33" i="111"/>
  <c r="I33" i="111" s="1"/>
  <c r="G34" i="111"/>
  <c r="J34" i="111"/>
  <c r="I34" i="111" s="1"/>
  <c r="G37" i="111"/>
  <c r="J37" i="111"/>
  <c r="I37" i="111" s="1"/>
  <c r="G38" i="111"/>
  <c r="J38" i="111"/>
  <c r="I38" i="111" s="1"/>
  <c r="G39" i="111"/>
  <c r="J39" i="111"/>
  <c r="I39" i="111" s="1"/>
  <c r="G42" i="111"/>
  <c r="J42" i="111"/>
  <c r="I42" i="111" s="1"/>
  <c r="G43" i="111"/>
  <c r="J43" i="111"/>
  <c r="I43" i="111" s="1"/>
  <c r="E44" i="111"/>
  <c r="H44" i="111" s="1"/>
  <c r="J44" i="111"/>
  <c r="I44" i="111" s="1"/>
  <c r="G51" i="111"/>
  <c r="J51" i="111"/>
  <c r="I51" i="111" s="1"/>
  <c r="G53" i="111"/>
  <c r="J53" i="111"/>
  <c r="I53" i="111" s="1"/>
  <c r="G54" i="111"/>
  <c r="J54" i="111"/>
  <c r="I54" i="111" s="1"/>
  <c r="G60" i="111"/>
  <c r="J60" i="111"/>
  <c r="I60" i="111" s="1"/>
  <c r="G61" i="111"/>
  <c r="J61" i="111"/>
  <c r="I61" i="111" s="1"/>
  <c r="G62" i="111"/>
  <c r="J62" i="111"/>
  <c r="I62" i="111" s="1"/>
  <c r="G63" i="111"/>
  <c r="J63" i="111"/>
  <c r="I63" i="111" s="1"/>
  <c r="G64" i="111"/>
  <c r="J64" i="111"/>
  <c r="I64" i="111" s="1"/>
  <c r="H66" i="111"/>
  <c r="J66" i="111"/>
  <c r="I66" i="111" s="1"/>
  <c r="G67" i="111"/>
  <c r="G68" i="111"/>
  <c r="G69" i="111"/>
  <c r="G70" i="111"/>
  <c r="G71" i="111"/>
  <c r="G75" i="111"/>
  <c r="J75" i="111"/>
  <c r="I75" i="111" s="1"/>
  <c r="G78" i="111"/>
  <c r="G77" i="111" s="1"/>
  <c r="F85" i="111"/>
  <c r="F86" i="111"/>
  <c r="F87" i="111"/>
  <c r="F88" i="111"/>
  <c r="F89" i="111"/>
  <c r="F15" i="111" s="1"/>
  <c r="F90" i="111"/>
  <c r="F91" i="111"/>
  <c r="F92" i="111"/>
  <c r="F93" i="111"/>
  <c r="F16" i="111" s="1"/>
  <c r="F94" i="111"/>
  <c r="F95" i="111"/>
  <c r="F96" i="111"/>
  <c r="F97" i="111"/>
  <c r="F98" i="111"/>
  <c r="F99" i="111"/>
  <c r="F100" i="111"/>
  <c r="F101" i="111"/>
  <c r="F102" i="111"/>
  <c r="F103"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157" i="111"/>
  <c r="F24" i="111" s="1"/>
  <c r="F158" i="111"/>
  <c r="F159" i="111"/>
  <c r="F160" i="111"/>
  <c r="F161" i="111"/>
  <c r="F162" i="111"/>
  <c r="F163" i="111"/>
  <c r="F164" i="111"/>
  <c r="F165" i="111"/>
  <c r="F166" i="111"/>
  <c r="F167" i="111"/>
  <c r="F168" i="111"/>
  <c r="F169" i="111"/>
  <c r="F170" i="111"/>
  <c r="F171" i="111"/>
  <c r="F172" i="111"/>
  <c r="F173" i="111"/>
  <c r="F174" i="111"/>
  <c r="F175" i="111"/>
  <c r="F176" i="111"/>
  <c r="F177" i="111"/>
  <c r="F178" i="111"/>
  <c r="F179" i="111"/>
  <c r="F180" i="111"/>
  <c r="F181" i="111"/>
  <c r="F182" i="111"/>
  <c r="F183" i="111"/>
  <c r="F27" i="111"/>
  <c r="F224" i="111"/>
  <c r="F225" i="111"/>
  <c r="F226" i="111"/>
  <c r="F237" i="111"/>
  <c r="F238" i="111"/>
  <c r="F250" i="111"/>
  <c r="F253" i="111"/>
  <c r="F34" i="111" s="1"/>
  <c r="F255" i="111"/>
  <c r="F257" i="111"/>
  <c r="F258" i="111"/>
  <c r="F259" i="111"/>
  <c r="F260" i="111"/>
  <c r="F261" i="111"/>
  <c r="F262" i="111"/>
  <c r="F263" i="111"/>
  <c r="F264" i="111"/>
  <c r="F265" i="111"/>
  <c r="F37" i="111" s="1"/>
  <c r="F266" i="111"/>
  <c r="F267" i="111"/>
  <c r="F268" i="111"/>
  <c r="F269" i="111"/>
  <c r="F270" i="111"/>
  <c r="F271" i="111"/>
  <c r="F38" i="111" s="1"/>
  <c r="F272" i="111"/>
  <c r="F273" i="111"/>
  <c r="F274" i="111"/>
  <c r="F275" i="111"/>
  <c r="F276" i="111"/>
  <c r="F277" i="111"/>
  <c r="F39" i="111" s="1"/>
  <c r="F278" i="111"/>
  <c r="F279" i="111"/>
  <c r="F280" i="111"/>
  <c r="F281" i="111"/>
  <c r="F282" i="111"/>
  <c r="F283" i="111"/>
  <c r="F284" i="111"/>
  <c r="F285" i="111"/>
  <c r="F286" i="111"/>
  <c r="F287" i="111"/>
  <c r="F288" i="111"/>
  <c r="F289" i="111"/>
  <c r="F290" i="111"/>
  <c r="F291" i="111"/>
  <c r="F292" i="111"/>
  <c r="F42" i="111" s="1"/>
  <c r="F293" i="111"/>
  <c r="F294" i="111"/>
  <c r="F295" i="111"/>
  <c r="F296" i="111"/>
  <c r="F297" i="111"/>
  <c r="F298" i="111"/>
  <c r="F299" i="111"/>
  <c r="F300" i="111"/>
  <c r="F43" i="111" s="1"/>
  <c r="Q297" i="111"/>
  <c r="F301" i="111"/>
  <c r="F302" i="111"/>
  <c r="F303" i="111"/>
  <c r="F304" i="111"/>
  <c r="F305" i="111"/>
  <c r="F306" i="111"/>
  <c r="F307" i="111"/>
  <c r="F308" i="111"/>
  <c r="F51" i="111" s="1"/>
  <c r="F309" i="111"/>
  <c r="F53" i="111" s="1"/>
  <c r="F310" i="111"/>
  <c r="F54" i="111" s="1"/>
  <c r="F311" i="111"/>
  <c r="F312" i="111"/>
  <c r="F313" i="111"/>
  <c r="F314" i="111"/>
  <c r="F315" i="111"/>
  <c r="F316" i="111"/>
  <c r="F317" i="111"/>
  <c r="F318" i="111"/>
  <c r="F319" i="111"/>
  <c r="F320" i="111"/>
  <c r="F321" i="111"/>
  <c r="F322" i="111"/>
  <c r="F63" i="111"/>
  <c r="F64" i="111"/>
  <c r="F69" i="111"/>
  <c r="F70" i="111"/>
  <c r="F75" i="111"/>
  <c r="F78" i="111"/>
  <c r="F77" i="111" s="1"/>
  <c r="C30" i="82" l="1"/>
  <c r="B32" i="48"/>
  <c r="B39" i="48"/>
  <c r="C37" i="82"/>
  <c r="F18" i="111"/>
  <c r="E64" i="111"/>
  <c r="H64" i="111" s="1"/>
  <c r="E61" i="111"/>
  <c r="H61" i="111" s="1"/>
  <c r="J17" i="111"/>
  <c r="J19" i="111" s="1"/>
  <c r="E51" i="111"/>
  <c r="H51" i="111" s="1"/>
  <c r="E39" i="111"/>
  <c r="H39" i="111" s="1"/>
  <c r="E37" i="111"/>
  <c r="H37" i="111" s="1"/>
  <c r="E62" i="111"/>
  <c r="H62" i="111" s="1"/>
  <c r="G35" i="111"/>
  <c r="E34" i="111"/>
  <c r="H34" i="111" s="1"/>
  <c r="J65" i="111"/>
  <c r="J80" i="111" s="1"/>
  <c r="I80" i="111" s="1"/>
  <c r="E42" i="111"/>
  <c r="H42" i="111" s="1"/>
  <c r="E16" i="111"/>
  <c r="H16" i="111" s="1"/>
  <c r="J35" i="111"/>
  <c r="I35" i="111"/>
  <c r="G45" i="111"/>
  <c r="E54" i="111"/>
  <c r="H54" i="111" s="1"/>
  <c r="E38" i="111"/>
  <c r="H38" i="111" s="1"/>
  <c r="F25" i="111"/>
  <c r="E25" i="111" s="1"/>
  <c r="H25" i="111" s="1"/>
  <c r="G65" i="111"/>
  <c r="E75" i="111"/>
  <c r="H75" i="111" s="1"/>
  <c r="E63" i="111"/>
  <c r="H63" i="111" s="1"/>
  <c r="I17" i="111"/>
  <c r="I19" i="111" s="1"/>
  <c r="G17" i="111"/>
  <c r="G19" i="111" s="1"/>
  <c r="F26" i="111"/>
  <c r="E26" i="111" s="1"/>
  <c r="F67" i="111"/>
  <c r="E67" i="111" s="1"/>
  <c r="F71" i="111"/>
  <c r="E71" i="111" s="1"/>
  <c r="F68" i="111"/>
  <c r="E68" i="111" s="1"/>
  <c r="E53" i="111"/>
  <c r="H53" i="111" s="1"/>
  <c r="E27" i="111"/>
  <c r="H27" i="111" s="1"/>
  <c r="E70" i="111"/>
  <c r="F14" i="111"/>
  <c r="F17" i="111" s="1"/>
  <c r="G72" i="111"/>
  <c r="E69" i="111"/>
  <c r="E24" i="111"/>
  <c r="H24" i="111" s="1"/>
  <c r="E15" i="111"/>
  <c r="H15" i="111" s="1"/>
  <c r="J45" i="111"/>
  <c r="J28" i="111"/>
  <c r="G28" i="111"/>
  <c r="F23" i="111"/>
  <c r="E23" i="111" s="1"/>
  <c r="E18" i="111"/>
  <c r="H18" i="111" s="1"/>
  <c r="E60" i="111"/>
  <c r="F65" i="111"/>
  <c r="E43" i="111"/>
  <c r="H43" i="111" s="1"/>
  <c r="F45" i="111"/>
  <c r="I65" i="111"/>
  <c r="E78" i="111"/>
  <c r="E77" i="111"/>
  <c r="I45" i="111"/>
  <c r="I27" i="111"/>
  <c r="I28" i="111" s="1"/>
  <c r="G46" i="111" l="1"/>
  <c r="G48" i="111" s="1"/>
  <c r="G56" i="111" s="1"/>
  <c r="E72" i="111"/>
  <c r="G73" i="111"/>
  <c r="G76" i="111" s="1"/>
  <c r="G80" i="111" s="1"/>
  <c r="F19" i="111"/>
  <c r="E14" i="111"/>
  <c r="E17" i="111" s="1"/>
  <c r="I46" i="111"/>
  <c r="I48" i="111" s="1"/>
  <c r="I56" i="111" s="1"/>
  <c r="I81" i="111" s="1"/>
  <c r="E45" i="111"/>
  <c r="H45" i="111" s="1"/>
  <c r="F28" i="111"/>
  <c r="F72" i="111"/>
  <c r="F73" i="111" s="1"/>
  <c r="F76" i="111" s="1"/>
  <c r="F80" i="111" s="1"/>
  <c r="J46" i="111"/>
  <c r="J48" i="111" s="1"/>
  <c r="J56" i="111" s="1"/>
  <c r="J81" i="111" s="1"/>
  <c r="H23" i="111"/>
  <c r="E28" i="111"/>
  <c r="E65" i="111"/>
  <c r="H60" i="111"/>
  <c r="H14" i="111" l="1"/>
  <c r="H28" i="111"/>
  <c r="H17" i="111"/>
  <c r="E19" i="111"/>
  <c r="H65" i="111"/>
  <c r="E73" i="111"/>
  <c r="E76" i="111" s="1"/>
  <c r="E80" i="111" s="1"/>
  <c r="H80" i="111" s="1"/>
  <c r="H19" i="111" l="1"/>
  <c r="AF10" i="1" l="1"/>
  <c r="AJ73" i="1"/>
  <c r="AG72" i="113" s="1"/>
  <c r="AJ66" i="1"/>
  <c r="AG65" i="113" s="1"/>
  <c r="AJ45" i="1"/>
  <c r="AG45" i="113" s="1"/>
  <c r="AJ35" i="1"/>
  <c r="AG35" i="113" s="1"/>
  <c r="AJ28" i="1"/>
  <c r="AG28" i="113" s="1"/>
  <c r="AJ17" i="1"/>
  <c r="Z72" i="113"/>
  <c r="Z65" i="113"/>
  <c r="Z45" i="113"/>
  <c r="Z35" i="113"/>
  <c r="Z28" i="113"/>
  <c r="Z17" i="113"/>
  <c r="A2" i="114"/>
  <c r="AG10" i="1" l="1"/>
  <c r="AH10" i="1" s="1"/>
  <c r="AI10" i="1" s="1"/>
  <c r="AJ19" i="1"/>
  <c r="AG19" i="113" s="1"/>
  <c r="AG17" i="113"/>
  <c r="AJ74" i="1"/>
  <c r="AJ46" i="1"/>
  <c r="Z19" i="113"/>
  <c r="Z46" i="113"/>
  <c r="AJ48" i="1" l="1"/>
  <c r="AG46" i="113"/>
  <c r="AJ10" i="1"/>
  <c r="A42" i="99" s="1"/>
  <c r="AF10" i="113"/>
  <c r="AG73" i="113"/>
  <c r="Z73" i="113"/>
  <c r="Z51" i="113" l="1"/>
  <c r="Z48" i="113"/>
  <c r="AJ82" i="1"/>
  <c r="H42" i="99" s="1"/>
  <c r="K42" i="99" s="1"/>
  <c r="AG76" i="113"/>
  <c r="AG51" i="113"/>
  <c r="AG48" i="113"/>
  <c r="H32" i="99"/>
  <c r="K32" i="99" s="1"/>
  <c r="Z76" i="113"/>
  <c r="AK10" i="1"/>
  <c r="AG10" i="113"/>
  <c r="A42" i="3"/>
  <c r="AL10" i="1" l="1"/>
  <c r="AM10" i="1" s="1"/>
  <c r="AN10" i="1" s="1"/>
  <c r="AO10" i="1" s="1"/>
  <c r="AL10" i="113" s="1"/>
  <c r="A39" i="48"/>
  <c r="B37" i="82"/>
  <c r="AG80" i="113"/>
  <c r="E42" i="3"/>
  <c r="F39" i="48" s="1"/>
  <c r="G39" i="48" s="1"/>
  <c r="Z80" i="113"/>
  <c r="E31" i="3"/>
  <c r="F32" i="48" s="1"/>
  <c r="G32" i="48" s="1"/>
  <c r="A47" i="99" l="1"/>
  <c r="AP10" i="1"/>
  <c r="A47" i="3"/>
  <c r="A48" i="99" l="1"/>
  <c r="AM10" i="113"/>
  <c r="AQ10" i="1"/>
  <c r="B42" i="82"/>
  <c r="A44" i="48"/>
  <c r="A48" i="3"/>
  <c r="F18" i="51"/>
  <c r="F22" i="51"/>
  <c r="F12" i="51"/>
  <c r="F16" i="51" s="1"/>
  <c r="H17" i="114"/>
  <c r="H19" i="114"/>
  <c r="H29" i="114"/>
  <c r="H66" i="114"/>
  <c r="H73" i="114"/>
  <c r="AN10" i="113" l="1"/>
  <c r="A49" i="3"/>
  <c r="A49" i="99"/>
  <c r="B43" i="82"/>
  <c r="A45" i="48"/>
  <c r="F20" i="51"/>
  <c r="F24" i="51" s="1"/>
  <c r="H74" i="114"/>
  <c r="H77" i="114" s="1"/>
  <c r="H81" i="114" s="1"/>
  <c r="B44" i="82" l="1"/>
  <c r="A46" i="48"/>
  <c r="F32" i="51"/>
  <c r="I73" i="114"/>
  <c r="I66" i="114"/>
  <c r="I29" i="114"/>
  <c r="A5" i="114"/>
  <c r="A4" i="114"/>
  <c r="A1" i="114"/>
  <c r="B45" i="82" l="1"/>
  <c r="I74" i="114"/>
  <c r="I77" i="114" s="1"/>
  <c r="I81" i="114" s="1"/>
  <c r="E33" i="50" l="1"/>
  <c r="A33" i="113"/>
  <c r="C33" i="113"/>
  <c r="E33" i="113"/>
  <c r="F33" i="113"/>
  <c r="G33" i="113"/>
  <c r="H33" i="113"/>
  <c r="I33" i="113"/>
  <c r="J33" i="113"/>
  <c r="K33" i="113"/>
  <c r="L33" i="113"/>
  <c r="M33" i="113"/>
  <c r="N33" i="113"/>
  <c r="O33" i="113"/>
  <c r="P33" i="113"/>
  <c r="Q33" i="113"/>
  <c r="R33" i="113"/>
  <c r="S33" i="113"/>
  <c r="T33" i="113"/>
  <c r="U33" i="113"/>
  <c r="V33" i="113"/>
  <c r="Y33" i="113"/>
  <c r="AE33" i="113"/>
  <c r="AA33" i="113"/>
  <c r="AB33" i="113"/>
  <c r="AC33" i="113"/>
  <c r="AD33" i="113"/>
  <c r="AI33" i="113"/>
  <c r="AH33" i="113"/>
  <c r="AJ33" i="113"/>
  <c r="AK33" i="113"/>
  <c r="AC33" i="1"/>
  <c r="AR33" i="1" l="1"/>
  <c r="AT33" i="1" l="1"/>
  <c r="AY33" i="1" s="1"/>
  <c r="G33" i="50" l="1"/>
  <c r="E34" i="114" l="1"/>
  <c r="G34" i="114" l="1"/>
  <c r="J34" i="114" s="1"/>
  <c r="F33" i="50"/>
  <c r="I33" i="50"/>
  <c r="F34" i="114" l="1"/>
  <c r="AP73" i="1"/>
  <c r="AM72" i="113" s="1"/>
  <c r="AP66" i="1"/>
  <c r="AM65" i="113" s="1"/>
  <c r="AP45" i="1"/>
  <c r="AM45" i="113" s="1"/>
  <c r="AP35" i="1"/>
  <c r="AM35" i="113" s="1"/>
  <c r="AP28" i="1"/>
  <c r="AM28" i="113" s="1"/>
  <c r="AP17" i="1"/>
  <c r="AM17" i="113" s="1"/>
  <c r="AP19" i="1" l="1"/>
  <c r="AM19" i="113" s="1"/>
  <c r="AP74" i="1"/>
  <c r="AM73" i="113" s="1"/>
  <c r="AP46" i="1"/>
  <c r="AM46" i="113" s="1"/>
  <c r="AM76" i="113" l="1"/>
  <c r="AP48" i="1"/>
  <c r="AM48" i="113" s="1"/>
  <c r="AP82" i="1" l="1"/>
  <c r="AM80" i="113" s="1"/>
  <c r="AM51" i="113"/>
  <c r="H48" i="99" l="1"/>
  <c r="K48" i="99" s="1"/>
  <c r="E48" i="3"/>
  <c r="F45" i="48" s="1"/>
  <c r="G45" i="48" s="1"/>
  <c r="B45" i="99"/>
  <c r="AH16" i="113" l="1"/>
  <c r="AA7" i="113"/>
  <c r="AB7" i="113"/>
  <c r="AC7" i="113"/>
  <c r="AD7" i="113"/>
  <c r="AI7" i="113"/>
  <c r="AH7" i="113"/>
  <c r="AJ7" i="113"/>
  <c r="AK7" i="113"/>
  <c r="AA8" i="113"/>
  <c r="AB8" i="113"/>
  <c r="AC8" i="113"/>
  <c r="AD8" i="113"/>
  <c r="AI8" i="113"/>
  <c r="AH8" i="113"/>
  <c r="AJ8" i="113"/>
  <c r="AK8" i="113"/>
  <c r="AA9" i="113"/>
  <c r="AB9" i="113"/>
  <c r="AC9" i="113"/>
  <c r="AD9" i="113"/>
  <c r="AI9" i="113"/>
  <c r="AH9" i="113"/>
  <c r="AJ9" i="113"/>
  <c r="AK9" i="113"/>
  <c r="AA11" i="113"/>
  <c r="AB11" i="113"/>
  <c r="AC11" i="113"/>
  <c r="AD11" i="113"/>
  <c r="AI11" i="113"/>
  <c r="AH11" i="113"/>
  <c r="AJ11" i="113"/>
  <c r="AK11" i="113"/>
  <c r="AA14" i="113"/>
  <c r="AB14" i="113"/>
  <c r="AC14" i="113"/>
  <c r="AD14" i="113"/>
  <c r="AI14" i="113"/>
  <c r="AH14" i="113"/>
  <c r="AJ14" i="113"/>
  <c r="AK14" i="113"/>
  <c r="AA15" i="113"/>
  <c r="AB15" i="113"/>
  <c r="AC15" i="113"/>
  <c r="AD15" i="113"/>
  <c r="AI15" i="113"/>
  <c r="AH15" i="113"/>
  <c r="AJ15" i="113"/>
  <c r="AK15" i="113"/>
  <c r="AA16" i="113"/>
  <c r="AB16" i="113"/>
  <c r="AC16" i="113"/>
  <c r="AD16" i="113"/>
  <c r="AI16" i="113"/>
  <c r="AJ16" i="113"/>
  <c r="AK16" i="113"/>
  <c r="AA18" i="113"/>
  <c r="AB18" i="113"/>
  <c r="AC18" i="113"/>
  <c r="AD18" i="113"/>
  <c r="AI18" i="113"/>
  <c r="AH18" i="113"/>
  <c r="AJ18" i="113"/>
  <c r="AK18" i="113"/>
  <c r="AA23" i="113"/>
  <c r="AB23" i="113"/>
  <c r="AD23" i="113"/>
  <c r="AI23" i="113"/>
  <c r="AH23" i="113"/>
  <c r="AJ23" i="113"/>
  <c r="AK23" i="113"/>
  <c r="AA24" i="113"/>
  <c r="AB24" i="113"/>
  <c r="AC24" i="113"/>
  <c r="AD24" i="113"/>
  <c r="AI24" i="113"/>
  <c r="AH24" i="113"/>
  <c r="AJ24" i="113"/>
  <c r="AK24" i="113"/>
  <c r="AA25" i="113"/>
  <c r="AB25" i="113"/>
  <c r="AC25" i="113"/>
  <c r="AD25" i="113"/>
  <c r="AI25" i="113"/>
  <c r="AH25" i="113"/>
  <c r="AJ25" i="113"/>
  <c r="AK25" i="113"/>
  <c r="AA26" i="113"/>
  <c r="AB26" i="113"/>
  <c r="AC26" i="113"/>
  <c r="AD26" i="113"/>
  <c r="AI26" i="113"/>
  <c r="AH26" i="113"/>
  <c r="AJ26" i="113"/>
  <c r="AK26" i="113"/>
  <c r="AA27" i="113"/>
  <c r="AB27" i="113"/>
  <c r="AC27" i="113"/>
  <c r="AD27" i="113"/>
  <c r="AI27" i="113"/>
  <c r="AH27" i="113"/>
  <c r="AJ27" i="113"/>
  <c r="AK27" i="113"/>
  <c r="AA31" i="113"/>
  <c r="AB31" i="113"/>
  <c r="AC31" i="113"/>
  <c r="AD31" i="113"/>
  <c r="AI31" i="113"/>
  <c r="AH31" i="113"/>
  <c r="AJ31" i="113"/>
  <c r="AK31" i="113"/>
  <c r="AA32" i="113"/>
  <c r="AB32" i="113"/>
  <c r="AC32" i="113"/>
  <c r="AD32" i="113"/>
  <c r="AI32" i="113"/>
  <c r="AH32" i="113"/>
  <c r="AJ32" i="113"/>
  <c r="AK32" i="113"/>
  <c r="AA34" i="113"/>
  <c r="AB34" i="113"/>
  <c r="AC34" i="113"/>
  <c r="AD34" i="113"/>
  <c r="AI34" i="113"/>
  <c r="AJ34" i="113"/>
  <c r="AK34" i="113"/>
  <c r="AA37" i="113"/>
  <c r="AB37" i="113"/>
  <c r="AC37" i="113"/>
  <c r="AD37" i="113"/>
  <c r="AI37" i="113"/>
  <c r="AJ37" i="113"/>
  <c r="AK37" i="113"/>
  <c r="AA38" i="113"/>
  <c r="AB38" i="113"/>
  <c r="AC38" i="113"/>
  <c r="AD38" i="113"/>
  <c r="AI38" i="113"/>
  <c r="AH38" i="113"/>
  <c r="AJ38" i="113"/>
  <c r="AK38" i="113"/>
  <c r="AA39" i="113"/>
  <c r="AC39" i="113"/>
  <c r="AD39" i="113"/>
  <c r="AI39" i="113"/>
  <c r="AH39" i="113"/>
  <c r="AJ39" i="113"/>
  <c r="AK39" i="113"/>
  <c r="AA42" i="113"/>
  <c r="AB42" i="113"/>
  <c r="AC42" i="113"/>
  <c r="AD42" i="113"/>
  <c r="AI42" i="113"/>
  <c r="AJ42" i="113"/>
  <c r="AK42" i="113"/>
  <c r="AA43" i="113"/>
  <c r="AB43" i="113"/>
  <c r="AC43" i="113"/>
  <c r="AD43" i="113"/>
  <c r="AI43" i="113"/>
  <c r="AH43" i="113"/>
  <c r="AJ43" i="113"/>
  <c r="AK43" i="113"/>
  <c r="AA44" i="113"/>
  <c r="AB44" i="113"/>
  <c r="AC44" i="113"/>
  <c r="AD44" i="113"/>
  <c r="AI44" i="113"/>
  <c r="AH44" i="113"/>
  <c r="AJ44" i="113"/>
  <c r="AK44" i="113"/>
  <c r="AA50" i="113"/>
  <c r="AB50" i="113"/>
  <c r="AC50" i="113"/>
  <c r="AD50" i="113"/>
  <c r="AI50" i="113"/>
  <c r="AH50" i="113"/>
  <c r="AJ50" i="113"/>
  <c r="AK50" i="113"/>
  <c r="AA53" i="113"/>
  <c r="AB53" i="113"/>
  <c r="AC53" i="113"/>
  <c r="AD53" i="113"/>
  <c r="AI53" i="113"/>
  <c r="AH53" i="113"/>
  <c r="AJ53" i="113"/>
  <c r="AK53" i="113"/>
  <c r="AA54" i="113"/>
  <c r="AB54" i="113"/>
  <c r="AC54" i="113"/>
  <c r="AD54" i="113"/>
  <c r="AI54" i="113"/>
  <c r="AH54" i="113"/>
  <c r="AJ54" i="113"/>
  <c r="AK54" i="113"/>
  <c r="AA60" i="113"/>
  <c r="AB60" i="113"/>
  <c r="AC60" i="113"/>
  <c r="AD60" i="113"/>
  <c r="AI60" i="113"/>
  <c r="AH60" i="113"/>
  <c r="AJ60" i="113"/>
  <c r="AK60" i="113"/>
  <c r="AA61" i="113"/>
  <c r="AB61" i="113"/>
  <c r="AC61" i="113"/>
  <c r="AD61" i="113"/>
  <c r="AI61" i="113"/>
  <c r="AH61" i="113"/>
  <c r="AJ61" i="113"/>
  <c r="AK61" i="113"/>
  <c r="AA62" i="113"/>
  <c r="AB62" i="113"/>
  <c r="AC62" i="113"/>
  <c r="AD62" i="113"/>
  <c r="AI62" i="113"/>
  <c r="AH62" i="113"/>
  <c r="AJ62" i="113"/>
  <c r="AK62" i="113"/>
  <c r="AA63" i="113"/>
  <c r="AB63" i="113"/>
  <c r="AC63" i="113"/>
  <c r="AD63" i="113"/>
  <c r="AI63" i="113"/>
  <c r="AH63" i="113"/>
  <c r="AJ63" i="113"/>
  <c r="AK63" i="113"/>
  <c r="AA64" i="113"/>
  <c r="AB64" i="113"/>
  <c r="AC64" i="113"/>
  <c r="AD64" i="113"/>
  <c r="AI64" i="113"/>
  <c r="AH64" i="113"/>
  <c r="AJ64" i="113"/>
  <c r="AK64" i="113"/>
  <c r="AA67" i="113"/>
  <c r="AB67" i="113"/>
  <c r="AC67" i="113"/>
  <c r="AD67" i="113"/>
  <c r="AI67" i="113"/>
  <c r="AH67" i="113"/>
  <c r="AJ67" i="113"/>
  <c r="AK67" i="113"/>
  <c r="AA68" i="113"/>
  <c r="AB68" i="113"/>
  <c r="AC68" i="113"/>
  <c r="AD68" i="113"/>
  <c r="AI68" i="113"/>
  <c r="AH68" i="113"/>
  <c r="AJ68" i="113"/>
  <c r="AK68" i="113"/>
  <c r="AA69" i="113"/>
  <c r="AB69" i="113"/>
  <c r="AC69" i="113"/>
  <c r="AD69" i="113"/>
  <c r="AI69" i="113"/>
  <c r="AH69" i="113"/>
  <c r="AJ69" i="113"/>
  <c r="AK69" i="113"/>
  <c r="AA70" i="113"/>
  <c r="AB70" i="113"/>
  <c r="AC70" i="113"/>
  <c r="AD70" i="113"/>
  <c r="AI70" i="113"/>
  <c r="AH70" i="113"/>
  <c r="AJ70" i="113"/>
  <c r="AK70" i="113"/>
  <c r="AA71" i="113"/>
  <c r="AB71" i="113"/>
  <c r="AC71" i="113"/>
  <c r="AD71" i="113"/>
  <c r="AI71" i="113"/>
  <c r="AH71" i="113"/>
  <c r="AJ71" i="113"/>
  <c r="AK71" i="113"/>
  <c r="AA75" i="113"/>
  <c r="AB75" i="113"/>
  <c r="AC75" i="113"/>
  <c r="AD75" i="113"/>
  <c r="AI75" i="113"/>
  <c r="AH75" i="113"/>
  <c r="AJ75" i="113"/>
  <c r="AK75" i="113"/>
  <c r="AA77" i="113"/>
  <c r="AB77" i="113"/>
  <c r="AC77" i="113"/>
  <c r="AD77" i="113"/>
  <c r="AI77" i="113"/>
  <c r="AH77" i="113"/>
  <c r="AJ77" i="113"/>
  <c r="AK77" i="113"/>
  <c r="AA78" i="113"/>
  <c r="AB78" i="113"/>
  <c r="AC78" i="113"/>
  <c r="AD78" i="113"/>
  <c r="AI78" i="113"/>
  <c r="AH78" i="113"/>
  <c r="AJ78" i="113"/>
  <c r="AK78" i="113"/>
  <c r="AA79" i="113"/>
  <c r="AB79" i="113"/>
  <c r="AC79" i="113"/>
  <c r="AD79" i="113"/>
  <c r="AI79" i="113"/>
  <c r="AH79" i="113"/>
  <c r="AJ79" i="113"/>
  <c r="AK79" i="113"/>
  <c r="U7" i="113"/>
  <c r="V7" i="113"/>
  <c r="Y7" i="113"/>
  <c r="AE7" i="113"/>
  <c r="U8" i="113"/>
  <c r="V8" i="113"/>
  <c r="Y8" i="113"/>
  <c r="AE8" i="113"/>
  <c r="U9" i="113"/>
  <c r="V9" i="113"/>
  <c r="Y9" i="113"/>
  <c r="AE9" i="113"/>
  <c r="U11" i="113"/>
  <c r="V11" i="113"/>
  <c r="Y11" i="113"/>
  <c r="AE11" i="113"/>
  <c r="U14" i="113"/>
  <c r="V14" i="113"/>
  <c r="Y14" i="113"/>
  <c r="AE14" i="113"/>
  <c r="U15" i="113"/>
  <c r="V15" i="113"/>
  <c r="Y15" i="113"/>
  <c r="AE15" i="113"/>
  <c r="U16" i="113"/>
  <c r="V16" i="113"/>
  <c r="Y16" i="113"/>
  <c r="AE16" i="113"/>
  <c r="U18" i="113"/>
  <c r="V18" i="113"/>
  <c r="Y18" i="113"/>
  <c r="AE18" i="113"/>
  <c r="V23" i="113"/>
  <c r="Y23" i="113"/>
  <c r="AE23" i="113"/>
  <c r="U24" i="113"/>
  <c r="V24" i="113"/>
  <c r="Y24" i="113"/>
  <c r="AE24" i="113"/>
  <c r="U25" i="113"/>
  <c r="V25" i="113"/>
  <c r="Y25" i="113"/>
  <c r="AE25" i="113"/>
  <c r="U26" i="113"/>
  <c r="V26" i="113"/>
  <c r="Y26" i="113"/>
  <c r="AE26" i="113"/>
  <c r="U27" i="113"/>
  <c r="V27" i="113"/>
  <c r="Y27" i="113"/>
  <c r="AE27" i="113"/>
  <c r="U31" i="113"/>
  <c r="V31" i="113"/>
  <c r="Y31" i="113"/>
  <c r="AE31" i="113"/>
  <c r="U32" i="113"/>
  <c r="V32" i="113"/>
  <c r="Y32" i="113"/>
  <c r="AE32" i="113"/>
  <c r="V34" i="113"/>
  <c r="Y34" i="113"/>
  <c r="AE34" i="113"/>
  <c r="V37" i="113"/>
  <c r="Y37" i="113"/>
  <c r="AE37" i="113"/>
  <c r="U38" i="113"/>
  <c r="V38" i="113"/>
  <c r="Y38" i="113"/>
  <c r="AE38" i="113"/>
  <c r="U39" i="113"/>
  <c r="V39" i="113"/>
  <c r="Y39" i="113"/>
  <c r="AE39" i="113"/>
  <c r="V42" i="113"/>
  <c r="Y42" i="113"/>
  <c r="AE42" i="113"/>
  <c r="U43" i="113"/>
  <c r="V43" i="113"/>
  <c r="Y43" i="113"/>
  <c r="AE43" i="113"/>
  <c r="U44" i="113"/>
  <c r="V44" i="113"/>
  <c r="Y44" i="113"/>
  <c r="AE44" i="113"/>
  <c r="U50" i="113"/>
  <c r="V50" i="113"/>
  <c r="Y50" i="113"/>
  <c r="AE50" i="113"/>
  <c r="U51" i="113"/>
  <c r="Y52" i="113"/>
  <c r="V53" i="113"/>
  <c r="Y53" i="113"/>
  <c r="AE53" i="113"/>
  <c r="V54" i="113"/>
  <c r="Y54" i="113"/>
  <c r="AE54" i="113"/>
  <c r="U60" i="113"/>
  <c r="V60" i="113"/>
  <c r="Y60" i="113"/>
  <c r="AE60" i="113"/>
  <c r="U61" i="113"/>
  <c r="V61" i="113"/>
  <c r="Y61" i="113"/>
  <c r="AE61" i="113"/>
  <c r="U62" i="113"/>
  <c r="V62" i="113"/>
  <c r="Y62" i="113"/>
  <c r="AE62" i="113"/>
  <c r="U63" i="113"/>
  <c r="V63" i="113"/>
  <c r="Y63" i="113"/>
  <c r="AE63" i="113"/>
  <c r="U64" i="113"/>
  <c r="V64" i="113"/>
  <c r="Y64" i="113"/>
  <c r="AE64" i="113"/>
  <c r="U67" i="113"/>
  <c r="V67" i="113"/>
  <c r="Y67" i="113"/>
  <c r="AE67" i="113"/>
  <c r="U68" i="113"/>
  <c r="V68" i="113"/>
  <c r="Y68" i="113"/>
  <c r="AE68" i="113"/>
  <c r="U69" i="113"/>
  <c r="V69" i="113"/>
  <c r="Y69" i="113"/>
  <c r="AE69" i="113"/>
  <c r="U70" i="113"/>
  <c r="V70" i="113"/>
  <c r="Y70" i="113"/>
  <c r="AE70" i="113"/>
  <c r="U71" i="113"/>
  <c r="V71" i="113"/>
  <c r="Y71" i="113"/>
  <c r="AE71" i="113"/>
  <c r="U75" i="113"/>
  <c r="V75" i="113"/>
  <c r="Y75" i="113"/>
  <c r="AE75" i="113"/>
  <c r="U77" i="113"/>
  <c r="V77" i="113"/>
  <c r="Y77" i="113"/>
  <c r="AE77" i="113"/>
  <c r="U78" i="113"/>
  <c r="V78" i="113"/>
  <c r="Y78" i="113"/>
  <c r="AE78" i="113"/>
  <c r="U79" i="113"/>
  <c r="V79" i="113"/>
  <c r="Y79" i="113"/>
  <c r="AE79" i="113"/>
  <c r="U23" i="113" l="1"/>
  <c r="AN28" i="1"/>
  <c r="AK28" i="113" l="1"/>
  <c r="E18" i="52"/>
  <c r="E20" i="52" s="1"/>
  <c r="E22" i="52" s="1"/>
  <c r="L25" i="1"/>
  <c r="B30" i="99" l="1"/>
  <c r="C29" i="3"/>
  <c r="B29" i="3"/>
  <c r="B30" i="48" l="1"/>
  <c r="C28" i="82"/>
  <c r="AM17" i="1"/>
  <c r="AJ17" i="113" s="1"/>
  <c r="AM28" i="1"/>
  <c r="AJ28" i="113" s="1"/>
  <c r="AM35" i="1"/>
  <c r="AJ35" i="113" s="1"/>
  <c r="AM45" i="1"/>
  <c r="AM66" i="1"/>
  <c r="AJ65" i="113" s="1"/>
  <c r="AM73" i="1"/>
  <c r="AJ72" i="113" s="1"/>
  <c r="AJ45" i="113" l="1"/>
  <c r="AM46" i="1"/>
  <c r="AJ46" i="113" s="1"/>
  <c r="AM19" i="1"/>
  <c r="AJ19" i="113" s="1"/>
  <c r="AM74" i="1"/>
  <c r="AJ73" i="113" l="1"/>
  <c r="AM78" i="1"/>
  <c r="AM48" i="1"/>
  <c r="AJ48" i="113" l="1"/>
  <c r="AM51" i="1"/>
  <c r="AJ51" i="113" s="1"/>
  <c r="AJ76" i="113"/>
  <c r="AM82" i="1"/>
  <c r="X73" i="1"/>
  <c r="X72" i="113" s="1"/>
  <c r="X66" i="1"/>
  <c r="X65" i="113" s="1"/>
  <c r="X45" i="1"/>
  <c r="X45" i="113" s="1"/>
  <c r="X35" i="1"/>
  <c r="X35" i="113" s="1"/>
  <c r="X28" i="1"/>
  <c r="X28" i="113" s="1"/>
  <c r="X17" i="1"/>
  <c r="X17" i="113" s="1"/>
  <c r="AJ80" i="113" l="1"/>
  <c r="H45" i="99"/>
  <c r="K45" i="99" s="1"/>
  <c r="X19" i="1"/>
  <c r="X19" i="113" s="1"/>
  <c r="X74" i="1"/>
  <c r="X73" i="113" s="1"/>
  <c r="X46" i="1"/>
  <c r="X46" i="113" s="1"/>
  <c r="R44" i="116" l="1"/>
  <c r="X76" i="113"/>
  <c r="X48" i="1"/>
  <c r="X48" i="113" s="1"/>
  <c r="X51" i="113" l="1"/>
  <c r="X82" i="1"/>
  <c r="X80" i="113" s="1"/>
  <c r="H30" i="99" l="1"/>
  <c r="K30" i="99" s="1"/>
  <c r="E29" i="3"/>
  <c r="F30" i="48" s="1"/>
  <c r="G30" i="48" s="1"/>
  <c r="AK42" i="1" l="1"/>
  <c r="AH42" i="113" s="1"/>
  <c r="AK37" i="1"/>
  <c r="AH37" i="113" s="1"/>
  <c r="AK34" i="1"/>
  <c r="AH34" i="113" s="1"/>
  <c r="U42" i="1"/>
  <c r="U42" i="113" s="1"/>
  <c r="U37" i="113"/>
  <c r="U34" i="1"/>
  <c r="U34" i="113" s="1"/>
  <c r="S42" i="1"/>
  <c r="S37" i="1"/>
  <c r="R42" i="1"/>
  <c r="R37" i="1"/>
  <c r="S34" i="1" l="1"/>
  <c r="B43" i="99" l="1"/>
  <c r="C43" i="3" l="1"/>
  <c r="B43" i="3"/>
  <c r="S7" i="113"/>
  <c r="T7" i="113"/>
  <c r="S8" i="113"/>
  <c r="T8" i="113"/>
  <c r="S9" i="113"/>
  <c r="T9" i="113"/>
  <c r="S11" i="113"/>
  <c r="T11" i="113"/>
  <c r="S14" i="113"/>
  <c r="T14" i="113"/>
  <c r="S15" i="113"/>
  <c r="T15" i="113"/>
  <c r="S16" i="113"/>
  <c r="T16" i="113"/>
  <c r="S18" i="113"/>
  <c r="T18" i="113"/>
  <c r="S23" i="113"/>
  <c r="T23" i="113"/>
  <c r="S24" i="113"/>
  <c r="T24" i="113"/>
  <c r="S25" i="113"/>
  <c r="T25" i="113"/>
  <c r="S26" i="113"/>
  <c r="T26" i="113"/>
  <c r="S27" i="113"/>
  <c r="T27" i="113"/>
  <c r="S31" i="113"/>
  <c r="T31" i="113"/>
  <c r="S32" i="113"/>
  <c r="T32" i="113"/>
  <c r="S34" i="113"/>
  <c r="T34" i="113"/>
  <c r="S37" i="113"/>
  <c r="T37" i="113"/>
  <c r="S38" i="113"/>
  <c r="T38" i="113"/>
  <c r="S39" i="113"/>
  <c r="T39" i="113"/>
  <c r="S42" i="113"/>
  <c r="T42" i="113"/>
  <c r="S43" i="113"/>
  <c r="T43" i="113"/>
  <c r="S44" i="113"/>
  <c r="T44" i="113"/>
  <c r="S50" i="113"/>
  <c r="T50" i="113"/>
  <c r="S53" i="113"/>
  <c r="T53" i="113"/>
  <c r="S54" i="113"/>
  <c r="T54" i="113"/>
  <c r="S60" i="113"/>
  <c r="T60" i="113"/>
  <c r="S61" i="113"/>
  <c r="T61" i="113"/>
  <c r="S62" i="113"/>
  <c r="T62" i="113"/>
  <c r="S63" i="113"/>
  <c r="T63" i="113"/>
  <c r="S64" i="113"/>
  <c r="T64" i="113"/>
  <c r="S67" i="113"/>
  <c r="T67" i="113"/>
  <c r="S68" i="113"/>
  <c r="T68" i="113"/>
  <c r="S69" i="113"/>
  <c r="T69" i="113"/>
  <c r="S70" i="113"/>
  <c r="T70" i="113"/>
  <c r="S71" i="113"/>
  <c r="T71" i="113"/>
  <c r="S75" i="113"/>
  <c r="T75" i="113"/>
  <c r="S77" i="113"/>
  <c r="T77" i="113"/>
  <c r="S78" i="113"/>
  <c r="T78" i="113"/>
  <c r="S79" i="113"/>
  <c r="T79" i="113"/>
  <c r="AK73" i="1"/>
  <c r="AH72" i="113" s="1"/>
  <c r="AK66" i="1"/>
  <c r="AH65" i="113" s="1"/>
  <c r="AK45" i="1"/>
  <c r="AH45" i="113" s="1"/>
  <c r="AK35" i="1"/>
  <c r="AH35" i="113" s="1"/>
  <c r="AK28" i="1"/>
  <c r="AH28" i="113" s="1"/>
  <c r="B40" i="48" l="1"/>
  <c r="C38" i="82"/>
  <c r="AK74" i="1"/>
  <c r="AH73" i="113" s="1"/>
  <c r="AK46" i="1"/>
  <c r="AH46" i="113" s="1"/>
  <c r="AH76" i="113" l="1"/>
  <c r="B25" i="99"/>
  <c r="AK82" i="1" l="1"/>
  <c r="AH80" i="113" s="1"/>
  <c r="J24" i="82"/>
  <c r="I24" i="82"/>
  <c r="H24" i="82"/>
  <c r="G24" i="82"/>
  <c r="E24" i="82"/>
  <c r="C24" i="3"/>
  <c r="B26" i="48" s="1"/>
  <c r="B24" i="3"/>
  <c r="S73" i="1"/>
  <c r="S72" i="113" s="1"/>
  <c r="S66" i="1"/>
  <c r="S65" i="113" s="1"/>
  <c r="S45" i="1"/>
  <c r="S45" i="113" s="1"/>
  <c r="S35" i="1"/>
  <c r="S35" i="113" s="1"/>
  <c r="S28" i="1"/>
  <c r="S17" i="1"/>
  <c r="H43" i="99" l="1"/>
  <c r="K43" i="99" s="1"/>
  <c r="E43" i="3"/>
  <c r="C24" i="82"/>
  <c r="S19" i="1"/>
  <c r="S19" i="113" s="1"/>
  <c r="S17" i="113"/>
  <c r="F24" i="82"/>
  <c r="S28" i="113"/>
  <c r="S74" i="1"/>
  <c r="S46" i="1"/>
  <c r="F82" i="82"/>
  <c r="F80" i="82"/>
  <c r="R9" i="113"/>
  <c r="F40" i="48" l="1"/>
  <c r="G40" i="48" s="1"/>
  <c r="S48" i="1"/>
  <c r="S46" i="113"/>
  <c r="S73" i="113"/>
  <c r="I12" i="82"/>
  <c r="S51" i="113" l="1"/>
  <c r="S48" i="113"/>
  <c r="S82" i="1"/>
  <c r="S80" i="113" s="1"/>
  <c r="S76" i="113"/>
  <c r="G7" i="113" l="1"/>
  <c r="H7" i="113"/>
  <c r="I7" i="113"/>
  <c r="J7" i="113"/>
  <c r="K7" i="113"/>
  <c r="L7" i="113"/>
  <c r="M7" i="113"/>
  <c r="N7" i="113"/>
  <c r="O7" i="113"/>
  <c r="P7" i="113"/>
  <c r="Q7" i="113"/>
  <c r="R7" i="113"/>
  <c r="G8" i="113"/>
  <c r="H8" i="113"/>
  <c r="I8" i="113"/>
  <c r="J8" i="113"/>
  <c r="K8" i="113"/>
  <c r="L8" i="113"/>
  <c r="M8" i="113"/>
  <c r="N8" i="113"/>
  <c r="O8" i="113"/>
  <c r="P8" i="113"/>
  <c r="Q8" i="113"/>
  <c r="R8" i="113"/>
  <c r="G9" i="113"/>
  <c r="H9" i="113"/>
  <c r="I9" i="113"/>
  <c r="J9" i="113"/>
  <c r="K9" i="113"/>
  <c r="L9" i="113"/>
  <c r="M9" i="113"/>
  <c r="N9" i="113"/>
  <c r="O9" i="113"/>
  <c r="P9" i="113"/>
  <c r="Q9" i="113"/>
  <c r="I10" i="113"/>
  <c r="G11" i="113"/>
  <c r="H11" i="113"/>
  <c r="I11" i="113"/>
  <c r="J11" i="113"/>
  <c r="K11" i="113"/>
  <c r="L11" i="113"/>
  <c r="M11" i="113"/>
  <c r="N11" i="113"/>
  <c r="O11" i="113"/>
  <c r="P11" i="113"/>
  <c r="Q11" i="113"/>
  <c r="R11" i="113"/>
  <c r="G14" i="113"/>
  <c r="H14" i="113"/>
  <c r="I14" i="113"/>
  <c r="J14" i="113"/>
  <c r="K14" i="113"/>
  <c r="L14" i="113"/>
  <c r="M14" i="113"/>
  <c r="N14" i="113"/>
  <c r="O14" i="113"/>
  <c r="P14" i="113"/>
  <c r="Q14" i="113"/>
  <c r="R14" i="113"/>
  <c r="G15" i="113"/>
  <c r="H15" i="113"/>
  <c r="I15" i="113"/>
  <c r="J15" i="113"/>
  <c r="K15" i="113"/>
  <c r="L15" i="113"/>
  <c r="M15" i="113"/>
  <c r="N15" i="113"/>
  <c r="O15" i="113"/>
  <c r="P15" i="113"/>
  <c r="Q15" i="113"/>
  <c r="R15" i="113"/>
  <c r="G16" i="113"/>
  <c r="H16" i="113"/>
  <c r="I16" i="113"/>
  <c r="J16" i="113"/>
  <c r="K16" i="113"/>
  <c r="L16" i="113"/>
  <c r="M16" i="113"/>
  <c r="N16" i="113"/>
  <c r="O16" i="113"/>
  <c r="P16" i="113"/>
  <c r="Q16" i="113"/>
  <c r="R16" i="113"/>
  <c r="G18" i="113"/>
  <c r="H18" i="113"/>
  <c r="I18" i="113"/>
  <c r="J18" i="113"/>
  <c r="K18" i="113"/>
  <c r="L18" i="113"/>
  <c r="M18" i="113"/>
  <c r="N18" i="113"/>
  <c r="O18" i="113"/>
  <c r="P18" i="113"/>
  <c r="Q18" i="113"/>
  <c r="R18" i="113"/>
  <c r="G23" i="113"/>
  <c r="H23" i="113"/>
  <c r="I23" i="113"/>
  <c r="J23" i="113"/>
  <c r="K23" i="113"/>
  <c r="L23" i="113"/>
  <c r="M23" i="113"/>
  <c r="N23" i="113"/>
  <c r="O23" i="113"/>
  <c r="P23" i="113"/>
  <c r="Q23" i="113"/>
  <c r="R23" i="113"/>
  <c r="G24" i="113"/>
  <c r="H24" i="113"/>
  <c r="I24" i="113"/>
  <c r="J24" i="113"/>
  <c r="K24" i="113"/>
  <c r="L24" i="113"/>
  <c r="M24" i="113"/>
  <c r="N24" i="113"/>
  <c r="O24" i="113"/>
  <c r="P24" i="113"/>
  <c r="Q24" i="113"/>
  <c r="R24" i="113"/>
  <c r="G25" i="113"/>
  <c r="H25" i="113"/>
  <c r="I25" i="113"/>
  <c r="J25" i="113"/>
  <c r="K25" i="113"/>
  <c r="L25" i="113"/>
  <c r="M25" i="113"/>
  <c r="N25" i="113"/>
  <c r="O25" i="113"/>
  <c r="P25" i="113"/>
  <c r="Q25" i="113"/>
  <c r="R25" i="113"/>
  <c r="G26" i="113"/>
  <c r="H26" i="113"/>
  <c r="I26" i="113"/>
  <c r="J26" i="113"/>
  <c r="K26" i="113"/>
  <c r="L26" i="113"/>
  <c r="M26" i="113"/>
  <c r="N26" i="113"/>
  <c r="O26" i="113"/>
  <c r="P26" i="113"/>
  <c r="Q26" i="113"/>
  <c r="R26" i="113"/>
  <c r="G27" i="113"/>
  <c r="H27" i="113"/>
  <c r="I27" i="113"/>
  <c r="J27" i="113"/>
  <c r="K27" i="113"/>
  <c r="L27" i="113"/>
  <c r="M27" i="113"/>
  <c r="N27" i="113"/>
  <c r="O27" i="113"/>
  <c r="P27" i="113"/>
  <c r="Q27" i="113"/>
  <c r="R27" i="113"/>
  <c r="G31" i="113"/>
  <c r="H31" i="113"/>
  <c r="I31" i="113"/>
  <c r="J31" i="113"/>
  <c r="K31" i="113"/>
  <c r="L31" i="113"/>
  <c r="M31" i="113"/>
  <c r="N31" i="113"/>
  <c r="O31" i="113"/>
  <c r="P31" i="113"/>
  <c r="Q31" i="113"/>
  <c r="R31" i="113"/>
  <c r="G32" i="113"/>
  <c r="H32" i="113"/>
  <c r="I32" i="113"/>
  <c r="J32" i="113"/>
  <c r="K32" i="113"/>
  <c r="L32" i="113"/>
  <c r="M32" i="113"/>
  <c r="N32" i="113"/>
  <c r="O32" i="113"/>
  <c r="P32" i="113"/>
  <c r="Q32" i="113"/>
  <c r="R32" i="113"/>
  <c r="G34" i="113"/>
  <c r="H34" i="113"/>
  <c r="I34" i="113"/>
  <c r="J34" i="113"/>
  <c r="K34" i="113"/>
  <c r="L34" i="113"/>
  <c r="M34" i="113"/>
  <c r="N34" i="113"/>
  <c r="O34" i="113"/>
  <c r="P34" i="113"/>
  <c r="Q34" i="113"/>
  <c r="R34" i="113"/>
  <c r="G37" i="113"/>
  <c r="H37" i="113"/>
  <c r="I37" i="113"/>
  <c r="J37" i="113"/>
  <c r="L37" i="113"/>
  <c r="M37" i="113"/>
  <c r="N37" i="113"/>
  <c r="O37" i="113"/>
  <c r="P37" i="113"/>
  <c r="Q37" i="113"/>
  <c r="R37" i="113"/>
  <c r="G38" i="113"/>
  <c r="H38" i="113"/>
  <c r="I38" i="113"/>
  <c r="J38" i="113"/>
  <c r="K38" i="113"/>
  <c r="L38" i="113"/>
  <c r="M38" i="113"/>
  <c r="N38" i="113"/>
  <c r="O38" i="113"/>
  <c r="P38" i="113"/>
  <c r="Q38" i="113"/>
  <c r="R38" i="113"/>
  <c r="G39" i="113"/>
  <c r="H39" i="113"/>
  <c r="I39" i="113"/>
  <c r="J39" i="113"/>
  <c r="K39" i="113"/>
  <c r="L39" i="113"/>
  <c r="M39" i="113"/>
  <c r="N39" i="113"/>
  <c r="O39" i="113"/>
  <c r="P39" i="113"/>
  <c r="Q39" i="113"/>
  <c r="R39" i="113"/>
  <c r="G42" i="113"/>
  <c r="H42" i="113"/>
  <c r="I42" i="113"/>
  <c r="J42" i="113"/>
  <c r="K42" i="113"/>
  <c r="L42" i="113"/>
  <c r="M42" i="113"/>
  <c r="N42" i="113"/>
  <c r="O42" i="113"/>
  <c r="P42" i="113"/>
  <c r="Q42" i="113"/>
  <c r="R42" i="113"/>
  <c r="G43" i="113"/>
  <c r="H43" i="113"/>
  <c r="I43" i="113"/>
  <c r="J43" i="113"/>
  <c r="K43" i="113"/>
  <c r="L43" i="113"/>
  <c r="M43" i="113"/>
  <c r="N43" i="113"/>
  <c r="O43" i="113"/>
  <c r="P43" i="113"/>
  <c r="Q43" i="113"/>
  <c r="R43" i="113"/>
  <c r="G44" i="113"/>
  <c r="H44" i="113"/>
  <c r="I44" i="113"/>
  <c r="J44" i="113"/>
  <c r="K44" i="113"/>
  <c r="L44" i="113"/>
  <c r="M44" i="113"/>
  <c r="N44" i="113"/>
  <c r="O44" i="113"/>
  <c r="P44" i="113"/>
  <c r="Q44" i="113"/>
  <c r="R44" i="113"/>
  <c r="G50" i="113"/>
  <c r="H50" i="113"/>
  <c r="I50" i="113"/>
  <c r="J50" i="113"/>
  <c r="K50" i="113"/>
  <c r="L50" i="113"/>
  <c r="M50" i="113"/>
  <c r="N50" i="113"/>
  <c r="O50" i="113"/>
  <c r="P50" i="113"/>
  <c r="Q50" i="113"/>
  <c r="R50" i="113"/>
  <c r="N51" i="113"/>
  <c r="G53" i="113"/>
  <c r="H53" i="113"/>
  <c r="I53" i="113"/>
  <c r="J53" i="113"/>
  <c r="K53" i="113"/>
  <c r="L53" i="113"/>
  <c r="M53" i="113"/>
  <c r="N53" i="113"/>
  <c r="O53" i="113"/>
  <c r="P53" i="113"/>
  <c r="Q53" i="113"/>
  <c r="R53" i="113"/>
  <c r="G54" i="113"/>
  <c r="H54" i="113"/>
  <c r="I54" i="113"/>
  <c r="J54" i="113"/>
  <c r="K54" i="113"/>
  <c r="L54" i="113"/>
  <c r="M54" i="113"/>
  <c r="N54" i="113"/>
  <c r="O54" i="113"/>
  <c r="P54" i="113"/>
  <c r="Q54" i="113"/>
  <c r="R54" i="113"/>
  <c r="G60" i="113"/>
  <c r="H60" i="113"/>
  <c r="I60" i="113"/>
  <c r="J60" i="113"/>
  <c r="K60" i="113"/>
  <c r="L60" i="113"/>
  <c r="M60" i="113"/>
  <c r="N60" i="113"/>
  <c r="O60" i="113"/>
  <c r="P60" i="113"/>
  <c r="Q60" i="113"/>
  <c r="R60" i="113"/>
  <c r="G61" i="113"/>
  <c r="H61" i="113"/>
  <c r="I61" i="113"/>
  <c r="J61" i="113"/>
  <c r="K61" i="113"/>
  <c r="L61" i="113"/>
  <c r="M61" i="113"/>
  <c r="N61" i="113"/>
  <c r="O61" i="113"/>
  <c r="P61" i="113"/>
  <c r="Q61" i="113"/>
  <c r="R61" i="113"/>
  <c r="G62" i="113"/>
  <c r="H62" i="113"/>
  <c r="I62" i="113"/>
  <c r="J62" i="113"/>
  <c r="K62" i="113"/>
  <c r="L62" i="113"/>
  <c r="M62" i="113"/>
  <c r="N62" i="113"/>
  <c r="O62" i="113"/>
  <c r="P62" i="113"/>
  <c r="Q62" i="113"/>
  <c r="R62" i="113"/>
  <c r="G63" i="113"/>
  <c r="H63" i="113"/>
  <c r="I63" i="113"/>
  <c r="J63" i="113"/>
  <c r="K63" i="113"/>
  <c r="L63" i="113"/>
  <c r="M63" i="113"/>
  <c r="N63" i="113"/>
  <c r="O63" i="113"/>
  <c r="P63" i="113"/>
  <c r="Q63" i="113"/>
  <c r="R63" i="113"/>
  <c r="G64" i="113"/>
  <c r="H64" i="113"/>
  <c r="I64" i="113"/>
  <c r="J64" i="113"/>
  <c r="K64" i="113"/>
  <c r="L64" i="113"/>
  <c r="M64" i="113"/>
  <c r="N64" i="113"/>
  <c r="O64" i="113"/>
  <c r="P64" i="113"/>
  <c r="Q64" i="113"/>
  <c r="R64" i="113"/>
  <c r="G67" i="113"/>
  <c r="H67" i="113"/>
  <c r="I67" i="113"/>
  <c r="J67" i="113"/>
  <c r="K67" i="113"/>
  <c r="L67" i="113"/>
  <c r="M67" i="113"/>
  <c r="N67" i="113"/>
  <c r="O67" i="113"/>
  <c r="P67" i="113"/>
  <c r="Q67" i="113"/>
  <c r="R67" i="113"/>
  <c r="G68" i="113"/>
  <c r="H68" i="113"/>
  <c r="I68" i="113"/>
  <c r="J68" i="113"/>
  <c r="K68" i="113"/>
  <c r="L68" i="113"/>
  <c r="M68" i="113"/>
  <c r="N68" i="113"/>
  <c r="O68" i="113"/>
  <c r="P68" i="113"/>
  <c r="Q68" i="113"/>
  <c r="R68" i="113"/>
  <c r="G69" i="113"/>
  <c r="H69" i="113"/>
  <c r="I69" i="113"/>
  <c r="J69" i="113"/>
  <c r="K69" i="113"/>
  <c r="L69" i="113"/>
  <c r="M69" i="113"/>
  <c r="N69" i="113"/>
  <c r="O69" i="113"/>
  <c r="P69" i="113"/>
  <c r="Q69" i="113"/>
  <c r="R69" i="113"/>
  <c r="G70" i="113"/>
  <c r="H70" i="113"/>
  <c r="I70" i="113"/>
  <c r="J70" i="113"/>
  <c r="K70" i="113"/>
  <c r="L70" i="113"/>
  <c r="M70" i="113"/>
  <c r="N70" i="113"/>
  <c r="O70" i="113"/>
  <c r="P70" i="113"/>
  <c r="Q70" i="113"/>
  <c r="R70" i="113"/>
  <c r="G71" i="113"/>
  <c r="H71" i="113"/>
  <c r="I71" i="113"/>
  <c r="J71" i="113"/>
  <c r="K71" i="113"/>
  <c r="L71" i="113"/>
  <c r="M71" i="113"/>
  <c r="N71" i="113"/>
  <c r="O71" i="113"/>
  <c r="P71" i="113"/>
  <c r="Q71" i="113"/>
  <c r="R71" i="113"/>
  <c r="G75" i="113"/>
  <c r="H75" i="113"/>
  <c r="I75" i="113"/>
  <c r="J75" i="113"/>
  <c r="K75" i="113"/>
  <c r="L75" i="113"/>
  <c r="M75" i="113"/>
  <c r="N75" i="113"/>
  <c r="O75" i="113"/>
  <c r="P75" i="113"/>
  <c r="Q75" i="113"/>
  <c r="R75" i="113"/>
  <c r="G77" i="113"/>
  <c r="H77" i="113"/>
  <c r="I77" i="113"/>
  <c r="J77" i="113"/>
  <c r="K77" i="113"/>
  <c r="L77" i="113"/>
  <c r="M77" i="113"/>
  <c r="N77" i="113"/>
  <c r="O77" i="113"/>
  <c r="P77" i="113"/>
  <c r="Q77" i="113"/>
  <c r="R77" i="113"/>
  <c r="G78" i="113"/>
  <c r="H78" i="113"/>
  <c r="I78" i="113"/>
  <c r="J78" i="113"/>
  <c r="K78" i="113"/>
  <c r="L78" i="113"/>
  <c r="M78" i="113"/>
  <c r="N78" i="113"/>
  <c r="O78" i="113"/>
  <c r="P78" i="113"/>
  <c r="Q78" i="113"/>
  <c r="R78" i="113"/>
  <c r="G79" i="113"/>
  <c r="H79" i="113"/>
  <c r="I79" i="113"/>
  <c r="J79" i="113"/>
  <c r="K79" i="113"/>
  <c r="L79" i="113"/>
  <c r="M79" i="113"/>
  <c r="N79" i="113"/>
  <c r="O79" i="113"/>
  <c r="P79" i="113"/>
  <c r="Q79" i="113"/>
  <c r="R79" i="113"/>
  <c r="AB39" i="113"/>
  <c r="J15" i="82" l="1"/>
  <c r="I15" i="82"/>
  <c r="H15" i="82"/>
  <c r="G15" i="82"/>
  <c r="E15" i="82"/>
  <c r="B16" i="99"/>
  <c r="J10" i="1"/>
  <c r="C15" i="3"/>
  <c r="B17" i="48" s="1"/>
  <c r="B15" i="3"/>
  <c r="J73" i="1"/>
  <c r="J72" i="113" s="1"/>
  <c r="J66" i="1"/>
  <c r="J65" i="113" s="1"/>
  <c r="J45" i="1"/>
  <c r="J45" i="113" s="1"/>
  <c r="J35" i="1"/>
  <c r="J35" i="113" s="1"/>
  <c r="J28" i="1"/>
  <c r="J17" i="1"/>
  <c r="C15" i="82" l="1"/>
  <c r="F15" i="82"/>
  <c r="N15" i="82" s="1"/>
  <c r="J28" i="113"/>
  <c r="J19" i="1"/>
  <c r="J19" i="113" s="1"/>
  <c r="J17" i="113"/>
  <c r="A16" i="99"/>
  <c r="J10" i="113"/>
  <c r="J74" i="1"/>
  <c r="J73" i="113" s="1"/>
  <c r="L15" i="82"/>
  <c r="K10" i="1"/>
  <c r="K10" i="113" s="1"/>
  <c r="A15" i="3"/>
  <c r="A17" i="48" s="1"/>
  <c r="J46" i="1"/>
  <c r="J46" i="113" s="1"/>
  <c r="K80" i="82"/>
  <c r="B15" i="82" l="1"/>
  <c r="L10" i="1"/>
  <c r="L10" i="113" s="1"/>
  <c r="J48" i="1"/>
  <c r="J48" i="113" s="1"/>
  <c r="J76" i="113"/>
  <c r="M10" i="1" l="1"/>
  <c r="M10" i="113" s="1"/>
  <c r="J51" i="113"/>
  <c r="J82" i="1"/>
  <c r="J80" i="113" s="1"/>
  <c r="G98" i="82"/>
  <c r="G100" i="82" s="1"/>
  <c r="H16" i="99" l="1"/>
  <c r="K16" i="99" s="1"/>
  <c r="N10" i="1"/>
  <c r="N10" i="113" s="1"/>
  <c r="E15" i="3"/>
  <c r="F17" i="48" s="1"/>
  <c r="G17" i="48" s="1"/>
  <c r="O10" i="1" l="1"/>
  <c r="O10" i="113" s="1"/>
  <c r="AN73" i="1"/>
  <c r="AK72" i="113" l="1"/>
  <c r="P10" i="1"/>
  <c r="P10" i="113" s="1"/>
  <c r="Q10" i="1" l="1"/>
  <c r="Q10" i="113" s="1"/>
  <c r="N10" i="51"/>
  <c r="J11" i="82"/>
  <c r="I11" i="82"/>
  <c r="H11" i="82"/>
  <c r="G11" i="82"/>
  <c r="E11" i="82"/>
  <c r="B46" i="99"/>
  <c r="F11" i="113"/>
  <c r="F9" i="113"/>
  <c r="F8" i="113"/>
  <c r="F7" i="113"/>
  <c r="C46" i="3"/>
  <c r="B46" i="3"/>
  <c r="D32" i="122" l="1"/>
  <c r="B43" i="48"/>
  <c r="C41" i="82"/>
  <c r="R10" i="1"/>
  <c r="S10" i="1" s="1"/>
  <c r="T10" i="1" s="1"/>
  <c r="U10" i="1" s="1"/>
  <c r="V10" i="1" s="1"/>
  <c r="W10" i="1" s="1"/>
  <c r="A29" i="99" s="1"/>
  <c r="AN66" i="1"/>
  <c r="AN45" i="1"/>
  <c r="AN35" i="1"/>
  <c r="AN17" i="1"/>
  <c r="A28" i="3" l="1"/>
  <c r="W10" i="113"/>
  <c r="X10" i="1"/>
  <c r="Y10" i="1" s="1"/>
  <c r="Z10" i="1" s="1"/>
  <c r="AK65" i="113"/>
  <c r="AK45" i="113"/>
  <c r="AK35" i="113"/>
  <c r="AK17" i="113"/>
  <c r="AN46" i="1"/>
  <c r="R10" i="113"/>
  <c r="S10" i="113"/>
  <c r="AN19" i="1"/>
  <c r="AN74" i="1"/>
  <c r="AK73" i="113" s="1"/>
  <c r="T35" i="1"/>
  <c r="T35" i="113" s="1"/>
  <c r="T28" i="1"/>
  <c r="T28" i="113" s="1"/>
  <c r="T17" i="1"/>
  <c r="T17" i="113" s="1"/>
  <c r="AA73" i="1"/>
  <c r="AA66" i="1"/>
  <c r="AA45" i="1"/>
  <c r="AA35" i="1"/>
  <c r="AA28" i="1"/>
  <c r="AA17" i="1"/>
  <c r="X10" i="113" l="1"/>
  <c r="Z10" i="113"/>
  <c r="A32" i="99"/>
  <c r="AK46" i="113"/>
  <c r="AK19" i="113"/>
  <c r="A25" i="99"/>
  <c r="A24" i="3"/>
  <c r="A26" i="48" s="1"/>
  <c r="AA74" i="1"/>
  <c r="AK76" i="113"/>
  <c r="AN48" i="1"/>
  <c r="AA19" i="1"/>
  <c r="T19" i="1"/>
  <c r="T19" i="113" s="1"/>
  <c r="AA46" i="1"/>
  <c r="AK48" i="113" l="1"/>
  <c r="U10" i="113"/>
  <c r="T10" i="113"/>
  <c r="B24" i="82"/>
  <c r="AN82" i="1"/>
  <c r="AK80" i="113" s="1"/>
  <c r="AA48" i="1"/>
  <c r="A9" i="99"/>
  <c r="B9" i="99"/>
  <c r="E11" i="113"/>
  <c r="AK51" i="113" l="1"/>
  <c r="V10" i="113"/>
  <c r="E46" i="3"/>
  <c r="F43" i="48" s="1"/>
  <c r="G43" i="48" s="1"/>
  <c r="H46" i="99"/>
  <c r="K46" i="99" s="1"/>
  <c r="AA82" i="1"/>
  <c r="AA51" i="1"/>
  <c r="C10" i="3"/>
  <c r="B10" i="3"/>
  <c r="A10" i="3"/>
  <c r="B10" i="82" s="1"/>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3" i="113"/>
  <c r="A42" i="113"/>
  <c r="A39" i="113"/>
  <c r="A38" i="113"/>
  <c r="A37" i="113"/>
  <c r="A35" i="113"/>
  <c r="A34"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5" i="113"/>
  <c r="B37" i="113"/>
  <c r="B38" i="113"/>
  <c r="B39" i="113"/>
  <c r="B41"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4" i="113"/>
  <c r="F37" i="113"/>
  <c r="F38" i="113"/>
  <c r="F39" i="113"/>
  <c r="F42" i="113"/>
  <c r="F43"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6" i="113"/>
  <c r="A3" i="113"/>
  <c r="F10" i="1"/>
  <c r="F17" i="1"/>
  <c r="F17" i="113" s="1"/>
  <c r="G17" i="1"/>
  <c r="G17" i="113" s="1"/>
  <c r="H17" i="1"/>
  <c r="H17" i="113" s="1"/>
  <c r="I17" i="1"/>
  <c r="I17" i="113" s="1"/>
  <c r="AF17" i="113"/>
  <c r="K17" i="1"/>
  <c r="K17" i="113" s="1"/>
  <c r="L17" i="1"/>
  <c r="L17" i="113" s="1"/>
  <c r="M17" i="1"/>
  <c r="M17" i="113" s="1"/>
  <c r="N17" i="1"/>
  <c r="N17" i="113" s="1"/>
  <c r="U17" i="1"/>
  <c r="U17" i="113" s="1"/>
  <c r="V17" i="1"/>
  <c r="V17" i="113" s="1"/>
  <c r="AB17" i="1"/>
  <c r="O17" i="1"/>
  <c r="O17" i="113" s="1"/>
  <c r="P17" i="1"/>
  <c r="P17" i="113" s="1"/>
  <c r="Q17" i="1"/>
  <c r="Q17" i="113" s="1"/>
  <c r="R17" i="1"/>
  <c r="R17" i="113" s="1"/>
  <c r="AH17" i="1"/>
  <c r="AE17" i="113" s="1"/>
  <c r="Y17" i="1"/>
  <c r="Y17" i="113" s="1"/>
  <c r="AD17" i="1"/>
  <c r="AA17" i="113" s="1"/>
  <c r="AB17" i="113"/>
  <c r="AF17" i="1"/>
  <c r="AC17" i="113" s="1"/>
  <c r="AD17" i="113"/>
  <c r="AI17" i="113"/>
  <c r="AR22" i="1"/>
  <c r="F28" i="1"/>
  <c r="G28" i="1"/>
  <c r="G28" i="113" s="1"/>
  <c r="H28" i="1"/>
  <c r="H28" i="113" s="1"/>
  <c r="I28" i="1"/>
  <c r="I28" i="113" s="1"/>
  <c r="AF28" i="113"/>
  <c r="K28" i="1"/>
  <c r="K28" i="113" s="1"/>
  <c r="L28" i="1"/>
  <c r="L28" i="113" s="1"/>
  <c r="M28" i="1"/>
  <c r="M28" i="113" s="1"/>
  <c r="N28" i="1"/>
  <c r="N28" i="113" s="1"/>
  <c r="U28" i="1"/>
  <c r="U28" i="113" s="1"/>
  <c r="V28" i="1"/>
  <c r="AB28" i="1"/>
  <c r="O28" i="1"/>
  <c r="O28" i="113" s="1"/>
  <c r="P28" i="1"/>
  <c r="P28" i="113" s="1"/>
  <c r="Q28" i="1"/>
  <c r="Q28" i="113" s="1"/>
  <c r="R28" i="1"/>
  <c r="R28" i="113" s="1"/>
  <c r="AH28" i="1"/>
  <c r="AE28" i="113" s="1"/>
  <c r="Y28" i="1"/>
  <c r="AD28" i="1"/>
  <c r="AB28" i="113"/>
  <c r="AF28" i="1"/>
  <c r="AC28" i="113" s="1"/>
  <c r="AD28" i="113"/>
  <c r="AI28" i="113"/>
  <c r="AR30" i="1"/>
  <c r="F35" i="1"/>
  <c r="F35" i="113" s="1"/>
  <c r="G35" i="1"/>
  <c r="G35" i="113" s="1"/>
  <c r="H35" i="1"/>
  <c r="H35" i="113" s="1"/>
  <c r="I35" i="1"/>
  <c r="I35" i="113" s="1"/>
  <c r="AF35" i="113"/>
  <c r="K35" i="1"/>
  <c r="K35" i="113" s="1"/>
  <c r="L35" i="1"/>
  <c r="L35" i="113" s="1"/>
  <c r="M35" i="1"/>
  <c r="M35" i="113" s="1"/>
  <c r="N35" i="1"/>
  <c r="N35" i="113" s="1"/>
  <c r="U35" i="1"/>
  <c r="U35" i="113" s="1"/>
  <c r="V35" i="1"/>
  <c r="V35" i="113" s="1"/>
  <c r="AB35" i="1"/>
  <c r="O35" i="1"/>
  <c r="O35" i="113" s="1"/>
  <c r="P35" i="1"/>
  <c r="P35" i="113" s="1"/>
  <c r="Q35" i="1"/>
  <c r="Q35" i="113" s="1"/>
  <c r="R35" i="1"/>
  <c r="R35" i="113" s="1"/>
  <c r="AH35" i="1"/>
  <c r="AE35" i="113" s="1"/>
  <c r="Y35" i="1"/>
  <c r="Y35" i="113" s="1"/>
  <c r="AD35" i="1"/>
  <c r="AA35" i="113" s="1"/>
  <c r="AB35" i="113"/>
  <c r="AF35" i="1"/>
  <c r="AC35" i="113" s="1"/>
  <c r="AD35" i="113"/>
  <c r="AI35" i="113"/>
  <c r="E44" i="1"/>
  <c r="AC44" i="1" s="1"/>
  <c r="F45" i="1"/>
  <c r="G45" i="1"/>
  <c r="G45" i="113" s="1"/>
  <c r="H45" i="1"/>
  <c r="H45" i="113" s="1"/>
  <c r="I45" i="1"/>
  <c r="I45" i="113" s="1"/>
  <c r="AF45" i="113"/>
  <c r="K45" i="1"/>
  <c r="K45" i="113" s="1"/>
  <c r="L45" i="1"/>
  <c r="L45" i="113" s="1"/>
  <c r="M45" i="1"/>
  <c r="M45" i="113" s="1"/>
  <c r="N45" i="1"/>
  <c r="N45" i="113" s="1"/>
  <c r="U45" i="1"/>
  <c r="U45" i="113" s="1"/>
  <c r="V45" i="1"/>
  <c r="V45" i="113" s="1"/>
  <c r="AB45" i="1"/>
  <c r="O45" i="1"/>
  <c r="O45" i="113" s="1"/>
  <c r="P45" i="1"/>
  <c r="P45" i="113" s="1"/>
  <c r="Q45" i="1"/>
  <c r="Q45" i="113" s="1"/>
  <c r="R45" i="1"/>
  <c r="R45" i="113" s="1"/>
  <c r="T45" i="1"/>
  <c r="T45" i="113" s="1"/>
  <c r="AH45" i="1"/>
  <c r="AE45" i="113" s="1"/>
  <c r="Y45" i="1"/>
  <c r="Y45" i="113" s="1"/>
  <c r="AD45" i="1"/>
  <c r="AA45" i="113" s="1"/>
  <c r="AB45" i="113"/>
  <c r="AF45" i="1"/>
  <c r="AC45" i="113" s="1"/>
  <c r="AD45" i="113"/>
  <c r="AI45" i="113"/>
  <c r="E52" i="1"/>
  <c r="E52" i="113" s="1"/>
  <c r="F66" i="1"/>
  <c r="G66" i="1"/>
  <c r="G65" i="113" s="1"/>
  <c r="H66" i="1"/>
  <c r="H65" i="113" s="1"/>
  <c r="I66" i="1"/>
  <c r="I65" i="113" s="1"/>
  <c r="AF65" i="113"/>
  <c r="K66" i="1"/>
  <c r="K65" i="113" s="1"/>
  <c r="L66" i="1"/>
  <c r="L65" i="113" s="1"/>
  <c r="M66" i="1"/>
  <c r="M65" i="113" s="1"/>
  <c r="N66" i="1"/>
  <c r="N65" i="113" s="1"/>
  <c r="U66" i="1"/>
  <c r="U65" i="113" s="1"/>
  <c r="V66" i="1"/>
  <c r="V65" i="113" s="1"/>
  <c r="AB66" i="1"/>
  <c r="O66" i="1"/>
  <c r="O65" i="113" s="1"/>
  <c r="P66" i="1"/>
  <c r="P65" i="113" s="1"/>
  <c r="Q66" i="1"/>
  <c r="Q65" i="113" s="1"/>
  <c r="R66" i="1"/>
  <c r="R65" i="113" s="1"/>
  <c r="T66" i="1"/>
  <c r="T65" i="113" s="1"/>
  <c r="AH66" i="1"/>
  <c r="AE65" i="113" s="1"/>
  <c r="Y66" i="1"/>
  <c r="Y65" i="113" s="1"/>
  <c r="AD66" i="1"/>
  <c r="AA65" i="113" s="1"/>
  <c r="AB65" i="113"/>
  <c r="AF66" i="1"/>
  <c r="AC65" i="113" s="1"/>
  <c r="AD65" i="113"/>
  <c r="AI65" i="113"/>
  <c r="F73" i="1"/>
  <c r="F72" i="113" s="1"/>
  <c r="G73" i="1"/>
  <c r="G72" i="113" s="1"/>
  <c r="H73" i="1"/>
  <c r="H72" i="113" s="1"/>
  <c r="I73" i="1"/>
  <c r="I72" i="113" s="1"/>
  <c r="AF72" i="113"/>
  <c r="K73" i="1"/>
  <c r="K72" i="113" s="1"/>
  <c r="L73" i="1"/>
  <c r="L72" i="113" s="1"/>
  <c r="M73" i="1"/>
  <c r="M72" i="113" s="1"/>
  <c r="N73" i="1"/>
  <c r="N72" i="113" s="1"/>
  <c r="U73" i="1"/>
  <c r="U72" i="113" s="1"/>
  <c r="V73" i="1"/>
  <c r="V72" i="113" s="1"/>
  <c r="AB73" i="1"/>
  <c r="O73" i="1"/>
  <c r="O72" i="113" s="1"/>
  <c r="P73" i="1"/>
  <c r="P72" i="113" s="1"/>
  <c r="Q73" i="1"/>
  <c r="Q72" i="113" s="1"/>
  <c r="R73" i="1"/>
  <c r="R72" i="113" s="1"/>
  <c r="T73" i="1"/>
  <c r="T72" i="113" s="1"/>
  <c r="AH73" i="1"/>
  <c r="AE72" i="113" s="1"/>
  <c r="Y73" i="1"/>
  <c r="Y72" i="113" s="1"/>
  <c r="AD73" i="1"/>
  <c r="AA72" i="113" s="1"/>
  <c r="AB72" i="113"/>
  <c r="AF73" i="1"/>
  <c r="AC72" i="113" s="1"/>
  <c r="AD72" i="113"/>
  <c r="AI72" i="113"/>
  <c r="B45" i="3"/>
  <c r="B44" i="3"/>
  <c r="B39" i="3"/>
  <c r="B38" i="3"/>
  <c r="B37" i="3"/>
  <c r="B36" i="3"/>
  <c r="B52" i="3"/>
  <c r="B30" i="3"/>
  <c r="B40" i="3"/>
  <c r="B25" i="3"/>
  <c r="B23" i="3"/>
  <c r="B22" i="3"/>
  <c r="B21" i="3"/>
  <c r="B20" i="3"/>
  <c r="B32" i="3"/>
  <c r="B27" i="3"/>
  <c r="B26" i="3"/>
  <c r="B19" i="3"/>
  <c r="B18" i="3"/>
  <c r="B17" i="3"/>
  <c r="B16" i="3"/>
  <c r="B41" i="3"/>
  <c r="B14" i="3"/>
  <c r="B13" i="3"/>
  <c r="B12" i="3"/>
  <c r="B11" i="3"/>
  <c r="F10" i="116" l="1"/>
  <c r="AT22" i="1"/>
  <c r="AY22" i="1" s="1"/>
  <c r="AA28" i="113"/>
  <c r="N41" i="82"/>
  <c r="N33" i="82"/>
  <c r="N35" i="82"/>
  <c r="N36" i="82"/>
  <c r="N38" i="82"/>
  <c r="N40" i="82"/>
  <c r="N32" i="82"/>
  <c r="N34" i="82"/>
  <c r="N37" i="82"/>
  <c r="N39" i="82"/>
  <c r="V28" i="113"/>
  <c r="F28" i="82"/>
  <c r="N28" i="82" s="1"/>
  <c r="Y28" i="113"/>
  <c r="F30" i="82"/>
  <c r="N30" i="82" s="1"/>
  <c r="AI73" i="113"/>
  <c r="AF74" i="1"/>
  <c r="AC73" i="113" s="1"/>
  <c r="AF73" i="113"/>
  <c r="AD73" i="113"/>
  <c r="AD74" i="1"/>
  <c r="AA73" i="113" s="1"/>
  <c r="AB73" i="113"/>
  <c r="P74" i="1"/>
  <c r="P73" i="113" s="1"/>
  <c r="K74" i="1"/>
  <c r="K73" i="113" s="1"/>
  <c r="Q74" i="1"/>
  <c r="Q73" i="113" s="1"/>
  <c r="L74" i="1"/>
  <c r="L73" i="113" s="1"/>
  <c r="H74" i="1"/>
  <c r="H73" i="113" s="1"/>
  <c r="Y74" i="1"/>
  <c r="Y73" i="113" s="1"/>
  <c r="T74" i="1"/>
  <c r="T73" i="113" s="1"/>
  <c r="O74" i="1"/>
  <c r="O73" i="113" s="1"/>
  <c r="N74" i="1"/>
  <c r="N73" i="113" s="1"/>
  <c r="G74" i="1"/>
  <c r="G73" i="113" s="1"/>
  <c r="AH74" i="1"/>
  <c r="AE73" i="113" s="1"/>
  <c r="U74" i="1"/>
  <c r="U73" i="113" s="1"/>
  <c r="V74" i="1"/>
  <c r="V73" i="113" s="1"/>
  <c r="R74" i="1"/>
  <c r="R73" i="113" s="1"/>
  <c r="AB74" i="1"/>
  <c r="M74" i="1"/>
  <c r="M73" i="113" s="1"/>
  <c r="I74" i="1"/>
  <c r="I73" i="113" s="1"/>
  <c r="F65" i="113"/>
  <c r="F74" i="1"/>
  <c r="N19" i="1"/>
  <c r="N19" i="113" s="1"/>
  <c r="O19" i="1"/>
  <c r="O19" i="113" s="1"/>
  <c r="F28" i="113"/>
  <c r="F11" i="82"/>
  <c r="N11" i="82" s="1"/>
  <c r="Y19" i="1"/>
  <c r="Y19" i="113" s="1"/>
  <c r="G10" i="1"/>
  <c r="G10" i="113" s="1"/>
  <c r="F10" i="113"/>
  <c r="AB10" i="113"/>
  <c r="P19" i="1"/>
  <c r="P19" i="113" s="1"/>
  <c r="AF19" i="113"/>
  <c r="G19" i="1"/>
  <c r="G19" i="113" s="1"/>
  <c r="U46" i="1"/>
  <c r="U46" i="113" s="1"/>
  <c r="AH46" i="1"/>
  <c r="AE46" i="113" s="1"/>
  <c r="AB19" i="1"/>
  <c r="U19" i="1"/>
  <c r="U19" i="113" s="1"/>
  <c r="AB46" i="113"/>
  <c r="R46" i="1"/>
  <c r="R46" i="113" s="1"/>
  <c r="AB46" i="1"/>
  <c r="M46" i="1"/>
  <c r="M46" i="113" s="1"/>
  <c r="I46" i="1"/>
  <c r="I46" i="113" s="1"/>
  <c r="F46" i="1"/>
  <c r="F46" i="113" s="1"/>
  <c r="K19" i="1"/>
  <c r="K19" i="113" s="1"/>
  <c r="AB19" i="113"/>
  <c r="I19" i="1"/>
  <c r="I19" i="113" s="1"/>
  <c r="R19" i="1"/>
  <c r="R19" i="113" s="1"/>
  <c r="F19" i="1"/>
  <c r="F19" i="113" s="1"/>
  <c r="M19" i="1"/>
  <c r="M19" i="113" s="1"/>
  <c r="AH19" i="1"/>
  <c r="AE19" i="113" s="1"/>
  <c r="AI46" i="113"/>
  <c r="AD46" i="113"/>
  <c r="Q46" i="1"/>
  <c r="Q46" i="113" s="1"/>
  <c r="L46" i="1"/>
  <c r="L46" i="113" s="1"/>
  <c r="AF46" i="1"/>
  <c r="AC46" i="113" s="1"/>
  <c r="AF19" i="1"/>
  <c r="AC19" i="113" s="1"/>
  <c r="Q19" i="1"/>
  <c r="Q19" i="113" s="1"/>
  <c r="V19" i="1"/>
  <c r="V19" i="113" s="1"/>
  <c r="L19" i="1"/>
  <c r="L19" i="113" s="1"/>
  <c r="H19" i="1"/>
  <c r="H19" i="113" s="1"/>
  <c r="V46" i="1"/>
  <c r="V46" i="113" s="1"/>
  <c r="H46" i="1"/>
  <c r="H46" i="113" s="1"/>
  <c r="AD46" i="1"/>
  <c r="AA46" i="113" s="1"/>
  <c r="P46" i="1"/>
  <c r="P46" i="113" s="1"/>
  <c r="K46" i="1"/>
  <c r="K46" i="113" s="1"/>
  <c r="AR44" i="1"/>
  <c r="AT44" i="1" s="1"/>
  <c r="AY44" i="1" s="1"/>
  <c r="Y46" i="1"/>
  <c r="Y46" i="113" s="1"/>
  <c r="T46" i="1"/>
  <c r="T46" i="113" s="1"/>
  <c r="O46" i="1"/>
  <c r="O46" i="113" s="1"/>
  <c r="N46" i="1"/>
  <c r="N46" i="113" s="1"/>
  <c r="AF46" i="113"/>
  <c r="G46" i="1"/>
  <c r="G46" i="113" s="1"/>
  <c r="AI19" i="113"/>
  <c r="AD19" i="1"/>
  <c r="AA19" i="113" s="1"/>
  <c r="A11" i="3"/>
  <c r="E44" i="113"/>
  <c r="F45" i="113"/>
  <c r="AD19" i="113"/>
  <c r="G31" i="82"/>
  <c r="G46" i="82"/>
  <c r="G13" i="82"/>
  <c r="G14" i="82"/>
  <c r="G16" i="82"/>
  <c r="G17" i="82"/>
  <c r="G18" i="82"/>
  <c r="G19" i="82"/>
  <c r="G26" i="82"/>
  <c r="G27" i="82"/>
  <c r="G20" i="82"/>
  <c r="G21" i="82"/>
  <c r="G22" i="82"/>
  <c r="G23" i="82"/>
  <c r="G25" i="82"/>
  <c r="G29" i="82"/>
  <c r="G12" i="82"/>
  <c r="J31" i="82"/>
  <c r="I31" i="82"/>
  <c r="H31" i="82"/>
  <c r="J46" i="82"/>
  <c r="I46" i="82"/>
  <c r="H46" i="82"/>
  <c r="J29" i="82"/>
  <c r="I29" i="82"/>
  <c r="H29" i="82"/>
  <c r="E29" i="82"/>
  <c r="J25" i="82"/>
  <c r="I25" i="82"/>
  <c r="H25" i="82"/>
  <c r="E25" i="82"/>
  <c r="J23" i="82"/>
  <c r="I23" i="82"/>
  <c r="H23" i="82"/>
  <c r="E23" i="82"/>
  <c r="J22" i="82"/>
  <c r="I22" i="82"/>
  <c r="H22" i="82"/>
  <c r="E22" i="82"/>
  <c r="J21" i="82"/>
  <c r="I21" i="82"/>
  <c r="H21" i="82"/>
  <c r="E21" i="82"/>
  <c r="J20" i="82"/>
  <c r="I20" i="82"/>
  <c r="H20" i="82"/>
  <c r="E20" i="82"/>
  <c r="J27" i="82"/>
  <c r="I27" i="82"/>
  <c r="H27" i="82"/>
  <c r="E27" i="82"/>
  <c r="J26" i="82"/>
  <c r="I26" i="82"/>
  <c r="H26" i="82"/>
  <c r="E26" i="82"/>
  <c r="J19" i="82"/>
  <c r="I19" i="82"/>
  <c r="H19" i="82"/>
  <c r="E19" i="82"/>
  <c r="J18" i="82"/>
  <c r="I18" i="82"/>
  <c r="H18" i="82"/>
  <c r="E18" i="82"/>
  <c r="J17" i="82"/>
  <c r="I17" i="82"/>
  <c r="H17" i="82"/>
  <c r="E17" i="82"/>
  <c r="J16" i="82"/>
  <c r="I16" i="82"/>
  <c r="H16" i="82"/>
  <c r="E16" i="82"/>
  <c r="J14" i="82"/>
  <c r="I14" i="82"/>
  <c r="H14" i="82"/>
  <c r="E14" i="82"/>
  <c r="J13" i="82"/>
  <c r="I13" i="82"/>
  <c r="H13" i="82"/>
  <c r="E13" i="82"/>
  <c r="E12" i="82"/>
  <c r="J12" i="82"/>
  <c r="H12" i="82"/>
  <c r="L11" i="82"/>
  <c r="I10" i="48"/>
  <c r="G55" i="48"/>
  <c r="E24" i="1"/>
  <c r="E27" i="1"/>
  <c r="AC27" i="1" s="1"/>
  <c r="E34" i="1"/>
  <c r="AC34" i="1" s="1"/>
  <c r="E37" i="1"/>
  <c r="AC37" i="1" s="1"/>
  <c r="E38" i="1"/>
  <c r="E38" i="113" s="1"/>
  <c r="E39" i="1"/>
  <c r="E39" i="113" s="1"/>
  <c r="E42" i="1"/>
  <c r="AC42" i="1" s="1"/>
  <c r="E43" i="1"/>
  <c r="AC43" i="1" s="1"/>
  <c r="E51" i="1"/>
  <c r="E53" i="1"/>
  <c r="E54" i="1"/>
  <c r="E65" i="1"/>
  <c r="E76" i="1"/>
  <c r="D26" i="121" s="1"/>
  <c r="F23" i="116" l="1"/>
  <c r="F21" i="116"/>
  <c r="F11" i="116"/>
  <c r="F15" i="116"/>
  <c r="G44" i="50"/>
  <c r="E18" i="1"/>
  <c r="E79" i="1"/>
  <c r="E51" i="113"/>
  <c r="AE10" i="113"/>
  <c r="Y10" i="113"/>
  <c r="E26" i="1"/>
  <c r="E15" i="1"/>
  <c r="E15" i="113" s="1"/>
  <c r="E14" i="1"/>
  <c r="AC76" i="113"/>
  <c r="AA76" i="113"/>
  <c r="H76" i="113"/>
  <c r="AI76" i="113"/>
  <c r="N76" i="113"/>
  <c r="V76" i="113"/>
  <c r="Q76" i="113"/>
  <c r="L76" i="113"/>
  <c r="AC39" i="1"/>
  <c r="AC24" i="1"/>
  <c r="E24" i="113"/>
  <c r="E53" i="113"/>
  <c r="AC38" i="1"/>
  <c r="E45" i="1"/>
  <c r="E45" i="113" s="1"/>
  <c r="E42" i="113"/>
  <c r="E43" i="113"/>
  <c r="M48" i="1"/>
  <c r="M48" i="113" s="1"/>
  <c r="AR43" i="1"/>
  <c r="AT43" i="1" s="1"/>
  <c r="AY43" i="1" s="1"/>
  <c r="AC45" i="1"/>
  <c r="E37" i="113"/>
  <c r="T76" i="113"/>
  <c r="AR37" i="1"/>
  <c r="AT37" i="1" s="1"/>
  <c r="AY37" i="1" s="1"/>
  <c r="AR42" i="1"/>
  <c r="AD76" i="113"/>
  <c r="E54" i="113"/>
  <c r="I48" i="1"/>
  <c r="I48" i="113" s="1"/>
  <c r="AR34" i="1"/>
  <c r="AT34" i="1" s="1"/>
  <c r="AY34" i="1" s="1"/>
  <c r="AR27" i="1"/>
  <c r="AT27" i="1" s="1"/>
  <c r="AY27" i="1" s="1"/>
  <c r="P48" i="1"/>
  <c r="P48" i="113" s="1"/>
  <c r="E34" i="113"/>
  <c r="E27" i="113"/>
  <c r="AB48" i="113"/>
  <c r="AE76" i="113"/>
  <c r="K76" i="113"/>
  <c r="AC10" i="113"/>
  <c r="K48" i="1"/>
  <c r="K48" i="113" s="1"/>
  <c r="U76" i="113"/>
  <c r="H10" i="1"/>
  <c r="AF48" i="1"/>
  <c r="AC48" i="113" s="1"/>
  <c r="P76" i="113"/>
  <c r="AF76" i="113"/>
  <c r="U48" i="1"/>
  <c r="U48" i="113" s="1"/>
  <c r="AB48" i="1"/>
  <c r="F48" i="1"/>
  <c r="Y76" i="113"/>
  <c r="O76" i="113"/>
  <c r="G76" i="113"/>
  <c r="R48" i="1"/>
  <c r="R48" i="113" s="1"/>
  <c r="AH48" i="1"/>
  <c r="AE48" i="113" s="1"/>
  <c r="V48" i="1"/>
  <c r="V48" i="113" s="1"/>
  <c r="F73" i="113"/>
  <c r="R76" i="113"/>
  <c r="L48" i="1"/>
  <c r="L48" i="113" s="1"/>
  <c r="H48" i="1"/>
  <c r="H48" i="113" s="1"/>
  <c r="M76" i="113"/>
  <c r="AB76" i="113"/>
  <c r="Q48" i="1"/>
  <c r="Q48" i="113" s="1"/>
  <c r="I76" i="113"/>
  <c r="AI48" i="113"/>
  <c r="N48" i="1"/>
  <c r="N48" i="113" s="1"/>
  <c r="AD48" i="113"/>
  <c r="AD48" i="1"/>
  <c r="AA48" i="113" s="1"/>
  <c r="AF48" i="113"/>
  <c r="Y48" i="1"/>
  <c r="Y48" i="113" s="1"/>
  <c r="G48" i="1"/>
  <c r="T48" i="1"/>
  <c r="T48" i="113" s="1"/>
  <c r="O48" i="1"/>
  <c r="O48" i="113" s="1"/>
  <c r="L14" i="82"/>
  <c r="L18" i="82"/>
  <c r="L20" i="82"/>
  <c r="L25" i="82"/>
  <c r="L46" i="82"/>
  <c r="L31" i="82"/>
  <c r="L16" i="82"/>
  <c r="L27" i="82"/>
  <c r="L22" i="82"/>
  <c r="L12" i="82"/>
  <c r="L13" i="82"/>
  <c r="L17" i="82"/>
  <c r="L26" i="82"/>
  <c r="L29" i="82"/>
  <c r="L23" i="82"/>
  <c r="L21" i="82"/>
  <c r="L19" i="82"/>
  <c r="E23" i="1"/>
  <c r="A1" i="3"/>
  <c r="A2" i="50"/>
  <c r="A1" i="50"/>
  <c r="A5" i="50"/>
  <c r="A4" i="50"/>
  <c r="A4" i="51"/>
  <c r="A4" i="3"/>
  <c r="A4" i="48" s="1"/>
  <c r="F25" i="116" l="1"/>
  <c r="F16" i="116"/>
  <c r="F17" i="116"/>
  <c r="F20" i="116"/>
  <c r="F28" i="116"/>
  <c r="F27" i="116"/>
  <c r="F14" i="116"/>
  <c r="F13" i="116"/>
  <c r="F19" i="116"/>
  <c r="F30" i="116"/>
  <c r="F24" i="116"/>
  <c r="F26" i="116"/>
  <c r="F18" i="116"/>
  <c r="F12" i="116"/>
  <c r="F22" i="116"/>
  <c r="F29" i="116"/>
  <c r="G34" i="50"/>
  <c r="G37" i="50"/>
  <c r="E38" i="114" s="1"/>
  <c r="G43" i="50"/>
  <c r="G27" i="50"/>
  <c r="E28" i="114" s="1"/>
  <c r="AT42" i="1"/>
  <c r="AY42" i="1" s="1"/>
  <c r="E45" i="114"/>
  <c r="H10" i="113"/>
  <c r="U53" i="113"/>
  <c r="AC15" i="1"/>
  <c r="AR15" i="1" s="1"/>
  <c r="G48" i="113"/>
  <c r="G51" i="113"/>
  <c r="AF82" i="1"/>
  <c r="AC80" i="113" s="1"/>
  <c r="AC51" i="113"/>
  <c r="AD82" i="1"/>
  <c r="AA80" i="113" s="1"/>
  <c r="Q82" i="1"/>
  <c r="Q80" i="113" s="1"/>
  <c r="AR38" i="1"/>
  <c r="AT38" i="1" s="1"/>
  <c r="AY38" i="1" s="1"/>
  <c r="I51" i="113"/>
  <c r="L82" i="1"/>
  <c r="L80" i="113" s="1"/>
  <c r="V82" i="1"/>
  <c r="V80" i="113" s="1"/>
  <c r="N82" i="1"/>
  <c r="H82" i="1"/>
  <c r="H80" i="113" s="1"/>
  <c r="AI80" i="113"/>
  <c r="AD80" i="113"/>
  <c r="AR39" i="1"/>
  <c r="AT39" i="1" s="1"/>
  <c r="AY39" i="1" s="1"/>
  <c r="P51" i="113"/>
  <c r="AB51" i="113"/>
  <c r="M51" i="113"/>
  <c r="AH82" i="1"/>
  <c r="AE80" i="113" s="1"/>
  <c r="AC14" i="1"/>
  <c r="E14" i="113"/>
  <c r="AR24" i="1"/>
  <c r="AT24" i="1" s="1"/>
  <c r="AY24" i="1" s="1"/>
  <c r="AC26" i="1"/>
  <c r="E26" i="113"/>
  <c r="AR45" i="1"/>
  <c r="AT45" i="1" s="1"/>
  <c r="AY45" i="1" s="1"/>
  <c r="AC18" i="1"/>
  <c r="E18" i="113"/>
  <c r="AC23" i="1"/>
  <c r="E23" i="113"/>
  <c r="F48" i="113"/>
  <c r="E25" i="1"/>
  <c r="E28" i="1" s="1"/>
  <c r="T82" i="1"/>
  <c r="T80" i="113" s="1"/>
  <c r="AB51" i="1"/>
  <c r="G82" i="1"/>
  <c r="G80" i="113" s="1"/>
  <c r="U82" i="1"/>
  <c r="U80" i="113" s="1"/>
  <c r="K51" i="113"/>
  <c r="P82" i="1"/>
  <c r="K82" i="1"/>
  <c r="K80" i="113" s="1"/>
  <c r="AF80" i="113"/>
  <c r="R51" i="113"/>
  <c r="O82" i="1"/>
  <c r="O80" i="113" s="1"/>
  <c r="Y82" i="1"/>
  <c r="Y80" i="113" s="1"/>
  <c r="AE51" i="113"/>
  <c r="Q51" i="113"/>
  <c r="M82" i="1"/>
  <c r="M80" i="113" s="1"/>
  <c r="H51" i="113"/>
  <c r="R82" i="1"/>
  <c r="R80" i="113" s="1"/>
  <c r="V51" i="113"/>
  <c r="I82" i="1"/>
  <c r="I80" i="113" s="1"/>
  <c r="AB80" i="113"/>
  <c r="AB82" i="1"/>
  <c r="F76" i="113"/>
  <c r="F82" i="1"/>
  <c r="F51" i="113"/>
  <c r="AA51" i="113"/>
  <c r="T51" i="113"/>
  <c r="AF51" i="113"/>
  <c r="O51" i="113"/>
  <c r="AD51" i="113"/>
  <c r="AI51" i="113"/>
  <c r="H72" i="50"/>
  <c r="G39" i="50" l="1"/>
  <c r="G38" i="50"/>
  <c r="G24" i="50"/>
  <c r="E25" i="114" s="1"/>
  <c r="G42" i="50"/>
  <c r="E43" i="114" s="1"/>
  <c r="AT15" i="1"/>
  <c r="AY15" i="1" s="1"/>
  <c r="AR14" i="1"/>
  <c r="N80" i="113"/>
  <c r="E35" i="114"/>
  <c r="E44" i="114"/>
  <c r="AD10" i="113"/>
  <c r="L51" i="113"/>
  <c r="AC53" i="1"/>
  <c r="AR53" i="1" s="1"/>
  <c r="AT53" i="1" s="1"/>
  <c r="AY53" i="1" s="1"/>
  <c r="P80" i="113"/>
  <c r="E21" i="3"/>
  <c r="F23" i="48" s="1"/>
  <c r="G23" i="48" s="1"/>
  <c r="AA10" i="1"/>
  <c r="H25" i="99"/>
  <c r="K25" i="99" s="1"/>
  <c r="E24" i="3"/>
  <c r="F26" i="48" s="1"/>
  <c r="G26" i="48" s="1"/>
  <c r="H37" i="99"/>
  <c r="K37" i="99" s="1"/>
  <c r="H38" i="99"/>
  <c r="K38" i="99" s="1"/>
  <c r="H39" i="99"/>
  <c r="K39" i="99" s="1"/>
  <c r="H36" i="99"/>
  <c r="K36" i="99" s="1"/>
  <c r="H44" i="99"/>
  <c r="K44" i="99" s="1"/>
  <c r="H50" i="99"/>
  <c r="K50" i="99" s="1"/>
  <c r="E13" i="3"/>
  <c r="H12" i="99"/>
  <c r="K12" i="99" s="1"/>
  <c r="H23" i="99"/>
  <c r="K23" i="99" s="1"/>
  <c r="H28" i="99"/>
  <c r="K28" i="99" s="1"/>
  <c r="E12" i="3"/>
  <c r="H40" i="99"/>
  <c r="K40" i="99" s="1"/>
  <c r="H18" i="99"/>
  <c r="K18" i="99" s="1"/>
  <c r="H20" i="99"/>
  <c r="K20" i="99" s="1"/>
  <c r="H11" i="99"/>
  <c r="K11" i="99" s="1"/>
  <c r="H26" i="99"/>
  <c r="K26" i="99" s="1"/>
  <c r="AR23" i="1"/>
  <c r="E28" i="113"/>
  <c r="E25" i="113"/>
  <c r="AC25" i="1"/>
  <c r="AR18" i="1"/>
  <c r="AR26" i="1"/>
  <c r="AT26" i="1" s="1"/>
  <c r="AY26" i="1" s="1"/>
  <c r="H17" i="99"/>
  <c r="K17" i="99" s="1"/>
  <c r="H22" i="99"/>
  <c r="K22" i="99" s="1"/>
  <c r="H27" i="99"/>
  <c r="K27" i="99" s="1"/>
  <c r="H41" i="99"/>
  <c r="K41" i="99" s="1"/>
  <c r="H31" i="99"/>
  <c r="K31" i="99" s="1"/>
  <c r="H21" i="99"/>
  <c r="K21" i="99" s="1"/>
  <c r="H10" i="99"/>
  <c r="K10" i="99" s="1"/>
  <c r="H15" i="99"/>
  <c r="K15" i="99" s="1"/>
  <c r="H24" i="99"/>
  <c r="K24" i="99" s="1"/>
  <c r="H19" i="99"/>
  <c r="K19" i="99" s="1"/>
  <c r="F80" i="113"/>
  <c r="H28" i="50"/>
  <c r="H65" i="50"/>
  <c r="H73" i="50" s="1"/>
  <c r="E52" i="50"/>
  <c r="AB10" i="1" l="1"/>
  <c r="F44" i="116"/>
  <c r="F41" i="116"/>
  <c r="F46" i="116"/>
  <c r="F37" i="116"/>
  <c r="F35" i="116"/>
  <c r="F48" i="116"/>
  <c r="F45" i="116"/>
  <c r="F40" i="116"/>
  <c r="F49" i="116"/>
  <c r="F38" i="116"/>
  <c r="F47" i="116"/>
  <c r="F43" i="116"/>
  <c r="F39" i="116"/>
  <c r="F36" i="116"/>
  <c r="F42" i="116"/>
  <c r="G26" i="50"/>
  <c r="E27" i="114" s="1"/>
  <c r="G53" i="50"/>
  <c r="E54" i="114" s="1"/>
  <c r="G15" i="50"/>
  <c r="E16" i="114" s="1"/>
  <c r="AT14" i="1"/>
  <c r="AY14" i="1" s="1"/>
  <c r="G35" i="114"/>
  <c r="F35" i="114" s="1"/>
  <c r="AT23" i="1"/>
  <c r="AY23" i="1" s="1"/>
  <c r="AT18" i="1"/>
  <c r="AY18" i="1" s="1"/>
  <c r="AI10" i="113"/>
  <c r="E40" i="114"/>
  <c r="E46" i="114"/>
  <c r="E39" i="114"/>
  <c r="AR25" i="1"/>
  <c r="AT25" i="1" s="1"/>
  <c r="AY25" i="1" s="1"/>
  <c r="AC28" i="1"/>
  <c r="H76" i="50"/>
  <c r="H80" i="50" s="1"/>
  <c r="G18" i="50" l="1"/>
  <c r="G23" i="50"/>
  <c r="G14" i="50"/>
  <c r="E15" i="114" s="1"/>
  <c r="G25" i="50"/>
  <c r="E26" i="114" s="1"/>
  <c r="AA10" i="113"/>
  <c r="C45" i="3"/>
  <c r="C44" i="3"/>
  <c r="C39" i="3"/>
  <c r="C38" i="3"/>
  <c r="C37" i="3"/>
  <c r="C36" i="3"/>
  <c r="B33" i="48" s="1"/>
  <c r="E24" i="114" l="1"/>
  <c r="E29" i="114" s="1"/>
  <c r="E19" i="114"/>
  <c r="B42" i="48"/>
  <c r="C40" i="82"/>
  <c r="B35" i="48"/>
  <c r="C33" i="82"/>
  <c r="B41" i="48"/>
  <c r="C39" i="82"/>
  <c r="B34" i="48"/>
  <c r="C32" i="82"/>
  <c r="B36" i="48"/>
  <c r="C34" i="82"/>
  <c r="E54" i="50"/>
  <c r="E53" i="50"/>
  <c r="C31" i="82"/>
  <c r="E26" i="50"/>
  <c r="A37" i="3"/>
  <c r="A36" i="3"/>
  <c r="A33" i="48" s="1"/>
  <c r="A34" i="48" l="1"/>
  <c r="B32" i="82"/>
  <c r="AH10" i="113"/>
  <c r="A43" i="99"/>
  <c r="A43" i="3"/>
  <c r="E44" i="50"/>
  <c r="B31" i="82"/>
  <c r="A38" i="3"/>
  <c r="A40" i="48" l="1"/>
  <c r="B38" i="82"/>
  <c r="A35" i="48"/>
  <c r="B33" i="82"/>
  <c r="A39" i="3"/>
  <c r="A36" i="48" l="1"/>
  <c r="B34" i="82"/>
  <c r="I26" i="50"/>
  <c r="F26" i="50"/>
  <c r="A44" i="3"/>
  <c r="A41" i="48" l="1"/>
  <c r="B39" i="82"/>
  <c r="AJ10" i="113"/>
  <c r="A45" i="99"/>
  <c r="A45" i="3"/>
  <c r="A42" i="48" l="1"/>
  <c r="B40" i="82"/>
  <c r="AK10" i="113"/>
  <c r="A46" i="3"/>
  <c r="A46" i="99"/>
  <c r="A43" i="48" l="1"/>
  <c r="B41" i="82"/>
  <c r="A31" i="3"/>
  <c r="E8" i="48"/>
  <c r="E61" i="48" s="1"/>
  <c r="B30" i="82" l="1"/>
  <c r="A32" i="48"/>
  <c r="A30" i="99"/>
  <c r="A29" i="3"/>
  <c r="A44" i="99"/>
  <c r="A30" i="48" l="1"/>
  <c r="B28" i="82"/>
  <c r="B40" i="99"/>
  <c r="C40" i="3"/>
  <c r="C35" i="82" s="1"/>
  <c r="B31" i="99"/>
  <c r="B12" i="99"/>
  <c r="A12" i="99"/>
  <c r="C13" i="3"/>
  <c r="A13" i="3"/>
  <c r="B13" i="82" s="1"/>
  <c r="D13" i="99"/>
  <c r="D34" i="99" s="1"/>
  <c r="D52" i="99" s="1"/>
  <c r="A86" i="48"/>
  <c r="F72" i="82"/>
  <c r="C67" i="48"/>
  <c r="E74" i="48" s="1"/>
  <c r="A83" i="48"/>
  <c r="A84" i="48"/>
  <c r="A127" i="48"/>
  <c r="B127" i="48"/>
  <c r="F127" i="48"/>
  <c r="B130" i="48"/>
  <c r="F130" i="48"/>
  <c r="C143" i="48"/>
  <c r="C144" i="48"/>
  <c r="B11" i="48"/>
  <c r="C11" i="3"/>
  <c r="C11" i="82" s="1"/>
  <c r="A12" i="3"/>
  <c r="C12" i="3"/>
  <c r="C12" i="82" s="1"/>
  <c r="A14" i="3"/>
  <c r="C14" i="3"/>
  <c r="A41" i="3"/>
  <c r="C41" i="3"/>
  <c r="A16" i="3"/>
  <c r="A18" i="48" s="1"/>
  <c r="C16" i="3"/>
  <c r="B18" i="48" s="1"/>
  <c r="A17" i="3"/>
  <c r="A19" i="48" s="1"/>
  <c r="C17" i="3"/>
  <c r="B19" i="48" s="1"/>
  <c r="A18" i="3"/>
  <c r="A20" i="48" s="1"/>
  <c r="C18" i="3"/>
  <c r="B20" i="48" s="1"/>
  <c r="A19" i="3"/>
  <c r="A21" i="48" s="1"/>
  <c r="C19" i="3"/>
  <c r="B21" i="48" s="1"/>
  <c r="A26" i="3"/>
  <c r="A28" i="48" s="1"/>
  <c r="C26" i="3"/>
  <c r="B28" i="48" s="1"/>
  <c r="A27" i="3"/>
  <c r="A29" i="48" s="1"/>
  <c r="C27" i="3"/>
  <c r="B29" i="48" s="1"/>
  <c r="C32" i="3"/>
  <c r="C20" i="3"/>
  <c r="B22" i="48" s="1"/>
  <c r="C21" i="3"/>
  <c r="B23" i="48" s="1"/>
  <c r="C22" i="3"/>
  <c r="B24" i="48" s="1"/>
  <c r="C23" i="3"/>
  <c r="B25" i="48" s="1"/>
  <c r="C25" i="3"/>
  <c r="B27" i="48" s="1"/>
  <c r="C30" i="3"/>
  <c r="B31" i="48" s="1"/>
  <c r="A52" i="3"/>
  <c r="A47" i="48" s="1"/>
  <c r="C52" i="3"/>
  <c r="B47" i="48" s="1"/>
  <c r="A90" i="48"/>
  <c r="B90" i="48"/>
  <c r="A91" i="48"/>
  <c r="B91" i="48"/>
  <c r="A92" i="48"/>
  <c r="B92" i="48"/>
  <c r="A93" i="48"/>
  <c r="B93" i="48"/>
  <c r="A94" i="48"/>
  <c r="B94" i="48"/>
  <c r="A95" i="48"/>
  <c r="B95" i="48"/>
  <c r="A96" i="48"/>
  <c r="B96" i="48"/>
  <c r="A97" i="48"/>
  <c r="B97"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2" i="48"/>
  <c r="B112" i="48"/>
  <c r="A113" i="48"/>
  <c r="B113" i="48"/>
  <c r="A114" i="48"/>
  <c r="B114" i="48"/>
  <c r="A115" i="48"/>
  <c r="B115" i="48"/>
  <c r="A116" i="48"/>
  <c r="B116" i="48"/>
  <c r="A117" i="48"/>
  <c r="B117" i="48"/>
  <c r="A118" i="48"/>
  <c r="B118" i="48"/>
  <c r="A119" i="48"/>
  <c r="B119" i="48"/>
  <c r="A120" i="48"/>
  <c r="B120" i="48"/>
  <c r="A121" i="48"/>
  <c r="B121" i="48"/>
  <c r="A122" i="48"/>
  <c r="B122" i="48"/>
  <c r="A123" i="48"/>
  <c r="B123" i="48"/>
  <c r="A124" i="48"/>
  <c r="B124" i="48"/>
  <c r="A125" i="48"/>
  <c r="B125" i="48"/>
  <c r="A126" i="48"/>
  <c r="B126" i="48"/>
  <c r="E39" i="50"/>
  <c r="E42" i="50"/>
  <c r="E24" i="52"/>
  <c r="U14" i="51"/>
  <c r="U16" i="51"/>
  <c r="S18" i="51"/>
  <c r="T18" i="51"/>
  <c r="T22" i="51"/>
  <c r="A10" i="99"/>
  <c r="B10" i="99"/>
  <c r="A11" i="99"/>
  <c r="B11" i="99"/>
  <c r="A15" i="99"/>
  <c r="B15" i="99"/>
  <c r="A41" i="99"/>
  <c r="B41" i="99"/>
  <c r="A17" i="99"/>
  <c r="B17" i="99"/>
  <c r="A18" i="99"/>
  <c r="B18" i="99"/>
  <c r="A19" i="99"/>
  <c r="B19" i="99"/>
  <c r="A20" i="99"/>
  <c r="B20" i="99"/>
  <c r="A27" i="99"/>
  <c r="B27" i="99"/>
  <c r="A28" i="99"/>
  <c r="B28" i="99"/>
  <c r="B21" i="99"/>
  <c r="B22" i="99"/>
  <c r="B23" i="99"/>
  <c r="B24" i="99"/>
  <c r="B26" i="99"/>
  <c r="A50" i="99"/>
  <c r="B50" i="99"/>
  <c r="A37" i="99"/>
  <c r="B37" i="99"/>
  <c r="A38" i="99"/>
  <c r="B38" i="99"/>
  <c r="A36" i="99"/>
  <c r="B36" i="99"/>
  <c r="A39" i="99"/>
  <c r="B39" i="99"/>
  <c r="B44" i="99"/>
  <c r="D60" i="99"/>
  <c r="D64" i="99"/>
  <c r="A69" i="99"/>
  <c r="B69" i="99"/>
  <c r="A70" i="99"/>
  <c r="B70" i="99"/>
  <c r="A71" i="99"/>
  <c r="B71" i="99"/>
  <c r="A72" i="99"/>
  <c r="B72" i="99"/>
  <c r="A73" i="99"/>
  <c r="B73" i="99"/>
  <c r="A74" i="99"/>
  <c r="B74" i="99"/>
  <c r="A75" i="99"/>
  <c r="B75" i="99"/>
  <c r="A76" i="99"/>
  <c r="B76" i="99"/>
  <c r="A81" i="99"/>
  <c r="B81" i="99"/>
  <c r="A82" i="99"/>
  <c r="B82" i="99"/>
  <c r="A83" i="99"/>
  <c r="B83" i="99"/>
  <c r="A84" i="99"/>
  <c r="B84" i="99"/>
  <c r="A85" i="99"/>
  <c r="B85" i="99"/>
  <c r="A86" i="99"/>
  <c r="B86" i="99"/>
  <c r="A87" i="99"/>
  <c r="B87" i="99"/>
  <c r="A88" i="99"/>
  <c r="B88" i="99"/>
  <c r="A89" i="99"/>
  <c r="B89" i="99"/>
  <c r="A90" i="99"/>
  <c r="B90" i="99"/>
  <c r="A91" i="99"/>
  <c r="B91" i="99"/>
  <c r="A92" i="99"/>
  <c r="B92" i="99"/>
  <c r="A93" i="99"/>
  <c r="B93" i="99"/>
  <c r="A94" i="99"/>
  <c r="B94" i="99"/>
  <c r="A99" i="99"/>
  <c r="B99" i="99"/>
  <c r="A100" i="99"/>
  <c r="B100" i="99"/>
  <c r="A101" i="99"/>
  <c r="B101" i="99"/>
  <c r="A102" i="99"/>
  <c r="B102" i="99"/>
  <c r="A103" i="99"/>
  <c r="B103" i="99"/>
  <c r="A104" i="99"/>
  <c r="B104" i="99"/>
  <c r="A105" i="99"/>
  <c r="B105" i="99"/>
  <c r="A106" i="99"/>
  <c r="B106" i="99"/>
  <c r="A107" i="99"/>
  <c r="B107" i="99"/>
  <c r="A108" i="99"/>
  <c r="B108" i="99"/>
  <c r="A109" i="99"/>
  <c r="B109" i="99"/>
  <c r="A110" i="99"/>
  <c r="B110" i="99"/>
  <c r="A111" i="99"/>
  <c r="B111" i="99"/>
  <c r="A112" i="99"/>
  <c r="B112" i="99"/>
  <c r="A113" i="99"/>
  <c r="B113" i="99"/>
  <c r="A114" i="99"/>
  <c r="B114" i="99"/>
  <c r="G113" i="99"/>
  <c r="F126" i="48"/>
  <c r="F125" i="48"/>
  <c r="G112" i="99"/>
  <c r="C81" i="48"/>
  <c r="C159" i="48" s="1"/>
  <c r="C73" i="48"/>
  <c r="C151" i="48" s="1"/>
  <c r="C77" i="48"/>
  <c r="C155" i="48" s="1"/>
  <c r="C76" i="48"/>
  <c r="C154" i="48" s="1"/>
  <c r="C72" i="48"/>
  <c r="C150" i="48" s="1"/>
  <c r="C80" i="48"/>
  <c r="C158" i="48" s="1"/>
  <c r="C71" i="48"/>
  <c r="C149" i="48" s="1"/>
  <c r="G92" i="99"/>
  <c r="F108" i="48"/>
  <c r="G86" i="99"/>
  <c r="F122" i="48"/>
  <c r="F124" i="48"/>
  <c r="F114" i="48"/>
  <c r="F98" i="48"/>
  <c r="G82" i="99"/>
  <c r="F106" i="48"/>
  <c r="G90" i="99"/>
  <c r="G109" i="99"/>
  <c r="F120" i="48"/>
  <c r="G107" i="99"/>
  <c r="G101" i="99"/>
  <c r="G114" i="99"/>
  <c r="G111" i="99"/>
  <c r="F114" i="99"/>
  <c r="G105" i="99"/>
  <c r="F118" i="48"/>
  <c r="F121" i="48"/>
  <c r="G108" i="99"/>
  <c r="F93" i="48"/>
  <c r="G72" i="99"/>
  <c r="F102" i="48"/>
  <c r="F109" i="99"/>
  <c r="F100" i="48"/>
  <c r="G84" i="99"/>
  <c r="F104" i="48"/>
  <c r="G88" i="99"/>
  <c r="F115" i="48"/>
  <c r="G102" i="99"/>
  <c r="F92" i="99"/>
  <c r="F108" i="99"/>
  <c r="F111" i="99"/>
  <c r="F123" i="48"/>
  <c r="G110" i="99"/>
  <c r="F103" i="48"/>
  <c r="G87" i="99"/>
  <c r="F119" i="48"/>
  <c r="G106" i="99"/>
  <c r="G73" i="99"/>
  <c r="F94" i="48"/>
  <c r="F97" i="48"/>
  <c r="G76" i="99"/>
  <c r="F101" i="48"/>
  <c r="G85" i="99"/>
  <c r="F99" i="48"/>
  <c r="G83" i="99"/>
  <c r="F105" i="48"/>
  <c r="G89" i="99"/>
  <c r="F116" i="48"/>
  <c r="G103" i="99"/>
  <c r="F105" i="99"/>
  <c r="G81" i="99"/>
  <c r="F110" i="99"/>
  <c r="F99" i="99"/>
  <c r="G71" i="99"/>
  <c r="F96" i="48"/>
  <c r="G75" i="99"/>
  <c r="F109" i="48"/>
  <c r="G93" i="99"/>
  <c r="F117" i="48"/>
  <c r="G104" i="99"/>
  <c r="F91" i="99"/>
  <c r="G91" i="99"/>
  <c r="F112" i="99"/>
  <c r="F101" i="99"/>
  <c r="F102" i="99"/>
  <c r="F110" i="48"/>
  <c r="G94" i="99"/>
  <c r="F90" i="48"/>
  <c r="F128" i="48" s="1"/>
  <c r="G69" i="99"/>
  <c r="G79" i="99" s="1"/>
  <c r="G97" i="99" s="1"/>
  <c r="G116" i="99" s="1"/>
  <c r="F91" i="48"/>
  <c r="G70" i="99"/>
  <c r="F95" i="48"/>
  <c r="G74" i="99"/>
  <c r="F81" i="99"/>
  <c r="F90" i="99"/>
  <c r="F104" i="99"/>
  <c r="G99" i="99"/>
  <c r="F112" i="48"/>
  <c r="F92" i="48"/>
  <c r="F69" i="99"/>
  <c r="F79" i="99" s="1"/>
  <c r="F87" i="99"/>
  <c r="F107" i="48"/>
  <c r="F113" i="99"/>
  <c r="F107" i="99"/>
  <c r="F89" i="99"/>
  <c r="F82" i="99"/>
  <c r="F86" i="99"/>
  <c r="F94" i="99"/>
  <c r="F93" i="99"/>
  <c r="F106" i="99"/>
  <c r="F103" i="99"/>
  <c r="F73" i="99"/>
  <c r="F71" i="99"/>
  <c r="F70" i="99"/>
  <c r="F76" i="99"/>
  <c r="F85" i="99"/>
  <c r="F84" i="99"/>
  <c r="F74" i="99"/>
  <c r="F83" i="99"/>
  <c r="F75" i="99"/>
  <c r="F72" i="99"/>
  <c r="F88" i="99"/>
  <c r="F113" i="48"/>
  <c r="G100" i="99"/>
  <c r="F100" i="99"/>
  <c r="E24" i="50"/>
  <c r="E13" i="99"/>
  <c r="E34" i="99" s="1"/>
  <c r="E52" i="99" s="1"/>
  <c r="F89" i="1" l="1"/>
  <c r="E89" i="1" s="1"/>
  <c r="AK4" i="116"/>
  <c r="AI4" i="116" s="1"/>
  <c r="B38" i="48"/>
  <c r="C36" i="82"/>
  <c r="A38" i="48"/>
  <c r="B36" i="82"/>
  <c r="B37" i="48"/>
  <c r="U18" i="51"/>
  <c r="W18" i="51" s="1"/>
  <c r="B46" i="82"/>
  <c r="F18" i="82"/>
  <c r="N18" i="82" s="1"/>
  <c r="F17" i="82"/>
  <c r="N17" i="82" s="1"/>
  <c r="C25" i="82"/>
  <c r="C23" i="82"/>
  <c r="C22" i="82"/>
  <c r="C21" i="82"/>
  <c r="C20" i="82"/>
  <c r="C27" i="82"/>
  <c r="C26" i="82"/>
  <c r="C19" i="82"/>
  <c r="C18" i="82"/>
  <c r="C17" i="82"/>
  <c r="C16" i="82"/>
  <c r="B16" i="48"/>
  <c r="C14" i="82"/>
  <c r="C46" i="82"/>
  <c r="C29" i="82"/>
  <c r="B27" i="82"/>
  <c r="B26" i="82"/>
  <c r="B19" i="82"/>
  <c r="B18" i="82"/>
  <c r="B17" i="82"/>
  <c r="B16" i="82"/>
  <c r="A16" i="48"/>
  <c r="B14" i="82"/>
  <c r="A13" i="48"/>
  <c r="B12" i="82"/>
  <c r="A12" i="48"/>
  <c r="B11" i="82"/>
  <c r="B14" i="48"/>
  <c r="C13" i="82"/>
  <c r="B13" i="48"/>
  <c r="B12" i="48"/>
  <c r="A14" i="48"/>
  <c r="C78" i="48"/>
  <c r="D77" i="48" s="1"/>
  <c r="C152" i="48"/>
  <c r="D149" i="48" s="1"/>
  <c r="C82" i="48"/>
  <c r="D80" i="48" s="1"/>
  <c r="D82" i="48" s="1"/>
  <c r="E14" i="50"/>
  <c r="E51" i="50"/>
  <c r="E27" i="50"/>
  <c r="E34" i="50"/>
  <c r="E43" i="50"/>
  <c r="E45" i="50" s="1"/>
  <c r="E25" i="50"/>
  <c r="E38" i="50"/>
  <c r="E37" i="50"/>
  <c r="E18" i="50"/>
  <c r="E5" i="82"/>
  <c r="A4" i="52"/>
  <c r="E15" i="50"/>
  <c r="F97" i="99"/>
  <c r="H79" i="99"/>
  <c r="C156" i="48"/>
  <c r="D154" i="48" s="1"/>
  <c r="C145" i="48"/>
  <c r="E152" i="48" s="1"/>
  <c r="C160" i="48"/>
  <c r="D158" i="48" s="1"/>
  <c r="C74" i="48"/>
  <c r="D71" i="48" s="1"/>
  <c r="F132" i="48"/>
  <c r="F136" i="48" s="1"/>
  <c r="F139" i="48" s="1"/>
  <c r="AC47" i="116" l="1"/>
  <c r="AC14" i="116"/>
  <c r="AC19" i="116"/>
  <c r="AC35" i="116"/>
  <c r="AC38" i="116"/>
  <c r="AC16" i="116"/>
  <c r="AC37" i="116"/>
  <c r="AC22" i="116"/>
  <c r="AC28" i="116"/>
  <c r="AC20" i="116"/>
  <c r="AC17" i="116"/>
  <c r="AC23" i="116"/>
  <c r="AC43" i="116"/>
  <c r="AC13" i="116"/>
  <c r="AC10" i="116"/>
  <c r="AC21" i="116"/>
  <c r="AC25" i="116"/>
  <c r="AC11" i="116"/>
  <c r="AC27" i="116"/>
  <c r="AC12" i="116"/>
  <c r="AC42" i="116"/>
  <c r="AC29" i="116"/>
  <c r="AC30" i="116"/>
  <c r="AC48" i="116"/>
  <c r="AC36" i="116"/>
  <c r="AC24" i="116"/>
  <c r="AC18" i="116"/>
  <c r="AC26" i="116"/>
  <c r="AC39" i="116"/>
  <c r="AC15" i="116"/>
  <c r="AC40" i="116"/>
  <c r="AC41" i="116"/>
  <c r="AC44" i="116"/>
  <c r="AC45" i="116"/>
  <c r="AC46" i="116"/>
  <c r="M40" i="116"/>
  <c r="M36" i="116"/>
  <c r="M38" i="116"/>
  <c r="T36" i="116"/>
  <c r="T40" i="116"/>
  <c r="T38" i="116"/>
  <c r="D76" i="48"/>
  <c r="D78" i="48" s="1"/>
  <c r="V18" i="51"/>
  <c r="D155" i="48"/>
  <c r="D156" i="48" s="1"/>
  <c r="F21" i="82"/>
  <c r="N21" i="82" s="1"/>
  <c r="F27" i="82"/>
  <c r="N27" i="82" s="1"/>
  <c r="F16" i="82"/>
  <c r="N16" i="82" s="1"/>
  <c r="F29" i="82"/>
  <c r="N29" i="82" s="1"/>
  <c r="F12" i="82"/>
  <c r="N12" i="82" s="1"/>
  <c r="F19" i="82"/>
  <c r="N19" i="82" s="1"/>
  <c r="F14" i="82"/>
  <c r="N14" i="82" s="1"/>
  <c r="F23" i="82"/>
  <c r="N23" i="82" s="1"/>
  <c r="F20" i="82"/>
  <c r="N20" i="82" s="1"/>
  <c r="A32" i="3"/>
  <c r="F22" i="82"/>
  <c r="N22" i="82" s="1"/>
  <c r="F26" i="82"/>
  <c r="N26" i="82" s="1"/>
  <c r="N46" i="82"/>
  <c r="F13" i="82"/>
  <c r="N13" i="82" s="1"/>
  <c r="F25" i="82"/>
  <c r="N25" i="82" s="1"/>
  <c r="D150" i="48"/>
  <c r="E150" i="48" s="1"/>
  <c r="E160" i="48" s="1"/>
  <c r="E158" i="48" s="1"/>
  <c r="D151" i="48"/>
  <c r="E151" i="48" s="1"/>
  <c r="D81" i="48"/>
  <c r="E23" i="50"/>
  <c r="E28" i="50" s="1"/>
  <c r="F116" i="99"/>
  <c r="H116" i="99" s="1"/>
  <c r="H97" i="99"/>
  <c r="D160" i="48"/>
  <c r="E71" i="48"/>
  <c r="E78" i="48" s="1"/>
  <c r="D159" i="48"/>
  <c r="D73" i="48"/>
  <c r="E73" i="48" s="1"/>
  <c r="D72" i="48"/>
  <c r="E72" i="48" s="1"/>
  <c r="E82" i="48" s="1"/>
  <c r="E149" i="48"/>
  <c r="E156" i="48" s="1"/>
  <c r="AC32" i="116" l="1"/>
  <c r="M8" i="99"/>
  <c r="F34" i="50"/>
  <c r="A20" i="3"/>
  <c r="A22" i="48" s="1"/>
  <c r="A21" i="99"/>
  <c r="F37" i="50"/>
  <c r="F10" i="82"/>
  <c r="I15" i="50"/>
  <c r="D152" i="48"/>
  <c r="E159" i="48"/>
  <c r="E80" i="48"/>
  <c r="E81" i="48"/>
  <c r="E77" i="48"/>
  <c r="E76" i="48"/>
  <c r="D74" i="48"/>
  <c r="E154" i="48"/>
  <c r="E155" i="48"/>
  <c r="F15" i="50" l="1"/>
  <c r="E18" i="3"/>
  <c r="F20" i="48" s="1"/>
  <c r="G20" i="48" s="1"/>
  <c r="G45" i="50"/>
  <c r="F42" i="50"/>
  <c r="I27" i="50"/>
  <c r="F27" i="50"/>
  <c r="I43" i="50"/>
  <c r="F43" i="50"/>
  <c r="I39" i="50"/>
  <c r="F39" i="50"/>
  <c r="A22" i="99"/>
  <c r="A21" i="3"/>
  <c r="A23" i="48" s="1"/>
  <c r="I24" i="50"/>
  <c r="F24" i="50"/>
  <c r="I25" i="50"/>
  <c r="F25" i="50"/>
  <c r="I53" i="50"/>
  <c r="F53" i="50"/>
  <c r="F18" i="50"/>
  <c r="I18" i="50"/>
  <c r="I44" i="50"/>
  <c r="F44" i="50"/>
  <c r="B20" i="82"/>
  <c r="I38" i="50"/>
  <c r="F38" i="50"/>
  <c r="E17" i="3"/>
  <c r="F19" i="48" s="1"/>
  <c r="G19" i="48" s="1"/>
  <c r="E39" i="3"/>
  <c r="F36" i="48" s="1"/>
  <c r="G36" i="48" s="1"/>
  <c r="E37" i="3"/>
  <c r="F34" i="48" s="1"/>
  <c r="G34" i="48" s="1"/>
  <c r="E32" i="3"/>
  <c r="E30" i="3"/>
  <c r="F31" i="48" s="1"/>
  <c r="G31" i="48" s="1"/>
  <c r="E14" i="3"/>
  <c r="F16" i="48" s="1"/>
  <c r="E40" i="3"/>
  <c r="F37" i="48" s="1"/>
  <c r="G37" i="48" s="1"/>
  <c r="E52" i="3" l="1"/>
  <c r="F47" i="48" s="1"/>
  <c r="G47" i="48" s="1"/>
  <c r="E38" i="3"/>
  <c r="F35" i="48" s="1"/>
  <c r="G35" i="48" s="1"/>
  <c r="E23" i="3"/>
  <c r="F25" i="48" s="1"/>
  <c r="G25" i="48" s="1"/>
  <c r="E16" i="3"/>
  <c r="F18" i="48" s="1"/>
  <c r="G18" i="48" s="1"/>
  <c r="E36" i="3"/>
  <c r="F33" i="48" s="1"/>
  <c r="G33" i="48" s="1"/>
  <c r="E20" i="3"/>
  <c r="F22" i="48" s="1"/>
  <c r="G22" i="48" s="1"/>
  <c r="F14" i="48"/>
  <c r="E45" i="3"/>
  <c r="F42" i="48" s="1"/>
  <c r="G42" i="48" s="1"/>
  <c r="E44" i="3"/>
  <c r="F41" i="48" s="1"/>
  <c r="G41" i="48" s="1"/>
  <c r="E26" i="3"/>
  <c r="F28" i="48" s="1"/>
  <c r="G28" i="48" s="1"/>
  <c r="E19" i="3"/>
  <c r="F21" i="48" s="1"/>
  <c r="G21" i="48" s="1"/>
  <c r="E25" i="3"/>
  <c r="F27" i="48" s="1"/>
  <c r="G27" i="48" s="1"/>
  <c r="B21" i="82"/>
  <c r="F45" i="50"/>
  <c r="E27" i="3"/>
  <c r="F29" i="48" s="1"/>
  <c r="G29" i="48" s="1"/>
  <c r="F13" i="48"/>
  <c r="A22" i="3"/>
  <c r="A24" i="48" s="1"/>
  <c r="A23" i="99"/>
  <c r="E22" i="3"/>
  <c r="E11" i="3"/>
  <c r="F12" i="48" s="1"/>
  <c r="E41" i="3"/>
  <c r="F38" i="48" s="1"/>
  <c r="G38" i="48" s="1"/>
  <c r="G16" i="48"/>
  <c r="F24" i="48" l="1"/>
  <c r="G24" i="48" s="1"/>
  <c r="G12" i="48"/>
  <c r="B22" i="82"/>
  <c r="G13" i="48"/>
  <c r="A24" i="99"/>
  <c r="A23" i="3"/>
  <c r="A25" i="48" s="1"/>
  <c r="G14" i="48"/>
  <c r="F49" i="48" l="1"/>
  <c r="B23" i="82"/>
  <c r="A25" i="3"/>
  <c r="A27" i="48" s="1"/>
  <c r="A26" i="99"/>
  <c r="A40" i="3" l="1"/>
  <c r="B35" i="82" s="1"/>
  <c r="A40" i="99"/>
  <c r="B25" i="82"/>
  <c r="A37" i="48" l="1"/>
  <c r="A30" i="3"/>
  <c r="A31" i="48" s="1"/>
  <c r="A31" i="99" l="1"/>
  <c r="B29" i="82" l="1"/>
  <c r="S22" i="51"/>
  <c r="U22" i="51" s="1"/>
  <c r="L14" i="51"/>
  <c r="N14" i="51" l="1"/>
  <c r="O13" i="51"/>
  <c r="AO52" i="1" l="1"/>
  <c r="AG52" i="1"/>
  <c r="AG57" i="1" s="1"/>
  <c r="M52" i="1"/>
  <c r="AN52" i="1"/>
  <c r="L52" i="1"/>
  <c r="AM52" i="1"/>
  <c r="AJ52" i="113" s="1"/>
  <c r="AE52" i="1"/>
  <c r="AE57" i="1" s="1"/>
  <c r="Z52" i="1"/>
  <c r="Z57" i="1" s="1"/>
  <c r="T52" i="1"/>
  <c r="K52" i="1"/>
  <c r="K52" i="113" s="1"/>
  <c r="AL52" i="1"/>
  <c r="AD52" i="1"/>
  <c r="S52" i="1"/>
  <c r="J52" i="1"/>
  <c r="J52" i="113" s="1"/>
  <c r="AK52" i="1"/>
  <c r="AH52" i="113" s="1"/>
  <c r="X52" i="1"/>
  <c r="X52" i="113" s="1"/>
  <c r="R52" i="1"/>
  <c r="I52" i="1"/>
  <c r="I52" i="113" s="1"/>
  <c r="AJ52" i="1"/>
  <c r="W52" i="1"/>
  <c r="Q52" i="1"/>
  <c r="Q52" i="113" s="1"/>
  <c r="H52" i="1"/>
  <c r="H52" i="113" s="1"/>
  <c r="AF52" i="1"/>
  <c r="AC52" i="113" s="1"/>
  <c r="AQ52" i="1"/>
  <c r="AI52" i="1"/>
  <c r="AI57" i="1" s="1"/>
  <c r="V52" i="1"/>
  <c r="P52" i="1"/>
  <c r="G52" i="1"/>
  <c r="G52" i="113" s="1"/>
  <c r="AP52" i="1"/>
  <c r="AH52" i="1"/>
  <c r="AE52" i="113" s="1"/>
  <c r="O52" i="1"/>
  <c r="O52" i="113" s="1"/>
  <c r="F52" i="1"/>
  <c r="F52" i="113" s="1"/>
  <c r="AV52" i="1"/>
  <c r="E32" i="122"/>
  <c r="AL57" i="1"/>
  <c r="AS52" i="1"/>
  <c r="N52" i="113"/>
  <c r="E51" i="48"/>
  <c r="E14" i="51"/>
  <c r="AM52" i="113"/>
  <c r="AF52" i="113"/>
  <c r="R52" i="113"/>
  <c r="T52" i="113"/>
  <c r="G57" i="82"/>
  <c r="P52" i="113"/>
  <c r="AD52" i="113"/>
  <c r="M52" i="113"/>
  <c r="L52" i="113"/>
  <c r="AA52" i="113"/>
  <c r="U52" i="113"/>
  <c r="AB52" i="1"/>
  <c r="V52" i="113"/>
  <c r="AA52" i="1"/>
  <c r="F57" i="82"/>
  <c r="N8" i="99"/>
  <c r="AV57" i="1" l="1"/>
  <c r="Y55" i="116"/>
  <c r="F32" i="122"/>
  <c r="P43" i="116"/>
  <c r="T43" i="116" s="1"/>
  <c r="M43" i="116"/>
  <c r="P30" i="116"/>
  <c r="T30" i="116" s="1"/>
  <c r="M30" i="116"/>
  <c r="I32" i="48"/>
  <c r="I47" i="48"/>
  <c r="AP52" i="113"/>
  <c r="AO52" i="113"/>
  <c r="AS57" i="1"/>
  <c r="AN52" i="113"/>
  <c r="AQ57" i="1"/>
  <c r="AB52" i="113"/>
  <c r="AO57" i="1"/>
  <c r="AL52" i="113"/>
  <c r="N29" i="99"/>
  <c r="N49" i="99"/>
  <c r="I39" i="48"/>
  <c r="I46" i="48"/>
  <c r="I44" i="48"/>
  <c r="I45" i="48"/>
  <c r="N48" i="99"/>
  <c r="N47" i="99"/>
  <c r="N57" i="1"/>
  <c r="W52" i="113"/>
  <c r="W57" i="1"/>
  <c r="AP57" i="1"/>
  <c r="AG52" i="113"/>
  <c r="AJ57" i="1"/>
  <c r="N42" i="99"/>
  <c r="Z52" i="113"/>
  <c r="N32" i="99"/>
  <c r="N23" i="99"/>
  <c r="N30" i="99"/>
  <c r="N37" i="99"/>
  <c r="N15" i="99"/>
  <c r="N46" i="99"/>
  <c r="N41" i="99"/>
  <c r="N50" i="99"/>
  <c r="N12" i="99"/>
  <c r="N20" i="99"/>
  <c r="N31" i="99"/>
  <c r="N45" i="99"/>
  <c r="N39" i="99"/>
  <c r="N27" i="99"/>
  <c r="N10" i="99"/>
  <c r="N25" i="99"/>
  <c r="N24" i="99"/>
  <c r="N43" i="99"/>
  <c r="N38" i="99"/>
  <c r="N22" i="99"/>
  <c r="N36" i="99"/>
  <c r="N17" i="99"/>
  <c r="N26" i="99"/>
  <c r="N44" i="99"/>
  <c r="N19" i="99"/>
  <c r="N16" i="99"/>
  <c r="N28" i="99"/>
  <c r="N11" i="99"/>
  <c r="N21" i="99"/>
  <c r="N18" i="99"/>
  <c r="N40" i="99"/>
  <c r="I12" i="48"/>
  <c r="I31" i="48"/>
  <c r="I21" i="48"/>
  <c r="I17" i="48"/>
  <c r="I18" i="48"/>
  <c r="I19" i="48"/>
  <c r="I23" i="48"/>
  <c r="I24" i="48"/>
  <c r="I27" i="48"/>
  <c r="I22" i="48"/>
  <c r="I29" i="48"/>
  <c r="I25" i="48"/>
  <c r="I26" i="48"/>
  <c r="I28" i="48"/>
  <c r="I37" i="48"/>
  <c r="I20" i="48"/>
  <c r="I30" i="48"/>
  <c r="I43" i="48"/>
  <c r="I42" i="48"/>
  <c r="AI52" i="113"/>
  <c r="AK52" i="113"/>
  <c r="AM57" i="1"/>
  <c r="X57" i="1"/>
  <c r="AN57" i="1"/>
  <c r="I40" i="48"/>
  <c r="S57" i="1"/>
  <c r="S52" i="113"/>
  <c r="E87" i="1"/>
  <c r="I57" i="1"/>
  <c r="AB56" i="113"/>
  <c r="AF57" i="1"/>
  <c r="R57" i="1"/>
  <c r="K57" i="1"/>
  <c r="O57" i="1"/>
  <c r="AD56" i="113"/>
  <c r="AF56" i="113"/>
  <c r="AB57" i="1"/>
  <c r="V57" i="1"/>
  <c r="AH57" i="1"/>
  <c r="J57" i="1"/>
  <c r="L57" i="1"/>
  <c r="P57" i="1"/>
  <c r="T57" i="1"/>
  <c r="M57" i="1"/>
  <c r="AI56" i="113"/>
  <c r="Q57" i="1"/>
  <c r="H57" i="1"/>
  <c r="AC52" i="1"/>
  <c r="F57" i="1"/>
  <c r="AD57" i="1"/>
  <c r="G57" i="1"/>
  <c r="AA57" i="1"/>
  <c r="I16" i="48"/>
  <c r="I13" i="48"/>
  <c r="F51" i="48"/>
  <c r="F53" i="48" s="1"/>
  <c r="F57" i="48" s="1"/>
  <c r="F60" i="48" s="1"/>
  <c r="I14" i="48"/>
  <c r="I41" i="48"/>
  <c r="I38" i="48"/>
  <c r="I35" i="48"/>
  <c r="I33" i="48"/>
  <c r="I36" i="48"/>
  <c r="I34" i="48"/>
  <c r="O14" i="99"/>
  <c r="O35" i="99"/>
  <c r="P55" i="116" l="1"/>
  <c r="T55" i="116" s="1"/>
  <c r="AC55" i="116"/>
  <c r="AX91" i="1"/>
  <c r="AW91" i="1"/>
  <c r="AV91" i="1"/>
  <c r="G32" i="122"/>
  <c r="Q56" i="113"/>
  <c r="G56" i="113"/>
  <c r="T56" i="113"/>
  <c r="V56" i="113"/>
  <c r="AA56" i="113"/>
  <c r="P56" i="113"/>
  <c r="O56" i="113"/>
  <c r="S56" i="113"/>
  <c r="N56" i="113"/>
  <c r="P10" i="116"/>
  <c r="M10" i="116"/>
  <c r="L56" i="113"/>
  <c r="K56" i="113"/>
  <c r="P14" i="116"/>
  <c r="T14" i="116" s="1"/>
  <c r="M14" i="116"/>
  <c r="R56" i="113"/>
  <c r="M45" i="116"/>
  <c r="P45" i="116"/>
  <c r="T45" i="116" s="1"/>
  <c r="D47" i="3"/>
  <c r="H56" i="113"/>
  <c r="AE56" i="113"/>
  <c r="AC56" i="113"/>
  <c r="X56" i="113"/>
  <c r="M41" i="116"/>
  <c r="P41" i="116"/>
  <c r="T41" i="116" s="1"/>
  <c r="M44" i="116"/>
  <c r="P44" i="116"/>
  <c r="T44" i="116" s="1"/>
  <c r="P48" i="116"/>
  <c r="T48" i="116" s="1"/>
  <c r="M48" i="116"/>
  <c r="I56" i="113"/>
  <c r="AM56" i="113"/>
  <c r="M56" i="113"/>
  <c r="G29" i="99"/>
  <c r="J29" i="99" s="1"/>
  <c r="M29" i="99" s="1"/>
  <c r="P29" i="99" s="1"/>
  <c r="AO56" i="113"/>
  <c r="AL91" i="1"/>
  <c r="AL92" i="1" s="1"/>
  <c r="AL84" i="1" s="1"/>
  <c r="AI91" i="1"/>
  <c r="AI92" i="1" s="1"/>
  <c r="AI84" i="1" s="1"/>
  <c r="AE91" i="1"/>
  <c r="AE92" i="1" s="1"/>
  <c r="AE84" i="1" s="1"/>
  <c r="AG91" i="1"/>
  <c r="AG92" i="1" s="1"/>
  <c r="AG84" i="1" s="1"/>
  <c r="G49" i="99"/>
  <c r="AN56" i="113"/>
  <c r="D49" i="3"/>
  <c r="AP56" i="113"/>
  <c r="AS91" i="1"/>
  <c r="AS92" i="1" s="1"/>
  <c r="AS84" i="1" s="1"/>
  <c r="AS86" i="1" s="1"/>
  <c r="Z91" i="1"/>
  <c r="Z92" i="1" s="1"/>
  <c r="Z84" i="1" s="1"/>
  <c r="AQ91" i="1"/>
  <c r="AQ92" i="1" s="1"/>
  <c r="AQ84" i="1" s="1"/>
  <c r="G47" i="99"/>
  <c r="AL56" i="113"/>
  <c r="G48" i="99"/>
  <c r="D19" i="3"/>
  <c r="G20" i="99"/>
  <c r="J20" i="99" s="1"/>
  <c r="M20" i="99" s="1"/>
  <c r="P20" i="99" s="1"/>
  <c r="AO91" i="1"/>
  <c r="AO92" i="1" s="1"/>
  <c r="W56" i="113"/>
  <c r="D28" i="3"/>
  <c r="D48" i="3"/>
  <c r="W91" i="1"/>
  <c r="W92" i="1" s="1"/>
  <c r="G32" i="99"/>
  <c r="Z56" i="113"/>
  <c r="D31" i="3"/>
  <c r="G42" i="99"/>
  <c r="AG56" i="113"/>
  <c r="D42" i="3"/>
  <c r="AJ91" i="1"/>
  <c r="AJ92" i="1" s="1"/>
  <c r="AP91" i="1"/>
  <c r="AP92" i="1" s="1"/>
  <c r="AJ56" i="113"/>
  <c r="G45" i="99"/>
  <c r="J45" i="99" s="1"/>
  <c r="M45" i="99" s="1"/>
  <c r="AK56" i="113"/>
  <c r="G30" i="99"/>
  <c r="J30" i="99" s="1"/>
  <c r="M30" i="99" s="1"/>
  <c r="D29" i="3"/>
  <c r="AM91" i="1"/>
  <c r="AM92" i="1" s="1"/>
  <c r="X91" i="1"/>
  <c r="X92" i="1" s="1"/>
  <c r="X84" i="1" s="1"/>
  <c r="G25" i="99"/>
  <c r="D24" i="3"/>
  <c r="D14" i="3"/>
  <c r="G15" i="99"/>
  <c r="S91" i="1"/>
  <c r="S92" i="1" s="1"/>
  <c r="N91" i="1"/>
  <c r="N92" i="1" s="1"/>
  <c r="I91" i="1"/>
  <c r="I92" i="1" s="1"/>
  <c r="G36" i="99"/>
  <c r="G39" i="99"/>
  <c r="G38" i="99"/>
  <c r="G44" i="99"/>
  <c r="G37" i="99"/>
  <c r="J91" i="1"/>
  <c r="J92" i="1" s="1"/>
  <c r="J84" i="1" s="1"/>
  <c r="J56" i="113"/>
  <c r="D16" i="3"/>
  <c r="D37" i="3"/>
  <c r="AD91" i="1"/>
  <c r="AD92" i="1" s="1"/>
  <c r="K91" i="1"/>
  <c r="K92" i="1" s="1"/>
  <c r="G17" i="99"/>
  <c r="D27" i="3"/>
  <c r="G19" i="99"/>
  <c r="O91" i="1"/>
  <c r="O92" i="1" s="1"/>
  <c r="D13" i="3"/>
  <c r="AF91" i="1"/>
  <c r="AF92" i="1" s="1"/>
  <c r="G24" i="99"/>
  <c r="D38" i="3"/>
  <c r="D23" i="3"/>
  <c r="R91" i="1"/>
  <c r="R92" i="1" s="1"/>
  <c r="M91" i="1"/>
  <c r="M92" i="1" s="1"/>
  <c r="H91" i="1"/>
  <c r="H92" i="1" s="1"/>
  <c r="G40" i="99"/>
  <c r="D12" i="3"/>
  <c r="D20" i="3"/>
  <c r="V91" i="1"/>
  <c r="V92" i="1" s="1"/>
  <c r="D18" i="3"/>
  <c r="G21" i="99"/>
  <c r="G50" i="99"/>
  <c r="G12" i="99"/>
  <c r="G28" i="99"/>
  <c r="G23" i="99"/>
  <c r="D40" i="3"/>
  <c r="D39" i="3"/>
  <c r="AH91" i="1"/>
  <c r="AH92" i="1" s="1"/>
  <c r="AB91" i="1"/>
  <c r="AB92" i="1" s="1"/>
  <c r="G22" i="99"/>
  <c r="G41" i="99"/>
  <c r="P91" i="1"/>
  <c r="P92" i="1" s="1"/>
  <c r="D11" i="3"/>
  <c r="Q91" i="1"/>
  <c r="Q92" i="1" s="1"/>
  <c r="T91" i="1"/>
  <c r="T92" i="1" s="1"/>
  <c r="G26" i="99"/>
  <c r="D32" i="3"/>
  <c r="D41" i="3"/>
  <c r="D22" i="3"/>
  <c r="D21" i="3"/>
  <c r="G18" i="99"/>
  <c r="J18" i="99" s="1"/>
  <c r="M18" i="99" s="1"/>
  <c r="G10" i="99"/>
  <c r="AA91" i="1"/>
  <c r="AA92" i="1" s="1"/>
  <c r="AA84" i="1" s="1"/>
  <c r="F91" i="1"/>
  <c r="F92" i="1" s="1"/>
  <c r="F56" i="113"/>
  <c r="D15" i="3"/>
  <c r="G16" i="99"/>
  <c r="J16" i="99" s="1"/>
  <c r="M16" i="99" s="1"/>
  <c r="G91" i="1"/>
  <c r="G92" i="1" s="1"/>
  <c r="D25" i="3"/>
  <c r="D45" i="3"/>
  <c r="D17" i="3"/>
  <c r="D46" i="3"/>
  <c r="L91" i="1"/>
  <c r="L92" i="1" s="1"/>
  <c r="D44" i="3"/>
  <c r="G11" i="99"/>
  <c r="D52" i="3"/>
  <c r="D36" i="3"/>
  <c r="AN91" i="1"/>
  <c r="AN92" i="1" s="1"/>
  <c r="AN84" i="1" s="1"/>
  <c r="G46" i="99"/>
  <c r="AR52" i="1"/>
  <c r="AT52" i="1" s="1"/>
  <c r="AY52" i="1" s="1"/>
  <c r="N31" i="82"/>
  <c r="AW92" i="1" l="1"/>
  <c r="AW84" i="1" s="1"/>
  <c r="F11" i="127" s="1"/>
  <c r="AV92" i="1"/>
  <c r="AV84" i="1" s="1"/>
  <c r="F10" i="127" s="1"/>
  <c r="O29" i="99"/>
  <c r="H8" i="124"/>
  <c r="P23" i="116"/>
  <c r="T23" i="116" s="1"/>
  <c r="M23" i="116"/>
  <c r="P26" i="116"/>
  <c r="T26" i="116" s="1"/>
  <c r="M26" i="116"/>
  <c r="P17" i="116"/>
  <c r="T17" i="116" s="1"/>
  <c r="M17" i="116"/>
  <c r="P37" i="116"/>
  <c r="T37" i="116" s="1"/>
  <c r="M37" i="116"/>
  <c r="P16" i="116"/>
  <c r="T16" i="116" s="1"/>
  <c r="M16" i="116"/>
  <c r="P19" i="116"/>
  <c r="T19" i="116" s="1"/>
  <c r="M19" i="116"/>
  <c r="P24" i="116"/>
  <c r="T24" i="116" s="1"/>
  <c r="M24" i="116"/>
  <c r="P47" i="116"/>
  <c r="T47" i="116" s="1"/>
  <c r="M47" i="116"/>
  <c r="P39" i="116"/>
  <c r="T39" i="116" s="1"/>
  <c r="M39" i="116"/>
  <c r="P22" i="116"/>
  <c r="T22" i="116" s="1"/>
  <c r="M22" i="116"/>
  <c r="P20" i="116"/>
  <c r="T20" i="116" s="1"/>
  <c r="M20" i="116"/>
  <c r="M11" i="116"/>
  <c r="P11" i="116"/>
  <c r="T11" i="116" s="1"/>
  <c r="P49" i="116"/>
  <c r="T49" i="116" s="1"/>
  <c r="M49" i="116"/>
  <c r="P13" i="116"/>
  <c r="T13" i="116" s="1"/>
  <c r="M13" i="116"/>
  <c r="P12" i="116"/>
  <c r="T12" i="116" s="1"/>
  <c r="M12" i="116"/>
  <c r="T10" i="116"/>
  <c r="P18" i="116"/>
  <c r="T18" i="116" s="1"/>
  <c r="M18" i="116"/>
  <c r="P35" i="116"/>
  <c r="T35" i="116" s="1"/>
  <c r="M35" i="116"/>
  <c r="P21" i="116"/>
  <c r="T21" i="116" s="1"/>
  <c r="M21" i="116"/>
  <c r="P27" i="116"/>
  <c r="T27" i="116" s="1"/>
  <c r="M27" i="116"/>
  <c r="P25" i="116"/>
  <c r="T25" i="116" s="1"/>
  <c r="M25" i="116"/>
  <c r="P28" i="116"/>
  <c r="T28" i="116" s="1"/>
  <c r="M28" i="116"/>
  <c r="M46" i="116"/>
  <c r="P46" i="116"/>
  <c r="T46" i="116" s="1"/>
  <c r="M15" i="116"/>
  <c r="P15" i="116"/>
  <c r="T15" i="116" s="1"/>
  <c r="J49" i="99"/>
  <c r="M49" i="99" s="1"/>
  <c r="P49" i="99" s="1"/>
  <c r="O49" i="99"/>
  <c r="J47" i="99"/>
  <c r="M47" i="99" s="1"/>
  <c r="P47" i="99" s="1"/>
  <c r="O47" i="99"/>
  <c r="J48" i="99"/>
  <c r="M48" i="99" s="1"/>
  <c r="P48" i="99" s="1"/>
  <c r="O48" i="99"/>
  <c r="G52" i="50"/>
  <c r="O20" i="99"/>
  <c r="AO84" i="1"/>
  <c r="W84" i="1"/>
  <c r="J32" i="99"/>
  <c r="M32" i="99" s="1"/>
  <c r="P32" i="99" s="1"/>
  <c r="O32" i="99"/>
  <c r="J42" i="99"/>
  <c r="M42" i="99" s="1"/>
  <c r="P42" i="99" s="1"/>
  <c r="O42" i="99"/>
  <c r="AJ84" i="1"/>
  <c r="J41" i="99"/>
  <c r="M41" i="99" s="1"/>
  <c r="P41" i="99" s="1"/>
  <c r="J21" i="99"/>
  <c r="M21" i="99" s="1"/>
  <c r="P21" i="99" s="1"/>
  <c r="J24" i="99"/>
  <c r="M24" i="99" s="1"/>
  <c r="P24" i="99" s="1"/>
  <c r="J36" i="99"/>
  <c r="M36" i="99" s="1"/>
  <c r="P36" i="99" s="1"/>
  <c r="J26" i="99"/>
  <c r="M26" i="99" s="1"/>
  <c r="P26" i="99" s="1"/>
  <c r="J22" i="99"/>
  <c r="M22" i="99" s="1"/>
  <c r="P22" i="99" s="1"/>
  <c r="J23" i="99"/>
  <c r="M23" i="99" s="1"/>
  <c r="P23" i="99" s="1"/>
  <c r="J50" i="99"/>
  <c r="M50" i="99" s="1"/>
  <c r="P50" i="99" s="1"/>
  <c r="J40" i="99"/>
  <c r="M40" i="99" s="1"/>
  <c r="P40" i="99" s="1"/>
  <c r="J39" i="99"/>
  <c r="M39" i="99" s="1"/>
  <c r="P39" i="99" s="1"/>
  <c r="J37" i="99"/>
  <c r="M37" i="99" s="1"/>
  <c r="P37" i="99" s="1"/>
  <c r="J15" i="99"/>
  <c r="M15" i="99" s="1"/>
  <c r="P15" i="99" s="1"/>
  <c r="J11" i="99"/>
  <c r="M11" i="99" s="1"/>
  <c r="P11" i="99" s="1"/>
  <c r="J28" i="99"/>
  <c r="M28" i="99" s="1"/>
  <c r="P28" i="99" s="1"/>
  <c r="J19" i="99"/>
  <c r="M19" i="99" s="1"/>
  <c r="P19" i="99" s="1"/>
  <c r="J44" i="99"/>
  <c r="M44" i="99" s="1"/>
  <c r="P44" i="99" s="1"/>
  <c r="J25" i="99"/>
  <c r="M25" i="99" s="1"/>
  <c r="P25" i="99" s="1"/>
  <c r="J46" i="99"/>
  <c r="M46" i="99" s="1"/>
  <c r="P46" i="99" s="1"/>
  <c r="O10" i="99"/>
  <c r="J10" i="99"/>
  <c r="M10" i="99" s="1"/>
  <c r="J12" i="99"/>
  <c r="M12" i="99" s="1"/>
  <c r="P12" i="99" s="1"/>
  <c r="J17" i="99"/>
  <c r="M17" i="99" s="1"/>
  <c r="P17" i="99" s="1"/>
  <c r="J38" i="99"/>
  <c r="M38" i="99" s="1"/>
  <c r="P38" i="99" s="1"/>
  <c r="AP84" i="1"/>
  <c r="P45" i="99"/>
  <c r="O45" i="99"/>
  <c r="P30" i="99"/>
  <c r="O30" i="99"/>
  <c r="AM84" i="1"/>
  <c r="O25" i="99"/>
  <c r="O15" i="99"/>
  <c r="O17" i="99"/>
  <c r="S84" i="1"/>
  <c r="O37" i="99"/>
  <c r="O38" i="99"/>
  <c r="O19" i="99"/>
  <c r="O24" i="99"/>
  <c r="O12" i="99"/>
  <c r="O41" i="99"/>
  <c r="O40" i="99"/>
  <c r="O39" i="99"/>
  <c r="O50" i="99"/>
  <c r="O28" i="99"/>
  <c r="O21" i="99"/>
  <c r="O26" i="99"/>
  <c r="O46" i="99"/>
  <c r="O44" i="99"/>
  <c r="O23" i="99"/>
  <c r="O22" i="99"/>
  <c r="O36" i="99"/>
  <c r="P18" i="99"/>
  <c r="O18" i="99"/>
  <c r="O11" i="99"/>
  <c r="P16" i="99"/>
  <c r="O16" i="99"/>
  <c r="T84" i="1"/>
  <c r="H84" i="1"/>
  <c r="K84" i="1"/>
  <c r="L84" i="1"/>
  <c r="AF84" i="1"/>
  <c r="AD84" i="1"/>
  <c r="O84" i="1"/>
  <c r="Q84" i="1"/>
  <c r="N84" i="1"/>
  <c r="F84" i="1"/>
  <c r="AB84" i="1"/>
  <c r="G84" i="1"/>
  <c r="I84" i="1"/>
  <c r="P84" i="1"/>
  <c r="V84" i="1"/>
  <c r="M84" i="1"/>
  <c r="R84" i="1"/>
  <c r="AH84" i="1"/>
  <c r="H9" i="124" l="1"/>
  <c r="H10" i="124" s="1"/>
  <c r="H11" i="124" s="1"/>
  <c r="H12" i="124" s="1"/>
  <c r="H13" i="124" s="1"/>
  <c r="H14" i="124" s="1"/>
  <c r="H15" i="124" s="1"/>
  <c r="H16" i="124" s="1"/>
  <c r="H17" i="124" s="1"/>
  <c r="H18" i="124" s="1"/>
  <c r="H19" i="124" s="1"/>
  <c r="H20" i="124" s="1"/>
  <c r="H21" i="124" s="1"/>
  <c r="H22" i="124" s="1"/>
  <c r="H23" i="124" s="1"/>
  <c r="H24" i="124" s="1"/>
  <c r="H25" i="124" s="1"/>
  <c r="H26" i="124" s="1"/>
  <c r="H27" i="124" s="1"/>
  <c r="H28" i="124" s="1"/>
  <c r="H29" i="124" s="1"/>
  <c r="H30" i="124" s="1"/>
  <c r="H31" i="124" s="1"/>
  <c r="AC49" i="116"/>
  <c r="Y51" i="116"/>
  <c r="E53" i="114"/>
  <c r="P10" i="99"/>
  <c r="AC51" i="116" l="1"/>
  <c r="F52" i="50"/>
  <c r="I52" i="50" l="1"/>
  <c r="AR28" i="1" l="1"/>
  <c r="AT28" i="1" s="1"/>
  <c r="AY28" i="1" s="1"/>
  <c r="F48" i="82" l="1"/>
  <c r="G28" i="50"/>
  <c r="F23" i="50"/>
  <c r="F28" i="50" s="1"/>
  <c r="I23" i="50"/>
  <c r="I28" i="50" s="1"/>
  <c r="F14" i="50" l="1"/>
  <c r="E77" i="113" l="1"/>
  <c r="E63" i="1"/>
  <c r="E62" i="113" s="1"/>
  <c r="E75" i="113"/>
  <c r="E70" i="1"/>
  <c r="E69" i="113" s="1"/>
  <c r="E69" i="1"/>
  <c r="E68" i="50" s="1"/>
  <c r="E64" i="1"/>
  <c r="E63" i="113" s="1"/>
  <c r="E64" i="113"/>
  <c r="E72" i="1"/>
  <c r="E71" i="1"/>
  <c r="AC71" i="1" s="1"/>
  <c r="AR71" i="1" s="1"/>
  <c r="AT71" i="1" s="1"/>
  <c r="AY71" i="1" s="1"/>
  <c r="E68" i="1"/>
  <c r="E67" i="50" s="1"/>
  <c r="E80" i="1"/>
  <c r="E62" i="1"/>
  <c r="E61" i="1"/>
  <c r="G70" i="50" l="1"/>
  <c r="E16" i="1"/>
  <c r="E16" i="113" s="1"/>
  <c r="E63" i="50"/>
  <c r="E69" i="50"/>
  <c r="AC64" i="1"/>
  <c r="AR64" i="1" s="1"/>
  <c r="AT64" i="1" s="1"/>
  <c r="AY64" i="1" s="1"/>
  <c r="E70" i="113"/>
  <c r="AC63" i="1"/>
  <c r="AR63" i="1" s="1"/>
  <c r="AT63" i="1" s="1"/>
  <c r="AY63" i="1" s="1"/>
  <c r="AC70" i="1"/>
  <c r="AR70" i="1" s="1"/>
  <c r="AT70" i="1" s="1"/>
  <c r="AY70" i="1" s="1"/>
  <c r="AC76" i="1"/>
  <c r="E68" i="113"/>
  <c r="E67" i="113"/>
  <c r="AC68" i="1"/>
  <c r="AR68" i="1" s="1"/>
  <c r="E64" i="50"/>
  <c r="AC65" i="1"/>
  <c r="AR65" i="1" s="1"/>
  <c r="AT65" i="1" s="1"/>
  <c r="AY65" i="1" s="1"/>
  <c r="AC62" i="1"/>
  <c r="AR62" i="1" s="1"/>
  <c r="AT62" i="1" s="1"/>
  <c r="AY62" i="1" s="1"/>
  <c r="E61" i="113"/>
  <c r="E61" i="50"/>
  <c r="G10" i="82"/>
  <c r="E78" i="50"/>
  <c r="AC80" i="1"/>
  <c r="AR80" i="1" s="1"/>
  <c r="E78" i="113"/>
  <c r="E66" i="1"/>
  <c r="AC61" i="1"/>
  <c r="AR61" i="1" s="1"/>
  <c r="E60" i="50"/>
  <c r="E60" i="113"/>
  <c r="E71" i="113"/>
  <c r="E71" i="50"/>
  <c r="AC72" i="1"/>
  <c r="AR72" i="1" s="1"/>
  <c r="AT72" i="1" s="1"/>
  <c r="AY72" i="1" s="1"/>
  <c r="AC69" i="1"/>
  <c r="AR69" i="1" s="1"/>
  <c r="AT69" i="1" s="1"/>
  <c r="AY69" i="1" s="1"/>
  <c r="E70" i="50"/>
  <c r="E77" i="50"/>
  <c r="E75" i="50"/>
  <c r="E62" i="50"/>
  <c r="E73" i="1"/>
  <c r="E72" i="113" s="1"/>
  <c r="J10" i="82"/>
  <c r="J48" i="82" s="1"/>
  <c r="AC79" i="1"/>
  <c r="AR79" i="1" s="1"/>
  <c r="AT79" i="1" s="1"/>
  <c r="AY79" i="1" s="1"/>
  <c r="I10" i="82"/>
  <c r="I48" i="82" s="1"/>
  <c r="H10" i="82"/>
  <c r="H48" i="82" s="1"/>
  <c r="AR76" i="1" l="1"/>
  <c r="AT76" i="1" s="1"/>
  <c r="F26" i="121"/>
  <c r="G61" i="50"/>
  <c r="E62" i="114" s="1"/>
  <c r="G62" i="50"/>
  <c r="G64" i="50"/>
  <c r="E65" i="114" s="1"/>
  <c r="G68" i="50"/>
  <c r="E69" i="114" s="1"/>
  <c r="G63" i="50"/>
  <c r="G77" i="50"/>
  <c r="G71" i="50"/>
  <c r="E72" i="114" s="1"/>
  <c r="G69" i="50"/>
  <c r="AT80" i="1"/>
  <c r="AT68" i="1"/>
  <c r="AY68" i="1" s="1"/>
  <c r="E71" i="114"/>
  <c r="AC16" i="1"/>
  <c r="AC17" i="1" s="1"/>
  <c r="E16" i="50"/>
  <c r="E17" i="50" s="1"/>
  <c r="E19" i="50" s="1"/>
  <c r="E17" i="1"/>
  <c r="E19" i="1" s="1"/>
  <c r="E10" i="82"/>
  <c r="N10" i="82" s="1"/>
  <c r="N48" i="82" s="1"/>
  <c r="E72" i="50"/>
  <c r="G48" i="82"/>
  <c r="F55" i="82" s="1"/>
  <c r="L10" i="82"/>
  <c r="L48" i="82" s="1"/>
  <c r="AC73" i="1"/>
  <c r="AR73" i="1" s="1"/>
  <c r="AT73" i="1" s="1"/>
  <c r="AY73" i="1" s="1"/>
  <c r="E65" i="113"/>
  <c r="E74" i="1"/>
  <c r="AC66" i="1"/>
  <c r="AT61" i="1"/>
  <c r="AY61" i="1" s="1"/>
  <c r="E65" i="50"/>
  <c r="F32" i="121" l="1"/>
  <c r="AY76" i="1"/>
  <c r="G75" i="50"/>
  <c r="G78" i="50"/>
  <c r="G67" i="50"/>
  <c r="G60" i="50"/>
  <c r="E61" i="114" s="1"/>
  <c r="F70" i="50"/>
  <c r="E64" i="114"/>
  <c r="E63" i="114"/>
  <c r="E70" i="114"/>
  <c r="I70" i="50"/>
  <c r="AR16" i="1"/>
  <c r="I71" i="50"/>
  <c r="F64" i="50"/>
  <c r="I61" i="50"/>
  <c r="I68" i="50"/>
  <c r="E17" i="113"/>
  <c r="E48" i="82"/>
  <c r="F64" i="82" s="1"/>
  <c r="F67" i="82" s="1"/>
  <c r="E73" i="50"/>
  <c r="E76" i="50" s="1"/>
  <c r="E80" i="50" s="1"/>
  <c r="E73" i="113"/>
  <c r="AC74" i="1"/>
  <c r="AC82" i="1" s="1"/>
  <c r="AR66" i="1"/>
  <c r="AT66" i="1" s="1"/>
  <c r="AY66" i="1" s="1"/>
  <c r="AY74" i="1" s="1"/>
  <c r="F61" i="82"/>
  <c r="F59" i="82"/>
  <c r="AC19" i="1"/>
  <c r="E19" i="113"/>
  <c r="AY78" i="1" l="1"/>
  <c r="AY82" i="1" s="1"/>
  <c r="E12" i="51" s="1"/>
  <c r="E79" i="114"/>
  <c r="E68" i="114"/>
  <c r="E73" i="114" s="1"/>
  <c r="E76" i="114"/>
  <c r="AT74" i="1"/>
  <c r="AT78" i="1" s="1"/>
  <c r="AT16" i="1"/>
  <c r="AY16" i="1" s="1"/>
  <c r="F69" i="50"/>
  <c r="F62" i="50"/>
  <c r="E66" i="114"/>
  <c r="F63" i="50"/>
  <c r="I63" i="50"/>
  <c r="F61" i="50"/>
  <c r="F68" i="50"/>
  <c r="I64" i="50"/>
  <c r="F71" i="50"/>
  <c r="I69" i="50"/>
  <c r="I62" i="50"/>
  <c r="I60" i="50"/>
  <c r="F70" i="82"/>
  <c r="F74" i="82" s="1"/>
  <c r="F78" i="82" s="1"/>
  <c r="G106" i="82" s="1"/>
  <c r="G108" i="82" s="1"/>
  <c r="AR74" i="1"/>
  <c r="AR78" i="1" s="1"/>
  <c r="E76" i="113"/>
  <c r="E82" i="1"/>
  <c r="K7" i="116" s="1"/>
  <c r="R7" i="116" l="1"/>
  <c r="K32" i="116"/>
  <c r="K51" i="116" s="1"/>
  <c r="G16" i="50"/>
  <c r="AT82" i="1"/>
  <c r="D10" i="122" s="1"/>
  <c r="F75" i="50"/>
  <c r="F78" i="50"/>
  <c r="I78" i="50"/>
  <c r="G72" i="50"/>
  <c r="I75" i="50"/>
  <c r="I67" i="50"/>
  <c r="I72" i="50" s="1"/>
  <c r="F67" i="50"/>
  <c r="F72" i="50" s="1"/>
  <c r="E74" i="114"/>
  <c r="E77" i="114" s="1"/>
  <c r="G65" i="50"/>
  <c r="I65" i="50"/>
  <c r="F60" i="50"/>
  <c r="F65" i="50" s="1"/>
  <c r="AR82" i="1"/>
  <c r="F84" i="82"/>
  <c r="G102" i="82" s="1"/>
  <c r="G104" i="82" s="1"/>
  <c r="G110" i="82" s="1"/>
  <c r="E80" i="113"/>
  <c r="E10" i="3"/>
  <c r="H9" i="99"/>
  <c r="AK16" i="116" l="1"/>
  <c r="AK18" i="116" s="1"/>
  <c r="K59" i="116"/>
  <c r="D15" i="122"/>
  <c r="D18" i="122"/>
  <c r="R32" i="116"/>
  <c r="R51" i="116" s="1"/>
  <c r="R59" i="116" s="1"/>
  <c r="G73" i="50"/>
  <c r="G76" i="50" s="1"/>
  <c r="E17" i="114"/>
  <c r="E18" i="114" s="1"/>
  <c r="E20" i="114" s="1"/>
  <c r="G17" i="50"/>
  <c r="G19" i="50" s="1"/>
  <c r="I73" i="50"/>
  <c r="I76" i="50" s="1"/>
  <c r="H13" i="99"/>
  <c r="K9" i="99"/>
  <c r="N9" i="99" s="1"/>
  <c r="F73" i="50"/>
  <c r="F76" i="50" s="1"/>
  <c r="E11" i="48"/>
  <c r="E34" i="3"/>
  <c r="D20" i="122" l="1"/>
  <c r="D25" i="122" s="1"/>
  <c r="E25" i="122" s="1"/>
  <c r="I11" i="48"/>
  <c r="I53" i="48" s="1"/>
  <c r="I60" i="48" s="1"/>
  <c r="E49" i="48"/>
  <c r="E53" i="48" s="1"/>
  <c r="E50" i="3"/>
  <c r="E54" i="3" s="1"/>
  <c r="I16" i="50"/>
  <c r="F16" i="50"/>
  <c r="F17" i="50" s="1"/>
  <c r="F19" i="50" s="1"/>
  <c r="H34" i="99"/>
  <c r="G11" i="48"/>
  <c r="G49" i="48" s="1"/>
  <c r="N13" i="99"/>
  <c r="N34" i="99" s="1"/>
  <c r="N52" i="99" s="1"/>
  <c r="K13" i="99"/>
  <c r="K34" i="99" s="1"/>
  <c r="K52" i="99" s="1"/>
  <c r="D30" i="122" l="1"/>
  <c r="D36" i="122" s="1"/>
  <c r="D38" i="122" s="1"/>
  <c r="E35" i="122" s="1"/>
  <c r="F25" i="122"/>
  <c r="E30" i="122"/>
  <c r="E36" i="122" s="1"/>
  <c r="K49" i="48"/>
  <c r="E57" i="48"/>
  <c r="G53" i="48"/>
  <c r="H52" i="99"/>
  <c r="D37" i="122" l="1"/>
  <c r="G25" i="122"/>
  <c r="G30" i="122" s="1"/>
  <c r="G36" i="122" s="1"/>
  <c r="F30" i="122"/>
  <c r="F36" i="122" s="1"/>
  <c r="E38" i="122"/>
  <c r="F35" i="122" s="1"/>
  <c r="E37" i="122"/>
  <c r="E16" i="51"/>
  <c r="E60" i="48"/>
  <c r="Y51" i="1" s="1"/>
  <c r="R24" i="118" s="1"/>
  <c r="G57" i="48"/>
  <c r="F38" i="122" l="1"/>
  <c r="G35" i="122" s="1"/>
  <c r="F37" i="122"/>
  <c r="E78" i="114"/>
  <c r="E81" i="114" s="1"/>
  <c r="F77" i="50"/>
  <c r="F80" i="50" s="1"/>
  <c r="I77" i="50"/>
  <c r="I80" i="50" s="1"/>
  <c r="G80" i="50"/>
  <c r="G60" i="48"/>
  <c r="K60" i="48" l="1"/>
  <c r="G38" i="122"/>
  <c r="D8" i="124" s="1"/>
  <c r="G37" i="122"/>
  <c r="Y51" i="113"/>
  <c r="AC51" i="1"/>
  <c r="Y57" i="1"/>
  <c r="T24" i="118" l="1"/>
  <c r="R28" i="118"/>
  <c r="R32" i="118" s="1"/>
  <c r="J8" i="124"/>
  <c r="L8" i="124" s="1"/>
  <c r="D9" i="124" s="1"/>
  <c r="J9" i="124" s="1"/>
  <c r="L9" i="124" s="1"/>
  <c r="D10" i="124" s="1"/>
  <c r="J10" i="124" s="1"/>
  <c r="L10" i="124" s="1"/>
  <c r="D11" i="124" s="1"/>
  <c r="J11" i="124" s="1"/>
  <c r="L11" i="124" s="1"/>
  <c r="D12" i="124" s="1"/>
  <c r="J12" i="124" s="1"/>
  <c r="L12" i="124" s="1"/>
  <c r="D13" i="124" s="1"/>
  <c r="J13" i="124" s="1"/>
  <c r="L13" i="124" s="1"/>
  <c r="D14" i="124" s="1"/>
  <c r="J14" i="124" s="1"/>
  <c r="L14" i="124" s="1"/>
  <c r="D15" i="124" s="1"/>
  <c r="J15" i="124" s="1"/>
  <c r="L15" i="124" s="1"/>
  <c r="D16" i="124" s="1"/>
  <c r="J16" i="124" s="1"/>
  <c r="L16" i="124" s="1"/>
  <c r="D17" i="124" s="1"/>
  <c r="J17" i="124" s="1"/>
  <c r="L17" i="124" s="1"/>
  <c r="D18" i="124" s="1"/>
  <c r="J18" i="124" s="1"/>
  <c r="L18" i="124" s="1"/>
  <c r="D19" i="124" s="1"/>
  <c r="J19" i="124" s="1"/>
  <c r="L19" i="124" s="1"/>
  <c r="D20" i="124" s="1"/>
  <c r="J20" i="124" s="1"/>
  <c r="L20" i="124" s="1"/>
  <c r="D21" i="124" s="1"/>
  <c r="J21" i="124" s="1"/>
  <c r="L21" i="124" s="1"/>
  <c r="D22" i="124" s="1"/>
  <c r="J22" i="124" s="1"/>
  <c r="L22" i="124" s="1"/>
  <c r="D23" i="124" s="1"/>
  <c r="J23" i="124" s="1"/>
  <c r="L23" i="124" s="1"/>
  <c r="D24" i="124" s="1"/>
  <c r="J24" i="124" s="1"/>
  <c r="L24" i="124" s="1"/>
  <c r="D25" i="124" s="1"/>
  <c r="J25" i="124" s="1"/>
  <c r="L25" i="124" s="1"/>
  <c r="D26" i="124" s="1"/>
  <c r="J26" i="124" s="1"/>
  <c r="L26" i="124" s="1"/>
  <c r="D27" i="124" s="1"/>
  <c r="Y56" i="113"/>
  <c r="G31" i="99"/>
  <c r="J31" i="99" s="1"/>
  <c r="M31" i="99" s="1"/>
  <c r="D30" i="3"/>
  <c r="Y91" i="1"/>
  <c r="Y92" i="1" s="1"/>
  <c r="T28" i="118" l="1"/>
  <c r="V24" i="118"/>
  <c r="AU51" i="1" s="1"/>
  <c r="J27" i="124"/>
  <c r="L27" i="124" s="1"/>
  <c r="D28" i="124" s="1"/>
  <c r="P29" i="116"/>
  <c r="M29" i="116"/>
  <c r="Y84" i="1"/>
  <c r="O31" i="99"/>
  <c r="AU57" i="1" l="1"/>
  <c r="AU91" i="1" s="1"/>
  <c r="AU92" i="1" s="1"/>
  <c r="AU84" i="1" s="1"/>
  <c r="F9" i="127" s="1"/>
  <c r="T32" i="118"/>
  <c r="V28" i="118"/>
  <c r="V32" i="118" s="1"/>
  <c r="Y54" i="116" s="1"/>
  <c r="J28" i="124"/>
  <c r="L28" i="124" s="1"/>
  <c r="D29" i="124" s="1"/>
  <c r="T29" i="116"/>
  <c r="P31" i="99"/>
  <c r="P54" i="116" l="1"/>
  <c r="T54" i="116" s="1"/>
  <c r="AC54" i="116"/>
  <c r="Y59" i="116"/>
  <c r="AC59" i="116" s="1"/>
  <c r="J29" i="124"/>
  <c r="L29" i="124" s="1"/>
  <c r="D30" i="124" s="1"/>
  <c r="G39" i="114"/>
  <c r="G70" i="114"/>
  <c r="G27" i="114"/>
  <c r="G16" i="114"/>
  <c r="G55" i="114"/>
  <c r="G76" i="114"/>
  <c r="G25" i="114"/>
  <c r="G62" i="114"/>
  <c r="G43" i="114"/>
  <c r="G54" i="114"/>
  <c r="G61" i="114"/>
  <c r="G15" i="114"/>
  <c r="J30" i="124" l="1"/>
  <c r="L30" i="124" s="1"/>
  <c r="D31" i="124" s="1"/>
  <c r="G71" i="114"/>
  <c r="J71" i="114" s="1"/>
  <c r="G44" i="114"/>
  <c r="J44" i="114" s="1"/>
  <c r="G24" i="114"/>
  <c r="J24" i="114" s="1"/>
  <c r="G64" i="114"/>
  <c r="J64" i="114" s="1"/>
  <c r="G28" i="114"/>
  <c r="F28" i="114" s="1"/>
  <c r="G68" i="114"/>
  <c r="F68" i="114" s="1"/>
  <c r="G26" i="114"/>
  <c r="F26" i="114" s="1"/>
  <c r="G72" i="114"/>
  <c r="F72" i="114" s="1"/>
  <c r="G79" i="114"/>
  <c r="F79" i="114" s="1"/>
  <c r="G78" i="114"/>
  <c r="F78" i="114" s="1"/>
  <c r="G65" i="114"/>
  <c r="F65" i="114" s="1"/>
  <c r="G38" i="114"/>
  <c r="F38" i="114" s="1"/>
  <c r="G40" i="114"/>
  <c r="J40" i="114" s="1"/>
  <c r="G63" i="114"/>
  <c r="F63" i="114" s="1"/>
  <c r="G69" i="114"/>
  <c r="F69" i="114" s="1"/>
  <c r="G45" i="114"/>
  <c r="G53" i="114"/>
  <c r="F53" i="114" s="1"/>
  <c r="G19" i="114"/>
  <c r="J19" i="114" s="1"/>
  <c r="G17" i="114"/>
  <c r="J17" i="114" s="1"/>
  <c r="J62" i="114"/>
  <c r="F62" i="114"/>
  <c r="J25" i="114"/>
  <c r="F25" i="114"/>
  <c r="J55" i="114"/>
  <c r="J76" i="114"/>
  <c r="F76" i="114"/>
  <c r="J70" i="114"/>
  <c r="F70" i="114"/>
  <c r="J54" i="114"/>
  <c r="F54" i="114"/>
  <c r="F43" i="114"/>
  <c r="J61" i="114"/>
  <c r="F61" i="114"/>
  <c r="J27" i="114"/>
  <c r="F27" i="114"/>
  <c r="J39" i="114"/>
  <c r="F39" i="114"/>
  <c r="F15" i="114"/>
  <c r="F16" i="114"/>
  <c r="J31" i="124" l="1"/>
  <c r="L31" i="124" s="1"/>
  <c r="F71" i="114"/>
  <c r="G46" i="114"/>
  <c r="F44" i="114"/>
  <c r="J65" i="114"/>
  <c r="F40" i="114"/>
  <c r="F24" i="114"/>
  <c r="F29" i="114" s="1"/>
  <c r="F64" i="114"/>
  <c r="J79" i="114"/>
  <c r="J28" i="114"/>
  <c r="J26" i="114"/>
  <c r="J78" i="114"/>
  <c r="J72" i="114"/>
  <c r="J69" i="114"/>
  <c r="G73" i="114"/>
  <c r="J68" i="114"/>
  <c r="G29" i="114"/>
  <c r="F45" i="114"/>
  <c r="J45" i="114"/>
  <c r="J53" i="114"/>
  <c r="J63" i="114"/>
  <c r="G66" i="114"/>
  <c r="G18" i="114"/>
  <c r="G20" i="114" s="1"/>
  <c r="F19" i="114"/>
  <c r="F17" i="114"/>
  <c r="F18" i="114" s="1"/>
  <c r="F66" i="114"/>
  <c r="F73" i="114"/>
  <c r="F46" i="114" l="1"/>
  <c r="J29" i="114"/>
  <c r="J66" i="114"/>
  <c r="J73" i="114"/>
  <c r="G74" i="114"/>
  <c r="G77" i="114" s="1"/>
  <c r="G81" i="114" s="1"/>
  <c r="F20" i="114"/>
  <c r="F74" i="114"/>
  <c r="F77" i="114" s="1"/>
  <c r="F81" i="114" s="1"/>
  <c r="J74" i="114" l="1"/>
  <c r="J77" i="114" s="1"/>
  <c r="J81" i="114" s="1"/>
  <c r="AK17" i="1"/>
  <c r="AH17" i="113" l="1"/>
  <c r="AR17" i="1"/>
  <c r="AK19" i="1"/>
  <c r="AT17" i="1" l="1"/>
  <c r="AY17" i="1" s="1"/>
  <c r="AR19" i="1"/>
  <c r="AK48" i="1"/>
  <c r="AH19" i="113"/>
  <c r="AT19" i="1" l="1"/>
  <c r="AY19" i="1" s="1"/>
  <c r="AH48" i="113"/>
  <c r="AK57" i="1"/>
  <c r="P42" i="116" l="1"/>
  <c r="M42" i="116"/>
  <c r="AK91" i="1"/>
  <c r="AK92" i="1" s="1"/>
  <c r="AH56" i="113"/>
  <c r="G43" i="99"/>
  <c r="D43" i="3"/>
  <c r="AH51" i="113"/>
  <c r="AR51" i="1"/>
  <c r="T42" i="116" l="1"/>
  <c r="AT51" i="1"/>
  <c r="J43" i="99"/>
  <c r="M43" i="99" s="1"/>
  <c r="O43" i="99"/>
  <c r="AK84" i="1"/>
  <c r="AY51" i="1" l="1"/>
  <c r="G51" i="50"/>
  <c r="P43" i="99" l="1"/>
  <c r="G52" i="114" l="1"/>
  <c r="F51" i="50"/>
  <c r="E52" i="114"/>
  <c r="F256" i="111"/>
  <c r="F230" i="111"/>
  <c r="F247" i="111"/>
  <c r="F246" i="111"/>
  <c r="F239" i="111"/>
  <c r="F236" i="111"/>
  <c r="F248" i="111"/>
  <c r="F241" i="111"/>
  <c r="F234" i="111"/>
  <c r="F240" i="111"/>
  <c r="F229" i="111"/>
  <c r="F242" i="111"/>
  <c r="F243" i="111"/>
  <c r="F244" i="111"/>
  <c r="F233" i="111"/>
  <c r="F231" i="111"/>
  <c r="F228" i="111"/>
  <c r="F245" i="111"/>
  <c r="F235" i="111"/>
  <c r="F232" i="111"/>
  <c r="F252" i="111"/>
  <c r="F254" i="111"/>
  <c r="F33" i="111" s="1"/>
  <c r="E33" i="111" s="1"/>
  <c r="H33" i="111" s="1"/>
  <c r="F251" i="111"/>
  <c r="F227" i="111"/>
  <c r="F249" i="111"/>
  <c r="F31" i="111" s="1"/>
  <c r="E31" i="1" s="1"/>
  <c r="F32" i="111" l="1"/>
  <c r="E32" i="1" s="1"/>
  <c r="AC32" i="1" s="1"/>
  <c r="AR32" i="1" s="1"/>
  <c r="AT32" i="1" s="1"/>
  <c r="AY32" i="1" s="1"/>
  <c r="F52" i="114"/>
  <c r="AC31" i="1"/>
  <c r="E31" i="113"/>
  <c r="E31" i="50"/>
  <c r="E31" i="111"/>
  <c r="E32" i="113" l="1"/>
  <c r="E35" i="1"/>
  <c r="E32" i="50"/>
  <c r="F35" i="111"/>
  <c r="F46" i="111" s="1"/>
  <c r="F48" i="111" s="1"/>
  <c r="F56" i="111" s="1"/>
  <c r="F81" i="111" s="1"/>
  <c r="E32" i="111"/>
  <c r="H32" i="111" s="1"/>
  <c r="G32" i="50"/>
  <c r="AC35" i="1"/>
  <c r="AR31" i="1"/>
  <c r="E35" i="111"/>
  <c r="H31" i="111"/>
  <c r="E46" i="1"/>
  <c r="E35" i="113"/>
  <c r="E35" i="50"/>
  <c r="E46" i="50" s="1"/>
  <c r="E48" i="50" s="1"/>
  <c r="E56" i="50" s="1"/>
  <c r="E81" i="50" s="1"/>
  <c r="F26" i="51" l="1"/>
  <c r="F28" i="51" s="1"/>
  <c r="H16" i="114"/>
  <c r="J16" i="114" s="1"/>
  <c r="F32" i="50"/>
  <c r="AT31" i="1"/>
  <c r="AY31" i="1" s="1"/>
  <c r="E46" i="113"/>
  <c r="E48" i="1"/>
  <c r="H35" i="111"/>
  <c r="E46" i="111"/>
  <c r="AR35" i="1"/>
  <c r="AC46" i="1"/>
  <c r="G31" i="50" l="1"/>
  <c r="E33" i="114"/>
  <c r="I32" i="50"/>
  <c r="G33" i="114"/>
  <c r="J33" i="114" s="1"/>
  <c r="AT35" i="1"/>
  <c r="AY35" i="1" s="1"/>
  <c r="E48" i="111"/>
  <c r="H46" i="111"/>
  <c r="AC48" i="1"/>
  <c r="AR46" i="1"/>
  <c r="E48" i="113"/>
  <c r="E57" i="1"/>
  <c r="I7" i="116" s="1"/>
  <c r="P7" i="116" l="1"/>
  <c r="M7" i="116"/>
  <c r="I32" i="116"/>
  <c r="F33" i="114"/>
  <c r="E32" i="114"/>
  <c r="E36" i="114" s="1"/>
  <c r="E47" i="114" s="1"/>
  <c r="E49" i="114" s="1"/>
  <c r="AT46" i="1"/>
  <c r="AY46" i="1" s="1"/>
  <c r="E83" i="1"/>
  <c r="D10" i="3"/>
  <c r="E56" i="113"/>
  <c r="E91" i="1"/>
  <c r="E92" i="1" s="1"/>
  <c r="G9" i="99"/>
  <c r="AR48" i="1"/>
  <c r="E56" i="111"/>
  <c r="H48" i="111"/>
  <c r="M32" i="116" l="1"/>
  <c r="M51" i="116" s="1"/>
  <c r="I51" i="116"/>
  <c r="I59" i="116" s="1"/>
  <c r="T7" i="116"/>
  <c r="T32" i="116" s="1"/>
  <c r="T51" i="116" s="1"/>
  <c r="P32" i="116"/>
  <c r="P51" i="116" s="1"/>
  <c r="P59" i="116" s="1"/>
  <c r="I31" i="50"/>
  <c r="G32" i="114"/>
  <c r="F32" i="114" s="1"/>
  <c r="F36" i="114" s="1"/>
  <c r="F47" i="114" s="1"/>
  <c r="F49" i="114" s="1"/>
  <c r="F57" i="114" s="1"/>
  <c r="G35" i="50"/>
  <c r="G46" i="50" s="1"/>
  <c r="G48" i="50" s="1"/>
  <c r="F31" i="50"/>
  <c r="F35" i="50" s="1"/>
  <c r="F46" i="50" s="1"/>
  <c r="F48" i="50" s="1"/>
  <c r="AT48" i="1"/>
  <c r="AY48" i="1" s="1"/>
  <c r="F10" i="3"/>
  <c r="E81" i="111"/>
  <c r="H56" i="111"/>
  <c r="O9" i="99"/>
  <c r="G13" i="99"/>
  <c r="J9" i="99"/>
  <c r="E84" i="1"/>
  <c r="M64" i="116" l="1"/>
  <c r="AK19" i="116" s="1"/>
  <c r="M59" i="116"/>
  <c r="V62" i="116"/>
  <c r="J32" i="114"/>
  <c r="G36" i="114"/>
  <c r="G47" i="114" s="1"/>
  <c r="G49" i="114" s="1"/>
  <c r="G57" i="114" s="1"/>
  <c r="G82" i="114" s="1"/>
  <c r="O13" i="99"/>
  <c r="J13" i="99"/>
  <c r="M9" i="99"/>
  <c r="P9" i="99" l="1"/>
  <c r="M13" i="99"/>
  <c r="H15" i="114" l="1"/>
  <c r="H18" i="114" s="1"/>
  <c r="H20" i="114" s="1"/>
  <c r="H14" i="50"/>
  <c r="H34" i="50" l="1"/>
  <c r="H35" i="114"/>
  <c r="H36" i="114" s="1"/>
  <c r="H42" i="50"/>
  <c r="H43" i="114"/>
  <c r="H46" i="114" s="1"/>
  <c r="I14" i="50"/>
  <c r="I17" i="50" s="1"/>
  <c r="I19" i="50" s="1"/>
  <c r="H17" i="50"/>
  <c r="H19" i="50" s="1"/>
  <c r="H37" i="50"/>
  <c r="I37" i="50" s="1"/>
  <c r="H38" i="114"/>
  <c r="I15" i="114" l="1"/>
  <c r="I43" i="114"/>
  <c r="I35" i="114"/>
  <c r="H45" i="50"/>
  <c r="I42" i="50"/>
  <c r="I45" i="50" s="1"/>
  <c r="H47" i="114"/>
  <c r="H49" i="114" s="1"/>
  <c r="I34" i="50"/>
  <c r="I35" i="50" s="1"/>
  <c r="H35" i="50"/>
  <c r="H46" i="50" l="1"/>
  <c r="H48" i="50" s="1"/>
  <c r="I46" i="50"/>
  <c r="I48" i="50" s="1"/>
  <c r="H51" i="50"/>
  <c r="I51" i="50" s="1"/>
  <c r="H52" i="114"/>
  <c r="H57" i="114" s="1"/>
  <c r="J43" i="114"/>
  <c r="J46" i="114" s="1"/>
  <c r="I46" i="114"/>
  <c r="I38" i="114"/>
  <c r="J38" i="114" s="1"/>
  <c r="I36" i="114"/>
  <c r="J35" i="114"/>
  <c r="J36" i="114" s="1"/>
  <c r="I18" i="114"/>
  <c r="I20" i="114" s="1"/>
  <c r="J15" i="114"/>
  <c r="J18" i="114" s="1"/>
  <c r="J20" i="114" s="1"/>
  <c r="I56" i="50" l="1"/>
  <c r="I81" i="50" s="1"/>
  <c r="J47" i="114"/>
  <c r="J49" i="114" s="1"/>
  <c r="I47" i="114"/>
  <c r="I49" i="114" s="1"/>
  <c r="I52" i="114"/>
  <c r="J52" i="114" s="1"/>
  <c r="H56" i="50"/>
  <c r="J57" i="114" l="1"/>
  <c r="J82" i="114" s="1"/>
  <c r="I57" i="114"/>
  <c r="U54" i="113"/>
  <c r="AC54" i="1"/>
  <c r="AR54" i="1" s="1"/>
  <c r="AT54" i="1" s="1"/>
  <c r="U57" i="1"/>
  <c r="U56" i="113" s="1"/>
  <c r="AY54" i="1" l="1"/>
  <c r="G54" i="50"/>
  <c r="G27" i="99"/>
  <c r="D26" i="3"/>
  <c r="D34" i="3" s="1"/>
  <c r="U91" i="1"/>
  <c r="U92" i="1" s="1"/>
  <c r="U84" i="1" s="1"/>
  <c r="AC57" i="1"/>
  <c r="AR57" i="1" l="1"/>
  <c r="AC91" i="1"/>
  <c r="AC92" i="1" s="1"/>
  <c r="AC84" i="1" s="1"/>
  <c r="F54" i="50"/>
  <c r="F56" i="50" s="1"/>
  <c r="E55" i="114"/>
  <c r="I54" i="50"/>
  <c r="G56" i="50"/>
  <c r="G81" i="50" s="1"/>
  <c r="D50" i="3"/>
  <c r="F34" i="3"/>
  <c r="J27" i="99"/>
  <c r="G34" i="99"/>
  <c r="O27" i="99"/>
  <c r="D54" i="3" l="1"/>
  <c r="F54" i="3" s="1"/>
  <c r="F50" i="3"/>
  <c r="F55" i="114"/>
  <c r="E57" i="114"/>
  <c r="E82" i="114" s="1"/>
  <c r="G52" i="99"/>
  <c r="O34" i="99"/>
  <c r="M27" i="99"/>
  <c r="J34" i="99"/>
  <c r="J52" i="99" s="1"/>
  <c r="AR91" i="1"/>
  <c r="AR92" i="1" s="1"/>
  <c r="AR84" i="1" s="1"/>
  <c r="AR86" i="1" s="1"/>
  <c r="AT57" i="1"/>
  <c r="M34" i="99" l="1"/>
  <c r="M52" i="99" s="1"/>
  <c r="N55" i="99" s="1"/>
  <c r="N57" i="99" s="1"/>
  <c r="N59" i="99" s="1"/>
  <c r="P27" i="99"/>
  <c r="P52" i="99" s="1"/>
  <c r="AY57" i="1"/>
  <c r="AT91" i="1"/>
  <c r="AX92" i="1" s="1"/>
  <c r="AT92" i="1" l="1"/>
  <c r="AY91" i="1"/>
  <c r="AY92" i="1" s="1"/>
  <c r="AY84" i="1" s="1"/>
  <c r="AY86" i="1" s="1"/>
  <c r="E18" i="51"/>
  <c r="E20" i="51" s="1"/>
  <c r="E24" i="51" s="1"/>
  <c r="AT84" i="1" l="1"/>
  <c r="AT86" i="1" s="1"/>
  <c r="AY93" i="1"/>
  <c r="AX84" i="1"/>
  <c r="F12" i="127" s="1"/>
  <c r="F14" i="127" s="1"/>
  <c r="F16" i="127" s="1"/>
  <c r="T62" i="116"/>
  <c r="E28" i="51"/>
  <c r="N118" i="99"/>
  <c r="Q118" i="99" s="1"/>
  <c r="E32" i="51"/>
  <c r="AC57" i="116" l="1"/>
  <c r="T57" i="116"/>
  <c r="T59" i="116" s="1"/>
  <c r="T64" i="116" l="1"/>
  <c r="F21" i="127"/>
</calcChain>
</file>

<file path=xl/comments1.xml><?xml version="1.0" encoding="utf-8"?>
<comments xmlns="http://schemas.openxmlformats.org/spreadsheetml/2006/main">
  <authors>
    <author>Joe Miller</author>
  </authors>
  <commentList>
    <comment ref="E30" authorId="0" shapeId="0">
      <text>
        <r>
          <rPr>
            <b/>
            <sz val="9"/>
            <color indexed="81"/>
            <rFont val="Tahoma"/>
            <family val="2"/>
          </rPr>
          <t>Joe Miller:</t>
        </r>
        <r>
          <rPr>
            <sz val="9"/>
            <color indexed="81"/>
            <rFont val="Tahoma"/>
            <family val="2"/>
          </rPr>
          <t xml:space="preserve">
From Ehrbar Exhibit</t>
        </r>
      </text>
    </comment>
  </commentList>
</comments>
</file>

<file path=xl/comments2.xml><?xml version="1.0" encoding="utf-8"?>
<comments xmlns="http://schemas.openxmlformats.org/spreadsheetml/2006/main">
  <authors>
    <author>Liz Andrews</author>
  </authors>
  <commentList>
    <comment ref="N51" authorId="0" shapeId="0">
      <text>
        <r>
          <rPr>
            <b/>
            <sz val="8"/>
            <color indexed="81"/>
            <rFont val="Tahoma"/>
            <family val="2"/>
          </rPr>
          <t>Liz Andrews:</t>
        </r>
        <r>
          <rPr>
            <sz val="8"/>
            <color indexed="81"/>
            <rFont val="Tahoma"/>
            <family val="2"/>
          </rPr>
          <t xml:space="preserve">
Per adjustment, adjusting current taxes for expiration of production tax credit, no formula in this column.</t>
        </r>
      </text>
    </comment>
    <comment ref="U51" authorId="0" shapeId="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N53" authorId="0" shapeId="0">
      <text>
        <r>
          <rPr>
            <b/>
            <sz val="8"/>
            <color indexed="81"/>
            <rFont val="Tahoma"/>
            <family val="2"/>
          </rPr>
          <t>Liz Andrews:</t>
        </r>
        <r>
          <rPr>
            <sz val="8"/>
            <color indexed="81"/>
            <rFont val="Tahoma"/>
            <family val="2"/>
          </rPr>
          <t xml:space="preserve">
Per adjustment, adjusting current taxes for expiration of production tax credit, no formula in this column.</t>
        </r>
      </text>
    </comment>
    <comment ref="U53" authorId="0" shapeId="0">
      <text>
        <r>
          <rPr>
            <b/>
            <sz val="9"/>
            <color indexed="81"/>
            <rFont val="Tahoma"/>
            <family val="2"/>
          </rPr>
          <t xml:space="preserve">annette brandon:
</t>
        </r>
        <r>
          <rPr>
            <sz val="9"/>
            <color indexed="81"/>
            <rFont val="Tahoma"/>
            <family val="2"/>
          </rPr>
          <t>use ERM worksheet to input</t>
        </r>
      </text>
    </comment>
    <comment ref="N54" authorId="0" shapeId="0">
      <text>
        <r>
          <rPr>
            <b/>
            <sz val="8"/>
            <color indexed="81"/>
            <rFont val="Tahoma"/>
            <family val="2"/>
          </rPr>
          <t>Liz Andrews:</t>
        </r>
        <r>
          <rPr>
            <sz val="8"/>
            <color indexed="81"/>
            <rFont val="Tahoma"/>
            <family val="2"/>
          </rPr>
          <t xml:space="preserve">
Per adjustment, adjusting current taxes for expiration of production tax credit, no formula in this column.</t>
        </r>
      </text>
    </comment>
  </commentList>
</comments>
</file>

<file path=xl/comments3.xml><?xml version="1.0" encoding="utf-8"?>
<comments xmlns="http://schemas.openxmlformats.org/spreadsheetml/2006/main">
  <authors>
    <author>rzs589</author>
  </authors>
  <commentList>
    <comment ref="E37" authorId="0" shapeId="0">
      <text>
        <r>
          <rPr>
            <b/>
            <sz val="8"/>
            <color indexed="81"/>
            <rFont val="Tahoma"/>
            <family val="2"/>
          </rPr>
          <t>4/18/06 Talked to Tara, she said that this should be directly assigned to Idaho instead of being allocated so made the change</t>
        </r>
        <r>
          <rPr>
            <sz val="8"/>
            <color indexed="81"/>
            <rFont val="Tahoma"/>
            <family val="2"/>
          </rPr>
          <t xml:space="preserve">
</t>
        </r>
      </text>
    </comment>
  </commentList>
</comments>
</file>

<file path=xl/comments4.xml><?xml version="1.0" encoding="utf-8"?>
<comments xmlns="http://schemas.openxmlformats.org/spreadsheetml/2006/main">
  <authors>
    <author>Avista Corp Employee</author>
    <author>rzs589</author>
    <author>A satisfied Microsoft Office user</author>
  </authors>
  <commentList>
    <comment ref="B85" authorId="0" shapeId="0">
      <text>
        <r>
          <rPr>
            <b/>
            <sz val="10"/>
            <color indexed="81"/>
            <rFont val="Tahoma"/>
            <family val="2"/>
          </rPr>
          <t>revenue from Montana Noxon customers is included in Idaho.  Is reversed out for Commission Basis reports</t>
        </r>
      </text>
    </comment>
    <comment ref="M85" authorId="0" shapeId="0">
      <text>
        <r>
          <rPr>
            <b/>
            <sz val="10"/>
            <color indexed="81"/>
            <rFont val="Tahoma"/>
            <family val="2"/>
          </rPr>
          <t>revenue from Montana Noxon customers is included in Idaho.  Is reversed out for Commission Basis reports</t>
        </r>
      </text>
    </comment>
    <comment ref="B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101"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M429" authorId="1" shapeId="0">
      <text>
        <r>
          <rPr>
            <b/>
            <sz val="8"/>
            <color indexed="81"/>
            <rFont val="Tahoma"/>
            <family val="2"/>
          </rPr>
          <t>2/6/04 Account 182.31 is fully offset by 283.17</t>
        </r>
        <r>
          <rPr>
            <sz val="8"/>
            <color indexed="81"/>
            <rFont val="Tahoma"/>
            <family val="2"/>
          </rPr>
          <t xml:space="preserve">
</t>
        </r>
      </text>
    </comment>
    <comment ref="B430" authorId="1" shapeId="0">
      <text>
        <r>
          <rPr>
            <b/>
            <sz val="8"/>
            <color indexed="81"/>
            <rFont val="Tahoma"/>
            <family val="2"/>
          </rPr>
          <t>2/6/04 Account 182.31 is fully offset by 283.17</t>
        </r>
        <r>
          <rPr>
            <sz val="8"/>
            <color indexed="81"/>
            <rFont val="Tahoma"/>
            <family val="2"/>
          </rPr>
          <t xml:space="preserve">
</t>
        </r>
      </text>
    </comment>
    <comment ref="A451" authorId="2" shapeId="0">
      <text>
        <r>
          <rPr>
            <sz val="9"/>
            <color indexed="81"/>
            <rFont val="Tahoma"/>
            <family val="2"/>
          </rPr>
          <t>Acct 0108.02  System amount is from input matrix.  WA and ID amounts are hard coded, and do not change.</t>
        </r>
      </text>
    </comment>
    <comment ref="M452" authorId="1" shapeId="0">
      <text>
        <r>
          <rPr>
            <sz val="8"/>
            <color indexed="81"/>
            <rFont val="Tahoma"/>
            <family val="2"/>
          </rPr>
          <t xml:space="preserve">Write-off recorded 9/04 as the results of the Idaho General Rate Case
</t>
        </r>
      </text>
    </comment>
    <comment ref="B453" authorId="1" shapeId="0">
      <text>
        <r>
          <rPr>
            <sz val="8"/>
            <color indexed="81"/>
            <rFont val="Tahoma"/>
            <family val="2"/>
          </rPr>
          <t xml:space="preserve">Write-off recorded 9/04 as the results of the Idaho General Rate Case
</t>
        </r>
      </text>
    </comment>
    <comment ref="M453" authorId="1" shapeId="0">
      <text>
        <r>
          <rPr>
            <sz val="8"/>
            <color indexed="81"/>
            <rFont val="Tahoma"/>
            <family val="2"/>
          </rPr>
          <t xml:space="preserve">Write-off recorded 9/04 as the results of the Idaho General Rate Case
</t>
        </r>
      </text>
    </comment>
    <comment ref="B454" authorId="1" shapeId="0">
      <text>
        <r>
          <rPr>
            <sz val="8"/>
            <color indexed="81"/>
            <rFont val="Tahoma"/>
            <family val="2"/>
          </rPr>
          <t xml:space="preserve">Write-off recorded 9/04 as the results of the Idaho General Rate Case
</t>
        </r>
      </text>
    </comment>
    <comment ref="M454" authorId="1" shapeId="0">
      <text>
        <r>
          <rPr>
            <sz val="8"/>
            <color indexed="81"/>
            <rFont val="Tahoma"/>
            <family val="2"/>
          </rPr>
          <t xml:space="preserve">Write-off recorded 9/04 as the results of the Idaho General Rate Case
</t>
        </r>
      </text>
    </comment>
    <comment ref="B455" authorId="1" shapeId="0">
      <text>
        <r>
          <rPr>
            <sz val="8"/>
            <color indexed="81"/>
            <rFont val="Tahoma"/>
            <family val="2"/>
          </rPr>
          <t xml:space="preserve">Write-off recorded 9/04 as the results of the Idaho General Rate Case
</t>
        </r>
      </text>
    </comment>
  </commentList>
</comments>
</file>

<file path=xl/comments5.xml><?xml version="1.0" encoding="utf-8"?>
<comments xmlns="http://schemas.openxmlformats.org/spreadsheetml/2006/main">
  <authors>
    <author>rzk7kq</author>
  </authors>
  <commentList>
    <comment ref="B64"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30"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6.xml><?xml version="1.0" encoding="utf-8"?>
<comments xmlns="http://schemas.openxmlformats.org/spreadsheetml/2006/main">
  <authors>
    <author>gzhkw6</author>
  </authors>
  <commentList>
    <comment ref="K10" authorId="0" shapeId="0">
      <text>
        <r>
          <rPr>
            <b/>
            <sz val="8"/>
            <color indexed="81"/>
            <rFont val="Tahoma"/>
            <family val="2"/>
          </rPr>
          <t>gzhkw6:</t>
        </r>
        <r>
          <rPr>
            <sz val="8"/>
            <color indexed="81"/>
            <rFont val="Tahoma"/>
            <family val="2"/>
          </rPr>
          <t xml:space="preserve">
Yellow Highlight indicates requires additional functionalization of some accounts in ROO Input</t>
        </r>
      </text>
    </comment>
  </commentList>
</comments>
</file>

<file path=xl/sharedStrings.xml><?xml version="1.0" encoding="utf-8"?>
<sst xmlns="http://schemas.openxmlformats.org/spreadsheetml/2006/main" count="1943" uniqueCount="1130">
  <si>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</si>
  <si>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</si>
  <si>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</si>
  <si>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</si>
  <si>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</si>
  <si>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</si>
  <si>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</si>
  <si>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</si>
  <si>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</si>
  <si>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</si>
  <si>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</si>
  <si>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</si>
  <si>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</si>
  <si>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</si>
  <si>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</si>
  <si>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</si>
  <si>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</si>
  <si>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</si>
  <si>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</si>
  <si>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</si>
  <si>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</si>
  <si>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</si>
  <si>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</si>
  <si>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</si>
  <si>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</si>
  <si>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</si>
  <si>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</si>
  <si>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</si>
  <si>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</si>
  <si>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</si>
  <si>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</si>
  <si>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</si>
  <si>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</si>
  <si>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</si>
  <si>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</si>
  <si>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</si>
  <si>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</si>
  <si>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</si>
  <si>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</si>
  <si>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</si>
  <si>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</si>
  <si>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</si>
  <si>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</si>
  <si>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</si>
  <si>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</si>
  <si>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</si>
  <si>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</si>
  <si>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</si>
  <si>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</si>
  <si>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</si>
  <si>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</si>
  <si>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</si>
  <si>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</si>
  <si>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</si>
  <si>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</si>
  <si>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</si>
  <si>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</si>
  <si>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</si>
  <si>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</si>
  <si>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</si>
  <si>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</si>
  <si>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</si>
  <si>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</si>
  <si>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</si>
  <si>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</si>
  <si>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</si>
  <si>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</si>
  <si>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</si>
  <si>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</si>
  <si>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</si>
  <si>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</si>
  <si>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</si>
  <si>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</si>
  <si>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</si>
  <si>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</si>
  <si>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</si>
  <si>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</si>
  <si>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</si>
  <si>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</si>
  <si>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</si>
  <si>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</si>
  <si>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</si>
  <si>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</si>
  <si>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</si>
  <si>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</si>
  <si>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</si>
  <si>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</si>
  <si>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</si>
  <si>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</si>
  <si>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</si>
  <si>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</si>
  <si>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</si>
  <si>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</si>
  <si>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</si>
  <si>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</si>
  <si>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</si>
  <si>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</si>
  <si>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</si>
  <si>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</si>
  <si>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</si>
  <si>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</si>
  <si>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</si>
  <si>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</si>
  <si>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</si>
  <si>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</si>
  <si>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</si>
  <si>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</si>
  <si>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</si>
  <si>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</si>
  <si>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</si>
  <si>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</si>
  <si>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</si>
  <si>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</si>
  <si>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</si>
  <si>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</si>
  <si>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</si>
  <si>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</si>
  <si>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</si>
  <si>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</si>
  <si>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</si>
  <si>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</si>
  <si>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</si>
  <si>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</si>
  <si>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</si>
  <si>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</si>
  <si>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</si>
  <si>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</si>
  <si>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</si>
  <si>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</si>
  <si>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</si>
  <si>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</si>
  <si>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</si>
  <si>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</si>
  <si>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</si>
  <si>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Pref Stock</t>
  </si>
  <si>
    <t>Pro Forma Net Operating Income</t>
  </si>
  <si>
    <t>Net Operating Income Deficiency</t>
  </si>
  <si>
    <t>Total</t>
  </si>
  <si>
    <t>Conversion Factor</t>
  </si>
  <si>
    <t>Revenue Requirement</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</si>
  <si>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</si>
  <si>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</si>
  <si>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</si>
  <si>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</si>
  <si>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</si>
  <si>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</si>
  <si>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</si>
  <si>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</si>
  <si>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</si>
  <si>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</si>
  <si>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</si>
  <si>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</si>
  <si>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</si>
  <si>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</si>
  <si>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</si>
  <si>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</si>
  <si>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</si>
  <si>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</si>
  <si>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</si>
  <si>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</si>
  <si>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</si>
  <si>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</si>
  <si>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</si>
  <si>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</si>
  <si>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</si>
  <si>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</si>
  <si>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</si>
  <si>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</si>
  <si>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</si>
  <si>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</si>
  <si>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</si>
  <si>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</si>
  <si>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</si>
  <si>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</si>
  <si>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</si>
  <si>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Revenue Conversion Factor</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</si>
  <si>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</si>
  <si>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</si>
  <si>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</si>
  <si>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</si>
  <si>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</si>
  <si>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</si>
  <si>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</si>
  <si>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</si>
  <si>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</si>
  <si>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Normalization</t>
  </si>
  <si>
    <t>Restated Rate Base</t>
  </si>
  <si>
    <t xml:space="preserve">    Pro Forma Total</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</si>
  <si>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</si>
  <si>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</si>
  <si>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</si>
  <si>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</si>
  <si>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</si>
  <si>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</si>
  <si>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</si>
  <si>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</si>
  <si>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</si>
  <si>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</si>
  <si>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</si>
  <si>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</si>
  <si>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</si>
  <si>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</si>
  <si>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</si>
  <si>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</si>
  <si>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</si>
  <si>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</si>
  <si>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</si>
  <si>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</si>
  <si>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</si>
  <si>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</si>
  <si>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</si>
  <si>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</si>
  <si>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</si>
  <si>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</si>
  <si>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</si>
  <si>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</si>
  <si>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</si>
  <si>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</si>
  <si>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</si>
  <si>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</si>
  <si>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</si>
  <si>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</si>
  <si>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</si>
  <si>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</si>
  <si>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Revenue</t>
  </si>
  <si>
    <t>Labor</t>
  </si>
  <si>
    <t>Exec</t>
  </si>
  <si>
    <t>Net</t>
  </si>
  <si>
    <t>Excise</t>
  </si>
  <si>
    <t>updated for 2006</t>
  </si>
  <si>
    <t>Debt Cost</t>
  </si>
  <si>
    <t>Tax Effect</t>
  </si>
  <si>
    <t>(Rate Base x Debt Cost x -35%)</t>
  </si>
  <si>
    <t>Net Expense</t>
  </si>
  <si>
    <t>(Expense - Revenue)</t>
  </si>
  <si>
    <t>(Net Expense x -.35%)</t>
  </si>
  <si>
    <t>Total Prod/Trans</t>
  </si>
  <si>
    <t>Conversion Factor (Excl. Rev. Rel. Exp.)</t>
  </si>
  <si>
    <t>1 - Tax Rate</t>
  </si>
  <si>
    <t>Prod/Trans</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</si>
  <si>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</si>
  <si>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</si>
  <si>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</si>
  <si>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</si>
  <si>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</si>
  <si>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</si>
  <si>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</si>
  <si>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</si>
  <si>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</si>
  <si>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</si>
  <si>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</si>
  <si>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</si>
  <si>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</si>
  <si>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</si>
  <si>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AVERAGE PRODUCTION AND TRANSMISSION COST</t>
  </si>
  <si>
    <t>WASHINGTON ELECTRIC</t>
  </si>
  <si>
    <t>($000's)</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</si>
  <si>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</si>
  <si>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</si>
  <si>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</si>
  <si>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</si>
  <si>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</si>
  <si>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</si>
  <si>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</si>
  <si>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</si>
  <si>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</si>
  <si>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</si>
  <si>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Plant</t>
  </si>
  <si>
    <t>Acc Depreciation</t>
  </si>
  <si>
    <t>Deferred Tax</t>
  </si>
  <si>
    <t>Per Results Report</t>
  </si>
  <si>
    <t>Calculation of Retail Revenue Credit Rate</t>
  </si>
  <si>
    <t>Check Net</t>
  </si>
  <si>
    <t>Theresa</t>
  </si>
  <si>
    <t>Done</t>
  </si>
  <si>
    <t>Not Done</t>
  </si>
  <si>
    <t>Ron</t>
  </si>
  <si>
    <t>Jeanne</t>
  </si>
  <si>
    <t>Tara/Joe</t>
  </si>
  <si>
    <t>Liz</t>
  </si>
  <si>
    <t>Jen</t>
  </si>
  <si>
    <t xml:space="preserve">Karen </t>
  </si>
  <si>
    <t>(No deferrals in 2009 except Lehman Bros)</t>
  </si>
  <si>
    <t>Amortized ITC - Noxon</t>
  </si>
  <si>
    <t>Jen/Karen</t>
  </si>
  <si>
    <t xml:space="preserve">WORKING CAPITAL </t>
  </si>
  <si>
    <t>Working</t>
  </si>
  <si>
    <t>Test Year WA Normalized Retail Load MWh</t>
  </si>
  <si>
    <t xml:space="preserve">Tara </t>
  </si>
  <si>
    <t xml:space="preserve">Gains / </t>
  </si>
  <si>
    <t>Losses</t>
  </si>
  <si>
    <t>Production / Transmission</t>
  </si>
  <si>
    <t>Cost of Capital</t>
  </si>
  <si>
    <t>Proposed Production and Transmission Revenue Requirement</t>
  </si>
  <si>
    <t xml:space="preserve">Debits and </t>
  </si>
  <si>
    <t>Credits</t>
  </si>
  <si>
    <t xml:space="preserve">Results of </t>
  </si>
  <si>
    <t xml:space="preserve">Operations </t>
  </si>
  <si>
    <t>Debt Interest</t>
  </si>
  <si>
    <t>ROO</t>
  </si>
  <si>
    <t xml:space="preserve">Jen </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</si>
  <si>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</si>
  <si>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</si>
  <si>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</si>
  <si>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</si>
  <si>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</si>
  <si>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</si>
  <si>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</si>
  <si>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</si>
  <si>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</si>
  <si>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</si>
  <si>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</si>
  <si>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</si>
  <si>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</si>
  <si>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</si>
  <si>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</si>
  <si>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</si>
  <si>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</si>
  <si>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</si>
  <si>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</si>
  <si>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</si>
  <si>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</si>
  <si>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</si>
  <si>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</si>
  <si>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</si>
  <si>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</si>
  <si>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</si>
  <si>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</si>
  <si>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</si>
  <si>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</si>
  <si>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</si>
  <si>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</si>
  <si>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</si>
  <si>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</si>
  <si>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</si>
  <si>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</si>
  <si>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</si>
  <si>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</si>
  <si>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</si>
  <si>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</si>
  <si>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</si>
  <si>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</si>
  <si>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</si>
  <si>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</si>
  <si>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</si>
  <si>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</si>
  <si>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</si>
  <si>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</si>
  <si>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</si>
  <si>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</si>
  <si>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</si>
  <si>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</si>
  <si>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</si>
  <si>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</si>
  <si>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</si>
  <si>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</si>
  <si>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</si>
  <si>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</si>
  <si>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</si>
  <si>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</si>
  <si>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</si>
  <si>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</si>
  <si>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</si>
  <si>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</si>
  <si>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</si>
  <si>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</si>
  <si>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</si>
  <si>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</si>
  <si>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</si>
  <si>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</si>
  <si>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</si>
  <si>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</si>
  <si>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</si>
  <si>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</si>
  <si>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</si>
  <si>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</si>
  <si>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</si>
  <si>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</si>
  <si>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</si>
  <si>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</si>
  <si>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</si>
  <si>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</si>
  <si>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</si>
  <si>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</si>
  <si>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</si>
  <si>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</si>
  <si>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</si>
  <si>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</si>
  <si>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</si>
  <si>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</si>
  <si>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</si>
  <si>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</si>
  <si>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</si>
  <si>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</si>
  <si>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</si>
  <si>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</si>
  <si>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</si>
  <si>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</si>
  <si>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</si>
  <si>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</si>
  <si>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</si>
  <si>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</si>
  <si>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</si>
  <si>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</si>
  <si>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</si>
  <si>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</si>
  <si>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</si>
  <si>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</si>
  <si>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</si>
  <si>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</si>
  <si>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</si>
  <si>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</si>
  <si>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</si>
  <si>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</si>
  <si>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</si>
  <si>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</si>
  <si>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</si>
  <si>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</si>
  <si>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</si>
  <si>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</si>
  <si>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</si>
  <si>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</si>
  <si>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</si>
  <si>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</si>
  <si>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</si>
  <si>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</si>
  <si>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</si>
  <si>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</si>
  <si>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</si>
  <si>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</si>
  <si>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</si>
  <si>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</si>
  <si>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</si>
  <si>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</si>
  <si>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</si>
  <si>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</si>
  <si>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</si>
  <si>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</si>
  <si>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</si>
  <si>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</si>
  <si>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</si>
  <si>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</si>
  <si>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</si>
  <si>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</si>
  <si>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</si>
  <si>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</si>
  <si>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</si>
  <si>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</si>
  <si>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</si>
  <si>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</si>
  <si>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</si>
  <si>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</si>
  <si>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</si>
  <si>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</si>
  <si>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</si>
  <si>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</si>
  <si>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</si>
  <si>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</si>
  <si>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</si>
  <si>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</si>
  <si>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</si>
  <si>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</si>
  <si>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</si>
  <si>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</si>
  <si>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</si>
  <si>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</si>
  <si>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</si>
  <si>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</si>
  <si>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</si>
  <si>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</si>
  <si>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</si>
  <si>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</si>
  <si>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</si>
  <si>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</si>
  <si>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</si>
  <si>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</si>
  <si>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</si>
  <si>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</si>
  <si>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</si>
  <si>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</si>
  <si>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</si>
  <si>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</si>
  <si>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</si>
  <si>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</si>
  <si>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</si>
  <si>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</si>
  <si>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</si>
  <si>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</si>
  <si>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</si>
  <si>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</si>
  <si>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</si>
  <si>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</si>
  <si>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</si>
  <si>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</si>
  <si>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</si>
  <si>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</si>
  <si>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</si>
  <si>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</si>
  <si>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</si>
  <si>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</si>
  <si>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</si>
  <si>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</si>
  <si>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</si>
  <si>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</si>
  <si>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</si>
  <si>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</si>
  <si>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</si>
  <si>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</si>
  <si>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</si>
  <si>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</si>
  <si>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</si>
  <si>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</si>
  <si>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</si>
  <si>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</si>
  <si>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</si>
  <si>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</si>
  <si>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</si>
  <si>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</si>
  <si>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</si>
  <si>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</si>
  <si>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</si>
  <si>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</si>
  <si>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</si>
  <si>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</si>
  <si>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</si>
  <si>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</si>
  <si>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</si>
  <si>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</si>
  <si>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</si>
  <si>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</si>
  <si>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</si>
  <si>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</si>
  <si>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</si>
  <si>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</si>
  <si>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</si>
  <si>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</si>
  <si>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</si>
  <si>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</si>
  <si>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</si>
  <si>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</si>
  <si>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</si>
  <si>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</si>
  <si>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</si>
  <si>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</si>
  <si>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</si>
  <si>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</si>
  <si>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</si>
  <si>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</si>
  <si>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</si>
  <si>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</si>
  <si>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</si>
  <si>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</si>
  <si>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</si>
  <si>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Gain on Sale of General Office Bldg  (253850)</t>
  </si>
  <si>
    <t>ADFIT - Gain on Sale of General Office Bldg  (190850)</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</si>
  <si>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</si>
  <si>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</si>
  <si>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</si>
  <si>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</si>
  <si>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</si>
  <si>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</si>
  <si>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</si>
  <si>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</si>
  <si>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</si>
  <si>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</si>
  <si>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</si>
  <si>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</si>
  <si>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</si>
  <si>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</si>
  <si>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</si>
  <si>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</si>
  <si>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</si>
  <si>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</si>
  <si>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</si>
  <si>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</si>
  <si>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</si>
  <si>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</si>
  <si>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</si>
  <si>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</si>
  <si>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</si>
  <si>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</si>
  <si>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</si>
  <si>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</si>
  <si>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</si>
  <si>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</si>
  <si>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</si>
  <si>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</si>
  <si>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</si>
  <si>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</si>
  <si>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</si>
  <si>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</si>
  <si>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</si>
  <si>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</si>
  <si>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</si>
  <si>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</si>
  <si>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</si>
  <si>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</si>
  <si>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</si>
  <si>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</si>
  <si>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</si>
  <si>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</si>
  <si>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Deferred D/C</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</si>
  <si>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</si>
  <si>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</si>
  <si>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</si>
  <si>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</si>
  <si>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</si>
  <si>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</si>
  <si>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</si>
  <si>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</si>
  <si>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</si>
  <si>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</si>
  <si>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</si>
  <si>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</si>
  <si>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</si>
  <si>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</si>
  <si>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</si>
  <si>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</si>
  <si>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</si>
  <si>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</si>
  <si>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</si>
  <si>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E-PPS</t>
  </si>
  <si>
    <t>E-PTR</t>
  </si>
  <si>
    <t>E-PLN</t>
  </si>
  <si>
    <t>E-PLE</t>
  </si>
  <si>
    <t>E-PEB</t>
  </si>
  <si>
    <t xml:space="preserve">Current Accrual </t>
  </si>
  <si>
    <t>Reviewed</t>
  </si>
  <si>
    <t>error?</t>
  </si>
  <si>
    <t>Other</t>
  </si>
  <si>
    <t>CF WA Elec</t>
  </si>
  <si>
    <t xml:space="preserve">All other </t>
  </si>
  <si>
    <t>(Pro Forma Restate Debt)</t>
  </si>
  <si>
    <t xml:space="preserve">O&amp;M </t>
  </si>
  <si>
    <t>R-Ttl</t>
  </si>
  <si>
    <t>Karen</t>
  </si>
  <si>
    <t>Total Debt</t>
  </si>
  <si>
    <t>FIT/DFIT/</t>
  </si>
  <si>
    <t>`</t>
  </si>
  <si>
    <t xml:space="preserve">Prod/Trans Rev Requirement per kWh </t>
  </si>
  <si>
    <t>Cost of Service Energy Classified Production/Transmission Costs</t>
  </si>
  <si>
    <t>Cost of Service Total Production/Transmission Costs</t>
  </si>
  <si>
    <t>Retail Revenue Credit Rate per kWh (Line 11 * Line 12 / Line 13)</t>
  </si>
  <si>
    <t xml:space="preserve">   Test Year WA Normalized Retail Load MWh</t>
  </si>
  <si>
    <t xml:space="preserve">   Proposed Retail Revenue Credit Rate per kWh</t>
  </si>
  <si>
    <t xml:space="preserve">   Full Prod/Trans Rev Requirement per kWh</t>
  </si>
  <si>
    <t>Totals</t>
  </si>
  <si>
    <t>System Load Factor</t>
  </si>
  <si>
    <t>PF-Ttl</t>
  </si>
  <si>
    <t>OPEN</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</si>
  <si>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</si>
  <si>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</si>
  <si>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</si>
  <si>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</si>
  <si>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</si>
  <si>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</si>
  <si>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</si>
  <si>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</si>
  <si>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</si>
  <si>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</si>
  <si>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</si>
  <si>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</si>
  <si>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</si>
  <si>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</si>
  <si>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</si>
  <si>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</si>
  <si>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</si>
  <si>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</si>
  <si>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</si>
  <si>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</si>
  <si>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</si>
  <si>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</si>
  <si>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</si>
  <si>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Sub-Total</t>
  </si>
  <si>
    <t>Tara</t>
  </si>
  <si>
    <t>Expenses</t>
  </si>
  <si>
    <t>Incentive</t>
  </si>
  <si>
    <t>RETAIL REVENUE CREDIT 2015 ERM ADJUSTMENT</t>
  </si>
  <si>
    <t xml:space="preserve">   2015 Forecasted WA Retail Load MWh</t>
  </si>
  <si>
    <t xml:space="preserve">   2015 Estimated Load in Excess of Test Year Load</t>
  </si>
  <si>
    <t xml:space="preserve">   Estimated Proposed Retail Revenue Credit  in 2015 ERM ($000s)</t>
  </si>
  <si>
    <t xml:space="preserve">   Estimated Full Retail Revenue Credit  in 2015 ERM ($000s)</t>
  </si>
  <si>
    <t xml:space="preserve">   Cost of Full vs Proposed Retail Revenue Credit in 2015 ERM ($000s)</t>
  </si>
  <si>
    <t>(1)</t>
  </si>
  <si>
    <t xml:space="preserve">REVENUE REQUIREMENT </t>
  </si>
  <si>
    <t xml:space="preserve">Note - correction revises RRC from that filed, however, waiting on </t>
  </si>
  <si>
    <t xml:space="preserve">notification due to updates in gas costs which will probably occur </t>
  </si>
  <si>
    <t>during the process of this proceeding, also impacting the RRC.</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</si>
  <si>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</si>
  <si>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</si>
  <si>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</si>
  <si>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</si>
  <si>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</si>
  <si>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</si>
  <si>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</si>
  <si>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</si>
  <si>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</si>
  <si>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</si>
  <si>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</si>
  <si>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</si>
  <si>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</si>
  <si>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</si>
  <si>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</si>
  <si>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</si>
  <si>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</si>
  <si>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</si>
  <si>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</si>
  <si>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</si>
  <si>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</si>
  <si>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</si>
  <si>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</si>
  <si>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PRO FORMA ADJUSTMENTS</t>
  </si>
  <si>
    <t>Capital Adds</t>
  </si>
  <si>
    <t xml:space="preserve"> Offsets</t>
  </si>
  <si>
    <t>E-PRA</t>
  </si>
  <si>
    <t>E-PCAP16</t>
  </si>
  <si>
    <t>E-POFF</t>
  </si>
  <si>
    <t>Restating Adjustments</t>
  </si>
  <si>
    <t>Non-Utility</t>
  </si>
  <si>
    <t>2018</t>
  </si>
  <si>
    <t>Misc. Restating</t>
  </si>
  <si>
    <t>Normalize</t>
  </si>
  <si>
    <t>CS2/Colstrip</t>
  </si>
  <si>
    <t>E-CI</t>
  </si>
  <si>
    <t>Joe</t>
  </si>
  <si>
    <t>x</t>
  </si>
  <si>
    <t>Added</t>
  </si>
  <si>
    <t>WITH 2017 PROPOSED RATES</t>
  </si>
  <si>
    <t>2018 Proposed</t>
  </si>
  <si>
    <t>g</t>
  </si>
  <si>
    <t xml:space="preserve">Revenue Requirement </t>
  </si>
  <si>
    <t>Total General Business Revenues</t>
  </si>
  <si>
    <r>
      <t xml:space="preserve">Total </t>
    </r>
    <r>
      <rPr>
        <u/>
        <sz val="10"/>
        <rFont val="Times New Roman"/>
        <family val="1"/>
      </rPr>
      <t>Billed</t>
    </r>
    <r>
      <rPr>
        <sz val="10"/>
        <rFont val="Times New Roman"/>
        <family val="1"/>
      </rPr>
      <t xml:space="preserve"> General Business Revenues</t>
    </r>
  </si>
  <si>
    <t>Adjusted</t>
  </si>
  <si>
    <t>Total (1)</t>
  </si>
  <si>
    <t>Impact of ROE reduced to x%/ROR/COD</t>
  </si>
  <si>
    <t xml:space="preserve">WASHINGTON ELECTRIC RESULTS - PRO FORMA </t>
  </si>
  <si>
    <t>TWELVE MONTHS ENDED DECEMBER 31, 2016</t>
  </si>
  <si>
    <t>2019</t>
  </si>
  <si>
    <t>Major Maint</t>
  </si>
  <si>
    <t xml:space="preserve">Authorized </t>
  </si>
  <si>
    <t>IS/IT</t>
  </si>
  <si>
    <t>2019 Proposed</t>
  </si>
  <si>
    <t>WITH 2019 PROPOSED RATES</t>
  </si>
  <si>
    <t>E-APS</t>
  </si>
  <si>
    <t>Joel</t>
  </si>
  <si>
    <t>Need W/ps</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</si>
  <si>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</si>
  <si>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</si>
  <si>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</si>
  <si>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</si>
  <si>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</si>
  <si>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</si>
  <si>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</si>
  <si>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</si>
  <si>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</si>
  <si>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 xml:space="preserve">Non-Energy </t>
  </si>
  <si>
    <t>Power Supply</t>
  </si>
  <si>
    <t>&amp; Transm Revs</t>
  </si>
  <si>
    <t>Incentives</t>
  </si>
  <si>
    <t xml:space="preserve">Director </t>
  </si>
  <si>
    <t>Fees Exp</t>
  </si>
  <si>
    <t>E-PDF</t>
  </si>
  <si>
    <t>(Authorized P.S. @ Authorized P/T ratio)</t>
  </si>
  <si>
    <t>PF Normalize</t>
  </si>
  <si>
    <t>E-PNM</t>
  </si>
  <si>
    <t>ERM Power Supply Adj</t>
  </si>
  <si>
    <t>Ttl Pro Forma w/ PS</t>
  </si>
  <si>
    <t>PF-SubTtl</t>
  </si>
  <si>
    <t xml:space="preserve">     Pro Forma Study (Step 1 increase excluding ERM net change)</t>
  </si>
  <si>
    <t>Total Pro Forma Study: Step 1 increases &amp; Change above current P.S.:</t>
  </si>
  <si>
    <t>Base Rate Change</t>
  </si>
  <si>
    <t>Non-Util / Non-</t>
  </si>
  <si>
    <t>Recurring Expenses</t>
  </si>
  <si>
    <t xml:space="preserve">Restating </t>
  </si>
  <si>
    <t>2017 Threshhold</t>
  </si>
  <si>
    <t xml:space="preserve">Including PS </t>
  </si>
  <si>
    <t>Pro Forma Non-Energy</t>
  </si>
  <si>
    <t>NON ERM</t>
  </si>
  <si>
    <t>Underground</t>
  </si>
  <si>
    <t>Equip Inspection</t>
  </si>
  <si>
    <t>E-PUEI</t>
  </si>
  <si>
    <t>Trans/Power Sup</t>
  </si>
  <si>
    <t>Non-ERM Rev/Exp</t>
  </si>
  <si>
    <t>ACTUAL</t>
  </si>
  <si>
    <t>RESULTS</t>
  </si>
  <si>
    <t>SEE EOP Study for Filed case</t>
  </si>
  <si>
    <t>E-PI</t>
  </si>
  <si>
    <t>Per Traditional Pro Forma Study</t>
  </si>
  <si>
    <t>TRADITIONAL PRO FORMA STUDY</t>
  </si>
  <si>
    <t>CALCULATION OF TRADITIONAL PRO FORMA STUDY REVENUE REQUIREMENT</t>
  </si>
  <si>
    <t>TRADITIONAL PRO FORMA COST OF CAPITAL</t>
  </si>
  <si>
    <t xml:space="preserve"> Capital Structure</t>
  </si>
  <si>
    <t>Electric Revenue Requirement Summary ($000)</t>
  </si>
  <si>
    <t>Company Filing (Rev. Req. at ICNU ROR)</t>
  </si>
  <si>
    <t>Rev. Req. Parameters</t>
  </si>
  <si>
    <t xml:space="preserve">Rev. Req. </t>
  </si>
  <si>
    <t>Pre-Tax</t>
  </si>
  <si>
    <t xml:space="preserve">Adj. </t>
  </si>
  <si>
    <t xml:space="preserve">Net Oper. </t>
  </si>
  <si>
    <t xml:space="preserve">Def. / </t>
  </si>
  <si>
    <t>Revenue Conversion</t>
  </si>
  <si>
    <t xml:space="preserve">No. </t>
  </si>
  <si>
    <t>Income</t>
  </si>
  <si>
    <t>(Suf.)</t>
  </si>
  <si>
    <t>Tax Rate</t>
  </si>
  <si>
    <t>Restating Adjustments:</t>
  </si>
  <si>
    <t xml:space="preserve">Filed Return </t>
  </si>
  <si>
    <t>Filed Rate Base</t>
  </si>
  <si>
    <t>Cost of Capital Impact</t>
  </si>
  <si>
    <t>Restated Results</t>
  </si>
  <si>
    <t>Pro Forma Results (Traditional Rev. Req.)</t>
  </si>
  <si>
    <t>Filed Deficiency:</t>
  </si>
  <si>
    <t>ROR Impact:</t>
  </si>
  <si>
    <t>Calculated:</t>
  </si>
  <si>
    <t>Contested</t>
  </si>
  <si>
    <t>Neutral</t>
  </si>
  <si>
    <t>Oppose</t>
  </si>
  <si>
    <t>Per Book Results (Y/E Dec. 2016)</t>
  </si>
  <si>
    <t>ICNU Position</t>
  </si>
  <si>
    <t>ICNU Proposed</t>
  </si>
  <si>
    <t>Impact of ICNU Adjustments</t>
  </si>
  <si>
    <t>Long-Term</t>
  </si>
  <si>
    <t>$</t>
  </si>
  <si>
    <t>Short-Term</t>
  </si>
  <si>
    <t>Update (Cost of Debt)</t>
  </si>
  <si>
    <t>TCJA</t>
  </si>
  <si>
    <t xml:space="preserve">Deferral </t>
  </si>
  <si>
    <t>Amortization</t>
  </si>
  <si>
    <t>TCJA-1</t>
  </si>
  <si>
    <t>TCJA-2</t>
  </si>
  <si>
    <t>TCJA-3</t>
  </si>
  <si>
    <t>TCJA-4</t>
  </si>
  <si>
    <t xml:space="preserve">Gross-Up </t>
  </si>
  <si>
    <t xml:space="preserve">Restate Test </t>
  </si>
  <si>
    <t xml:space="preserve">Period Tax </t>
  </si>
  <si>
    <t xml:space="preserve">Apply Excess </t>
  </si>
  <si>
    <t>Amort.</t>
  </si>
  <si>
    <t>Update</t>
  </si>
  <si>
    <t>EFFECTIVE TAX RATE</t>
  </si>
  <si>
    <t>* Deferred taxes are in Deferred FIT balance</t>
  </si>
  <si>
    <t>E-ALL</t>
  </si>
  <si>
    <t>ALLOCATION RATIOS:</t>
  </si>
  <si>
    <t xml:space="preserve">Total Net FIT/Deferred FIT </t>
  </si>
  <si>
    <t>Amortized Investment Tax Credit - Noxon</t>
  </si>
  <si>
    <t>Deferred FIT</t>
  </si>
  <si>
    <t>E-DTE</t>
  </si>
  <si>
    <t>Total Net Federal Income Tax</t>
  </si>
  <si>
    <t>Investment Tax Credit - Noxon *</t>
  </si>
  <si>
    <t>Production Tax Credit</t>
  </si>
  <si>
    <t>Total Federal Income Tax</t>
  </si>
  <si>
    <t xml:space="preserve">  Tax Rate</t>
  </si>
  <si>
    <t xml:space="preserve">  Taxable Net Operating Income</t>
  </si>
  <si>
    <t>Plus: Schedule M Adjustments</t>
  </si>
  <si>
    <t>E-SCM</t>
  </si>
  <si>
    <t>Less: Colstrip 3 AFUDC Reallocation Adj</t>
  </si>
  <si>
    <t>E-OPS</t>
  </si>
  <si>
    <t>E-INT</t>
  </si>
  <si>
    <t xml:space="preserve">  Net Operating Income Before FIT</t>
  </si>
  <si>
    <t>Less: Taxes Other than FIT</t>
  </si>
  <si>
    <t>E-OTX</t>
  </si>
  <si>
    <t>Less: Book Deprec/Amort and Reg Amortizations</t>
  </si>
  <si>
    <t>Less: Operating &amp; Maintenance Expense</t>
  </si>
  <si>
    <t>Operating Revenue</t>
  </si>
  <si>
    <t>Calculation of Taxable Operating Income:</t>
  </si>
  <si>
    <t>Ref/Basis</t>
  </si>
  <si>
    <t>ELECTRIC FEDERAL INCOME TAXES</t>
  </si>
  <si>
    <t>Report ID:</t>
  </si>
  <si>
    <t>Per Books</t>
  </si>
  <si>
    <t>TOTAL SCHEDULE M ADJUSTMENTS</t>
  </si>
  <si>
    <t>Investment Tax Credit</t>
  </si>
  <si>
    <t>1</t>
  </si>
  <si>
    <t>Spokane River TDG</t>
  </si>
  <si>
    <t>99</t>
  </si>
  <si>
    <t>Def Project Compass</t>
  </si>
  <si>
    <t xml:space="preserve">Amort Idaho Earnings Test (254229) </t>
  </si>
  <si>
    <t>Repairs 481 (a)</t>
  </si>
  <si>
    <t>WA REC Amort</t>
  </si>
  <si>
    <t>Kettle Falls Diesel Leak</t>
  </si>
  <si>
    <t>BPA Parallel Capacity</t>
  </si>
  <si>
    <t>WA REC Deferral</t>
  </si>
  <si>
    <t>Palouse Wind &amp; Thornton</t>
  </si>
  <si>
    <t>EWEB Renewable Energy Credits</t>
  </si>
  <si>
    <t>Smart Grid</t>
  </si>
  <si>
    <t>LIDAR O&amp;M Reg Def DFIT</t>
  </si>
  <si>
    <t>CNC Transmission</t>
  </si>
  <si>
    <t>Deferred O&amp;M Colstrip &amp; CS2</t>
  </si>
  <si>
    <t>Customer Uncollectibles</t>
  </si>
  <si>
    <t>Paid Time Off</t>
  </si>
  <si>
    <t>4</t>
  </si>
  <si>
    <t>Meal Disallowances</t>
  </si>
  <si>
    <t>Deferred Compensation</t>
  </si>
  <si>
    <t>Book Transportation Depreciation</t>
  </si>
  <si>
    <t>DSIT Amortization - ID</t>
  </si>
  <si>
    <t>CDA Fund Settlement-Prepayment</t>
  </si>
  <si>
    <t>Lancaster Deferral</t>
  </si>
  <si>
    <t>Noxon</t>
  </si>
  <si>
    <t>CDA IPA Fund</t>
  </si>
  <si>
    <t>Amortization - Unbilled Revenue Add-Ins</t>
  </si>
  <si>
    <t>Chicago Climate Exchange</t>
  </si>
  <si>
    <t>CDA Lake Settlement</t>
  </si>
  <si>
    <t>Gain on Sale of Office Bldg</t>
  </si>
  <si>
    <t>CDA Fund Settlement</t>
  </si>
  <si>
    <t>Spokane River Relicensing PME</t>
  </si>
  <si>
    <t xml:space="preserve">Colstrip Settlement </t>
  </si>
  <si>
    <t>Spokane River Relicensing</t>
  </si>
  <si>
    <t>Renewable Energy Cert Fees</t>
  </si>
  <si>
    <t>Noxon Spill</t>
  </si>
  <si>
    <t>Wind Generation AFUDC - ID</t>
  </si>
  <si>
    <t>CS2 Levelized Return</t>
  </si>
  <si>
    <t>Tax Depreciation</t>
  </si>
  <si>
    <t>AFUDC</t>
  </si>
  <si>
    <t>Clark Fork Preventive Maint. Exp (PME's)</t>
  </si>
  <si>
    <t>Nez Perce Settlement</t>
  </si>
  <si>
    <t>Section 199 Manufacturing Deduction</t>
  </si>
  <si>
    <t>Non-Monetary Power Costs</t>
  </si>
  <si>
    <t>Washington Deferred Power Costs</t>
  </si>
  <si>
    <t>Rathdrum Turbine Lease, Tax</t>
  </si>
  <si>
    <t>Montana Hydro Settlement</t>
  </si>
  <si>
    <t>BPA Residential Exchange</t>
  </si>
  <si>
    <t>Interest Rate Swaps</t>
  </si>
  <si>
    <t>Decoupling Mechanism</t>
  </si>
  <si>
    <t>FAS106 Post Retirement Benefits</t>
  </si>
  <si>
    <t>RTO Funding Amortization</t>
  </si>
  <si>
    <t>Uncollectibles</t>
  </si>
  <si>
    <t>Kettle Falls Disallowance</t>
  </si>
  <si>
    <t>Wartsilla Generators Amortization</t>
  </si>
  <si>
    <t>FAS87 Current Pension Accrual</t>
  </si>
  <si>
    <t>CSS Temporary Service Fees</t>
  </si>
  <si>
    <t>DSM Tariff Rider</t>
  </si>
  <si>
    <t>Amort - Invest in Exch Pwr (405.92,.93,.95,.98)</t>
  </si>
  <si>
    <t>Redemption Expense Amortization</t>
  </si>
  <si>
    <t>Airplane Lease Payments</t>
  </si>
  <si>
    <t>Rathdrum Turbine Lease</t>
  </si>
  <si>
    <t>Idaho DSM Book Amortization</t>
  </si>
  <si>
    <t>Idaho PCA</t>
  </si>
  <si>
    <t>FAS106 Current Retiree Medical Accrual</t>
  </si>
  <si>
    <t>Boulder Park Write Off</t>
  </si>
  <si>
    <t>Salvage</t>
  </si>
  <si>
    <t>Contributions In Aid of Construction</t>
  </si>
  <si>
    <t>Book Depreciation &amp; Amortization</t>
  </si>
  <si>
    <t>Direct</t>
  </si>
  <si>
    <t xml:space="preserve"> ***************** IDAHO ******************</t>
  </si>
  <si>
    <t xml:space="preserve"> *************** WASHINGTON *************</t>
  </si>
  <si>
    <t xml:space="preserve"> ***************** SYSTEM *****************</t>
  </si>
  <si>
    <t>ELECTRIC SCHEDULE M ITEMS</t>
  </si>
  <si>
    <t>Total Deferred Federal Income Tax Expense</t>
  </si>
  <si>
    <t>Deferred Federal Income Tax Expense - Idaho</t>
  </si>
  <si>
    <t>Deferred Federal Income Tax Expense - Washington</t>
  </si>
  <si>
    <t>Deferred Federal Income Tax Expense - Allocated</t>
  </si>
  <si>
    <t>Acct No</t>
  </si>
  <si>
    <t xml:space="preserve"> ************ IDAHO **************</t>
  </si>
  <si>
    <t xml:space="preserve"> *********** WASHINGTON **************</t>
  </si>
  <si>
    <t xml:space="preserve"> ************* SYSTEM *****************</t>
  </si>
  <si>
    <t>ELECTRIC DEFERRED INCOME TAX EXPENSES</t>
  </si>
  <si>
    <t xml:space="preserve">  Federal Income Tax @ 35%; 21%</t>
  </si>
  <si>
    <t>Rate</t>
  </si>
  <si>
    <t>New</t>
  </si>
  <si>
    <t>Excess Deferred Taxes</t>
  </si>
  <si>
    <t>ADIT @</t>
  </si>
  <si>
    <t>35% Rate</t>
  </si>
  <si>
    <t>Differnce</t>
  </si>
  <si>
    <t>Book/Tax</t>
  </si>
  <si>
    <t>Old</t>
  </si>
  <si>
    <t>New Gross-</t>
  </si>
  <si>
    <t>Up Rate</t>
  </si>
  <si>
    <t>Old Gross</t>
  </si>
  <si>
    <t>Reverse</t>
  </si>
  <si>
    <t xml:space="preserve">Apply </t>
  </si>
  <si>
    <t>Electric Accumulated Deferred Taxes</t>
  </si>
  <si>
    <t>Alloc</t>
  </si>
  <si>
    <t>Electric</t>
  </si>
  <si>
    <t>Basis</t>
  </si>
  <si>
    <t>ACCELERATED TAX DEPRECIATION</t>
  </si>
  <si>
    <t>SYSTEM</t>
  </si>
  <si>
    <t>Results - AMA Plant</t>
  </si>
  <si>
    <t>Intangible (Less CDA Settlement)</t>
  </si>
  <si>
    <t>General Utility (Direct)</t>
  </si>
  <si>
    <t>General-Direct</t>
  </si>
  <si>
    <t xml:space="preserve">General/Intangible </t>
  </si>
  <si>
    <t>CD AA</t>
  </si>
  <si>
    <t>General-Allocated (CDAA,CDAN)</t>
  </si>
  <si>
    <t>CD AN</t>
  </si>
  <si>
    <t>Intangible-Allocated (CDAA,CDAN)</t>
  </si>
  <si>
    <t xml:space="preserve">   Subtotal</t>
  </si>
  <si>
    <t>CDA Lake CDR Fund</t>
  </si>
  <si>
    <t>Intangible (CDA Settlement)</t>
  </si>
  <si>
    <t>CDA Lake Settlement-Costs</t>
  </si>
  <si>
    <t xml:space="preserve">  Subtotal</t>
  </si>
  <si>
    <t xml:space="preserve">      Total Plant DFIT</t>
  </si>
  <si>
    <t>Total Plant</t>
  </si>
  <si>
    <t>Colstrip PCB - Elec</t>
  </si>
  <si>
    <t>AFUDC - CWIP  Intangibles</t>
  </si>
  <si>
    <t xml:space="preserve">   Total Other Deferred FIT</t>
  </si>
  <si>
    <t xml:space="preserve">      Total Deferred FIT</t>
  </si>
  <si>
    <t>I</t>
  </si>
  <si>
    <t>K</t>
  </si>
  <si>
    <t>Amount at 12/31/2016 AMA</t>
  </si>
  <si>
    <t>Allocation Notes:</t>
  </si>
  <si>
    <t>Production/Transmission</t>
  </si>
  <si>
    <t>Jurisdictional four-factor</t>
  </si>
  <si>
    <t>Only changes once, every December 31</t>
  </si>
  <si>
    <t>Net electric distribution plant - AMA</t>
  </si>
  <si>
    <t>Net electric plant - AMA</t>
  </si>
  <si>
    <t>Changes each month</t>
  </si>
  <si>
    <t>Net electric general plant - AMA</t>
  </si>
  <si>
    <t>D</t>
  </si>
  <si>
    <t>Source of Allocation Factors: Results of Operations Report E-ALL-12A</t>
  </si>
  <si>
    <t>Source of Allocation Factors: Results of Operations Report E-PLT-12A</t>
  </si>
  <si>
    <t xml:space="preserve">Amort. </t>
  </si>
  <si>
    <t>Rate*</t>
  </si>
  <si>
    <t>21% Rate</t>
  </si>
  <si>
    <t>Balance</t>
  </si>
  <si>
    <t>Beginning Balance</t>
  </si>
  <si>
    <t>Deferral</t>
  </si>
  <si>
    <t>Ending Balance</t>
  </si>
  <si>
    <t>Beg</t>
  </si>
  <si>
    <t>(a)</t>
  </si>
  <si>
    <t>(b)</t>
  </si>
  <si>
    <t>Cum.</t>
  </si>
  <si>
    <t>Reserve for</t>
  </si>
  <si>
    <t>Total ADIT  (Restated)</t>
  </si>
  <si>
    <t>ADIT Book/Tax Difference</t>
  </si>
  <si>
    <t>Com. Basis</t>
  </si>
  <si>
    <t xml:space="preserve">FIT Expense </t>
  </si>
  <si>
    <t>Restating</t>
  </si>
  <si>
    <t>EDFIT</t>
  </si>
  <si>
    <t>Calculation of Excess Deferred Federal Income Tax ("EDFIT") Reserve and Amortization</t>
  </si>
  <si>
    <t>Avista Corporation, Electric Services</t>
  </si>
  <si>
    <t>Using the Alternative Method ($000)</t>
  </si>
  <si>
    <t>Tax Cuts And Jobs Act Adjustments</t>
  </si>
  <si>
    <t>TCJA Deferral (Jan - Apr 2018)</t>
  </si>
  <si>
    <t xml:space="preserve">TCJA Pro Forma Results </t>
  </si>
  <si>
    <t>Restate Tax Expense in Results</t>
  </si>
  <si>
    <t>Equity %</t>
  </si>
  <si>
    <t>Return On Equity</t>
  </si>
  <si>
    <t>Pretax Return On Equity (35% Rate)</t>
  </si>
  <si>
    <t>Equity Portion of Rate Base</t>
  </si>
  <si>
    <t>Pretax Return on Equity (21% Rate)</t>
  </si>
  <si>
    <t>Pretax Equity Returns Required (35% Rate)</t>
  </si>
  <si>
    <t>Pretax Equity Return (21% Rate)</t>
  </si>
  <si>
    <t>EDFIT Amortization</t>
  </si>
  <si>
    <t>Annual Equity Return Differential (35% to 21% Rate)</t>
  </si>
  <si>
    <t>Carrying Charge (Per Mo. at Pre-tax ROR)</t>
  </si>
  <si>
    <t>Calculation of the Deferral Related to Excess Taxes Collected in Rates over the Period January 1, 2018 through April 30, 2018</t>
  </si>
  <si>
    <t>Monthly EDFIT Amortization</t>
  </si>
  <si>
    <t>Monthly EDFIT Amortization (Pretax)</t>
  </si>
  <si>
    <t xml:space="preserve">Total Deferred Amounts </t>
  </si>
  <si>
    <t>T/A: Tab 3, E-ROO</t>
  </si>
  <si>
    <t>T/A: Tab 3,R-Ttl</t>
  </si>
  <si>
    <t>T/A: Tab 3, PF-Ttl</t>
  </si>
  <si>
    <t>Tab 6a</t>
  </si>
  <si>
    <t>(c)</t>
  </si>
  <si>
    <t>(d)</t>
  </si>
  <si>
    <t>(e)</t>
  </si>
  <si>
    <t>(f)</t>
  </si>
  <si>
    <t>(g)</t>
  </si>
  <si>
    <t>(h)</t>
  </si>
  <si>
    <t>(i)</t>
  </si>
  <si>
    <t>Per ROO</t>
  </si>
  <si>
    <t>See Tab 6b</t>
  </si>
  <si>
    <t>= (b) / (c)</t>
  </si>
  <si>
    <t>= (d) * (e)</t>
  </si>
  <si>
    <t>= (b) - (f)</t>
  </si>
  <si>
    <t>See notes</t>
  </si>
  <si>
    <t>= (g) * (h)</t>
  </si>
  <si>
    <t>Total (Pro Forma)</t>
  </si>
  <si>
    <t>Andrews workpaper titled: "I. UE_AVA Dir Evidence-(May17)\3. UE_AVA WP's (May17)\D. UE__Andrews WPs (AVA-May17)\Model Adjustments\1.01 ADFIT\1)ADFIT-2016 AMA-WA CBR.xlsx"</t>
  </si>
  <si>
    <t>($000)</t>
  </si>
  <si>
    <t>&lt;-Goal Seek to Zero</t>
  </si>
  <si>
    <t>Monthly Deferral Calculation</t>
  </si>
  <si>
    <t>Monthly Return Diff. at Restated 21 % Tax Rate</t>
  </si>
  <si>
    <t>Month</t>
  </si>
  <si>
    <t>Annual Amortization:</t>
  </si>
  <si>
    <t xml:space="preserve">Ending </t>
  </si>
  <si>
    <t>Amortization of the Deferral for Excess Taxes Collected in Rates Over the Period January 1, 2018 through April 30, 2018</t>
  </si>
  <si>
    <t>Include</t>
  </si>
  <si>
    <t>Including TCJA</t>
  </si>
  <si>
    <t>And Pro Forma</t>
  </si>
  <si>
    <t>Restated @ 21%</t>
  </si>
  <si>
    <t>Apply to Separately to Adjustments</t>
  </si>
  <si>
    <t>Updated Conversion Factor</t>
  </si>
  <si>
    <t>Applied</t>
  </si>
  <si>
    <t>|</t>
  </si>
  <si>
    <t>/</t>
  </si>
  <si>
    <t xml:space="preserve">(c) Composite depreciation rate from depreciation study. </t>
  </si>
  <si>
    <t>(d) Amortize over Post Falls remaining life through 2060 (approximately 42.5 years)</t>
  </si>
  <si>
    <t>(a) Amortize over remaining life span estimate for Colstrip Units 3 and 4 of 2034 and 2035 respectively (approximately 17.5 years)</t>
  </si>
  <si>
    <t>UE-150204, Order 05, Table A2</t>
  </si>
  <si>
    <t xml:space="preserve">UE-150204 May 1, 2015 Stipulation </t>
  </si>
  <si>
    <t>(a) Deferred FIT calculated by dividing  the $66.4 million Deferred FIT amount by the old 35% tax rate and multiplying by the new 21% tax rate.</t>
  </si>
  <si>
    <t>(f) Composite rate for intangibles from depreciation study</t>
  </si>
  <si>
    <t>Restating Adjustment Calculation Using :</t>
  </si>
  <si>
    <t>(g) Composite rate for hydro from depreciation study</t>
  </si>
  <si>
    <t>Include impact on PF adjustments?</t>
  </si>
  <si>
    <t>-&gt; Entry of 0 Does not flow to lead sheet</t>
  </si>
  <si>
    <t xml:space="preserve">Notes:
1) This part of the adjustment isolates the impact of the tax change on the other restating and proforma adjustments.  In Tab 4, the impact of the rate change can optionally be applied to each adjustment separately, as a check. 
2) Includes debt interest deduction
3) Adjustment 2.06 included an hard-coded amount in current tax expense in the amount of $110,000, which I was not able to identify as being permanent or temporary.  Assumed it was a temporary difference. Immaterial. </t>
  </si>
  <si>
    <t>* Propose to delay amortization until rate effective date of next rate case</t>
  </si>
  <si>
    <t>Total TCJA Adjustments</t>
  </si>
  <si>
    <t>TCJA-4: Conversion Factor</t>
  </si>
  <si>
    <t>TCJA-3: TCJA Deferral  (1/1/18 - 4/30/18)*</t>
  </si>
  <si>
    <t>TCJA-2: Restate EDFIT</t>
  </si>
  <si>
    <t>TCJA-1: Restate Income Tax Expense</t>
  </si>
  <si>
    <t>Impact of TCJA Restating Adjustments</t>
  </si>
  <si>
    <t>Gas</t>
  </si>
  <si>
    <t>Mullins Response Testimony (Traditional)</t>
  </si>
  <si>
    <t>(b) Assume 5-year life as used by the Company for software in its post-test period pro forma capital adjustment</t>
  </si>
  <si>
    <t>Pro-Forma Plant (Little Falls)</t>
  </si>
  <si>
    <t>(e) Bond life unknonwn, estimated to reverse over five years</t>
  </si>
  <si>
    <t>Ln</t>
  </si>
  <si>
    <t>Ttl TCJA</t>
  </si>
  <si>
    <t>TCJA ADJUSTMENTS</t>
  </si>
  <si>
    <t>Restating and Pro Forma Adjustments</t>
  </si>
  <si>
    <t xml:space="preserve">Aggregate Impact of Tax Rate Change on Other </t>
  </si>
  <si>
    <t>Average - Twelve Months Ended December 31, 2016</t>
  </si>
  <si>
    <t>FMB &amp; MTN Redeemed</t>
  </si>
  <si>
    <t>Production/Transmission  Ratio</t>
  </si>
  <si>
    <t>Not Allocated</t>
  </si>
  <si>
    <t>Number of Customers - AMA</t>
  </si>
  <si>
    <t>Jurisdictional 4-Factor Ratio</t>
  </si>
  <si>
    <t>Book Depreciation</t>
  </si>
  <si>
    <t>Net Electric Plant (before DFIT) - AMA</t>
  </si>
  <si>
    <t>Net Allocated Schedule M's - AMA</t>
  </si>
  <si>
    <t>For Twelve Months Ended December 31, 2016</t>
  </si>
  <si>
    <t>E-FIT-12A</t>
  </si>
  <si>
    <t>E-SCM-12A</t>
  </si>
  <si>
    <t>E-DTE-12A</t>
  </si>
  <si>
    <t>Average of Monthly Averages Basis</t>
  </si>
  <si>
    <t>Updated For TCJA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</si>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</sst>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quot;$&quot;* #,##0.00000_);_(&quot;$&quot;* \(#,##0.00000\);_(&quot;$&quot;* &quot;-&quot;??_);_(@_)"/>
    <numFmt numFmtId="173" formatCode="0.00000"/>
    <numFmt numFmtId="174" formatCode="_(* #,##0.0_);_(* \(#,##0.0\);_(* &quot;-&quot;??_);_(@_)"/>
    <numFmt numFmtId="175" formatCode="#,###.0_);\(#,###.0\)"/>
    <numFmt numFmtId="176" formatCode="&quot;$&quot;#,##0.0_);\(&quot;$&quot;#,##0.0\)"/>
    <numFmt numFmtId="177" formatCode="0000.00"/>
    <numFmt numFmtId="178" formatCode="0000"/>
    <numFmt numFmtId="179" formatCode="_(&quot;$&quot;* #,##0_);_(&quot;$&quot;* \(#,##0\);_(&quot;$&quot;* &quot;-&quot;??_);_(@_)"/>
    <numFmt numFmtId="180" formatCode="0.000"/>
    <numFmt numFmtId="181" formatCode="_(* #,##0.00_);_(* \(#,##0.00\);_(* &quot;-&quot;_);_(@_)"/>
    <numFmt numFmtId="182" formatCode="#,##0.0000"/>
    <numFmt numFmtId="183" formatCode="0.0000%"/>
    <numFmt numFmtId="184" formatCode="_(* #,##0.0000_);_(* \(#,##0.0000\);_(* &quot;-&quot;_);_(@_)"/>
    <numFmt numFmtId="185" formatCode="_(* #,##0.000_);_(* \(#,##0.000\);_(* &quot;-&quot;_);_(@_)"/>
  </numFmts>
  <fonts count="95">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Courier"/>
      <family val="3"/>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b/>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sz val="8"/>
      <color indexed="10"/>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u/>
      <sz val="10"/>
      <color indexed="12"/>
      <name val="Times New Roman"/>
      <family val="1"/>
    </font>
    <font>
      <sz val="12"/>
      <name val="Times New Roman"/>
      <family val="1"/>
    </font>
    <font>
      <b/>
      <sz val="10"/>
      <color indexed="81"/>
      <name val="Tahoma"/>
      <family val="2"/>
    </font>
    <font>
      <u/>
      <sz val="10"/>
      <color indexed="10"/>
      <name val="Times New Roman"/>
      <family val="1"/>
    </font>
    <font>
      <sz val="10"/>
      <color indexed="10"/>
      <name val="Times New Roman"/>
      <family val="1"/>
    </font>
    <font>
      <i/>
      <sz val="10"/>
      <color indexed="10"/>
      <name val="Times New Roman"/>
      <family val="1"/>
    </font>
    <font>
      <u/>
      <sz val="7.5"/>
      <color theme="0"/>
      <name val="Arial"/>
      <family val="2"/>
    </font>
    <font>
      <sz val="10"/>
      <color rgb="FFFF0000"/>
      <name val="Times New Roman"/>
      <family val="1"/>
    </font>
    <font>
      <sz val="10"/>
      <color rgb="FF002060"/>
      <name val="Times New Roman"/>
      <family val="1"/>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4"/>
      <name val="Times New Roman"/>
      <family val="1"/>
    </font>
    <font>
      <sz val="10"/>
      <color rgb="FF0033CC"/>
      <name val="Times New Roman"/>
      <family val="1"/>
    </font>
    <font>
      <b/>
      <sz val="11"/>
      <name val="Times New Roman"/>
      <family val="1"/>
    </font>
    <font>
      <sz val="8"/>
      <name val="Times New Roman"/>
      <family val="1"/>
    </font>
    <font>
      <sz val="10"/>
      <color indexed="12"/>
      <name val="Arial"/>
      <family val="2"/>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b/>
      <sz val="9"/>
      <color rgb="FFFF0000"/>
      <name val="Times New Roman"/>
      <family val="1"/>
    </font>
    <font>
      <b/>
      <sz val="8"/>
      <name val="Times New Roman"/>
      <family val="1"/>
    </font>
    <font>
      <sz val="9"/>
      <color theme="1"/>
      <name val="Times New Roman"/>
      <family val="1"/>
    </font>
    <font>
      <i/>
      <u/>
      <sz val="10"/>
      <name val="Times New Roman"/>
      <family val="1"/>
    </font>
    <font>
      <sz val="10"/>
      <name val="Tms Rmn"/>
    </font>
    <font>
      <b/>
      <sz val="11"/>
      <name val="Tms Rmn"/>
    </font>
    <font>
      <b/>
      <sz val="10"/>
      <name val="Tms Rmn"/>
    </font>
    <font>
      <sz val="10"/>
      <name val="Geneva"/>
    </font>
    <font>
      <b/>
      <sz val="12"/>
      <name val="Tms Rmn"/>
    </font>
    <font>
      <b/>
      <sz val="12"/>
      <color indexed="10"/>
      <name val="Tms Rmn"/>
    </font>
    <font>
      <b/>
      <sz val="12"/>
      <color indexed="53"/>
      <name val="Tms Rmn"/>
    </font>
    <font>
      <sz val="9"/>
      <name val="Tms Rmn"/>
    </font>
    <font>
      <u/>
      <sz val="10"/>
      <name val="Geneva"/>
    </font>
    <font>
      <sz val="10"/>
      <color indexed="12"/>
      <name val="Geneva"/>
    </font>
    <font>
      <b/>
      <sz val="10"/>
      <color rgb="FFFF0000"/>
      <name val="Geneva"/>
    </font>
    <font>
      <sz val="9"/>
      <name val="Arial"/>
      <family val="2"/>
    </font>
    <font>
      <sz val="8"/>
      <name val="Arial"/>
      <family val="2"/>
    </font>
    <font>
      <b/>
      <sz val="9"/>
      <name val="Arial"/>
      <family val="2"/>
    </font>
    <font>
      <b/>
      <sz val="10"/>
      <name val="Arial"/>
      <family val="2"/>
    </font>
    <font>
      <sz val="7"/>
      <name val="Geneva"/>
    </font>
    <font>
      <b/>
      <u/>
      <sz val="10"/>
      <name val="Arial"/>
      <family val="2"/>
    </font>
    <font>
      <i/>
      <sz val="10"/>
      <name val="Arial"/>
      <family val="2"/>
    </font>
    <font>
      <sz val="7"/>
      <name val="Arial"/>
      <family val="2"/>
    </font>
    <font>
      <sz val="10"/>
      <color theme="0"/>
      <name val="Times New Roman"/>
      <family val="1"/>
    </font>
    <font>
      <b/>
      <sz val="9"/>
      <name val="Tms Rmn"/>
    </font>
    <font>
      <b/>
      <sz val="8"/>
      <name val="Arial"/>
      <family val="2"/>
    </font>
    <font>
      <b/>
      <sz val="10"/>
      <color indexed="53"/>
      <name val="Tms Rmn"/>
    </font>
    <font>
      <b/>
      <sz val="10"/>
      <color indexed="10"/>
      <name val="Tms Rmn"/>
    </font>
  </fonts>
  <fills count="12">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79995117038483843"/>
        <bgColor indexed="64"/>
      </patternFill>
    </fill>
    <fill>
      <patternFill patternType="solid">
        <fgColor rgb="FF92D050"/>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rgb="FFFF0000"/>
      </left>
      <right style="double">
        <color rgb="FFFF0000"/>
      </right>
      <top style="double">
        <color rgb="FFFF0000"/>
      </top>
      <bottom style="double">
        <color rgb="FFFF0000"/>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bottom style="double">
        <color indexed="64"/>
      </bottom>
      <diagonal/>
    </border>
    <border>
      <left style="thin">
        <color indexed="64"/>
      </left>
      <right style="thin">
        <color auto="1"/>
      </right>
      <top style="thin">
        <color indexed="64"/>
      </top>
      <bottom style="medium">
        <color indexed="64"/>
      </bottom>
      <diagonal/>
    </border>
    <border>
      <left style="thin">
        <color indexed="64"/>
      </left>
      <right style="thin">
        <color auto="1"/>
      </right>
      <top style="medium">
        <color indexed="64"/>
      </top>
      <bottom style="thin">
        <color indexed="64"/>
      </bottom>
      <diagonal/>
    </border>
  </borders>
  <cellStyleXfs count="31">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9"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9" fillId="0" borderId="0"/>
    <xf numFmtId="0" fontId="47" fillId="5" borderId="0"/>
    <xf numFmtId="37" fontId="39" fillId="0" borderId="0"/>
    <xf numFmtId="43" fontId="60"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71" fillId="0" borderId="0"/>
    <xf numFmtId="40" fontId="74" fillId="0" borderId="0" applyFont="0" applyFill="0" applyBorder="0" applyAlignment="0" applyProtection="0"/>
    <xf numFmtId="0" fontId="74" fillId="0" borderId="0"/>
    <xf numFmtId="43" fontId="74" fillId="0" borderId="0" applyFont="0" applyFill="0" applyBorder="0" applyAlignment="0" applyProtection="0"/>
    <xf numFmtId="9" fontId="74" fillId="0" borderId="0" applyFont="0" applyFill="0" applyBorder="0" applyAlignment="0" applyProtection="0"/>
    <xf numFmtId="0" fontId="3" fillId="0" borderId="0"/>
  </cellStyleXfs>
  <cellXfs count="1199">
    <xf numFmtId="0" fontId="0" fillId="0" borderId="0" xfId="0"/>
    <xf numFmtId="0" fontId="5" fillId="0" borderId="0" xfId="13" applyNumberFormat="1" applyFont="1" applyAlignment="1">
      <alignment horizontal="left"/>
    </xf>
    <xf numFmtId="0" fontId="5" fillId="0" borderId="0" xfId="13" applyFont="1"/>
    <xf numFmtId="0" fontId="5" fillId="0" borderId="0" xfId="13" applyNumberFormat="1" applyFont="1" applyAlignment="1">
      <alignment horizontal="center"/>
    </xf>
    <xf numFmtId="0" fontId="6" fillId="0" borderId="0" xfId="13" applyNumberFormat="1" applyFont="1" applyAlignment="1">
      <alignment horizontal="center"/>
    </xf>
    <xf numFmtId="0" fontId="6" fillId="0" borderId="0" xfId="13" applyFont="1" applyAlignment="1">
      <alignment horizontal="center"/>
    </xf>
    <xf numFmtId="0" fontId="6" fillId="0" borderId="1" xfId="13" applyNumberFormat="1" applyFont="1" applyBorder="1" applyAlignment="1">
      <alignment horizontal="center"/>
    </xf>
    <xf numFmtId="0" fontId="6" fillId="0" borderId="2" xfId="13" applyFont="1" applyBorder="1" applyAlignment="1">
      <alignment horizontal="center"/>
    </xf>
    <xf numFmtId="0" fontId="6" fillId="0" borderId="3" xfId="13" applyFont="1" applyBorder="1" applyAlignment="1">
      <alignment horizontal="center"/>
    </xf>
    <xf numFmtId="0" fontId="6" fillId="0" borderId="4" xfId="13" applyFont="1" applyBorder="1" applyAlignment="1">
      <alignment horizontal="center"/>
    </xf>
    <xf numFmtId="0" fontId="6" fillId="0" borderId="5" xfId="13" applyNumberFormat="1" applyFont="1" applyBorder="1" applyAlignment="1">
      <alignment horizontal="center"/>
    </xf>
    <xf numFmtId="0" fontId="6" fillId="0" borderId="6" xfId="13" applyFont="1" applyBorder="1" applyAlignment="1">
      <alignment horizontal="center"/>
    </xf>
    <xf numFmtId="0" fontId="6" fillId="0" borderId="0" xfId="13" applyFont="1" applyBorder="1" applyAlignment="1">
      <alignment horizontal="center"/>
    </xf>
    <xf numFmtId="0" fontId="6" fillId="0" borderId="7" xfId="13" applyFont="1" applyBorder="1" applyAlignment="1">
      <alignment horizontal="center"/>
    </xf>
    <xf numFmtId="0" fontId="6" fillId="0" borderId="8" xfId="13" applyNumberFormat="1" applyFont="1" applyBorder="1" applyAlignment="1">
      <alignment horizontal="center"/>
    </xf>
    <xf numFmtId="0" fontId="6" fillId="0" borderId="9" xfId="13" applyFont="1" applyBorder="1" applyAlignment="1">
      <alignment horizontal="center"/>
    </xf>
    <xf numFmtId="0" fontId="6" fillId="0" borderId="10" xfId="13" applyFont="1" applyBorder="1" applyAlignment="1">
      <alignment horizontal="center"/>
    </xf>
    <xf numFmtId="0" fontId="6" fillId="0" borderId="11" xfId="13" applyFont="1" applyBorder="1" applyAlignment="1">
      <alignment horizontal="center"/>
    </xf>
    <xf numFmtId="0" fontId="7" fillId="0" borderId="0" xfId="13" applyNumberFormat="1" applyFont="1" applyAlignment="1">
      <alignment horizontal="center"/>
    </xf>
    <xf numFmtId="0" fontId="7" fillId="0" borderId="0" xfId="13" applyFont="1" applyAlignment="1">
      <alignment horizontal="center"/>
    </xf>
    <xf numFmtId="37" fontId="5" fillId="0" borderId="0" xfId="13" applyNumberFormat="1" applyFont="1" applyAlignment="1">
      <alignment horizontal="center"/>
    </xf>
    <xf numFmtId="5" fontId="5" fillId="0" borderId="0" xfId="13" applyNumberFormat="1" applyFont="1"/>
    <xf numFmtId="37" fontId="5" fillId="0" borderId="0" xfId="13" applyNumberFormat="1" applyFont="1"/>
    <xf numFmtId="0" fontId="5" fillId="0" borderId="0" xfId="0" applyFont="1"/>
    <xf numFmtId="3" fontId="5" fillId="0" borderId="0" xfId="9" applyNumberFormat="1" applyFont="1" applyAlignment="1">
      <alignment horizontal="center"/>
    </xf>
    <xf numFmtId="1" fontId="5" fillId="0" borderId="0" xfId="9" applyNumberFormat="1" applyFont="1" applyAlignment="1">
      <alignment horizontal="center"/>
    </xf>
    <xf numFmtId="0" fontId="10" fillId="0" borderId="0" xfId="0" applyFont="1"/>
    <xf numFmtId="0" fontId="11" fillId="0" borderId="0" xfId="0" applyFont="1" applyAlignment="1">
      <alignment horizontal="center"/>
    </xf>
    <xf numFmtId="0" fontId="10" fillId="0" borderId="0" xfId="0" applyFont="1" applyBorder="1"/>
    <xf numFmtId="0" fontId="11" fillId="0" borderId="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2" fillId="0" borderId="0" xfId="0" applyFont="1" applyBorder="1" applyAlignment="1">
      <alignment horizontal="center"/>
    </xf>
    <xf numFmtId="0" fontId="10" fillId="0" borderId="10" xfId="0" applyFont="1" applyBorder="1"/>
    <xf numFmtId="0" fontId="10" fillId="0" borderId="10" xfId="0" applyFont="1" applyBorder="1" applyAlignment="1">
      <alignment horizontal="center"/>
    </xf>
    <xf numFmtId="0" fontId="17" fillId="0" borderId="0" xfId="0" applyFont="1"/>
    <xf numFmtId="5" fontId="10" fillId="0" borderId="0" xfId="0" applyNumberFormat="1" applyFont="1" applyBorder="1"/>
    <xf numFmtId="37" fontId="10" fillId="0" borderId="0" xfId="0" applyNumberFormat="1" applyFont="1" applyBorder="1"/>
    <xf numFmtId="3" fontId="10" fillId="0" borderId="0" xfId="0" applyNumberFormat="1" applyFont="1"/>
    <xf numFmtId="5" fontId="10" fillId="0" borderId="0" xfId="0" applyNumberFormat="1" applyFont="1"/>
    <xf numFmtId="37" fontId="10" fillId="0" borderId="3" xfId="0" applyNumberFormat="1" applyFont="1" applyBorder="1"/>
    <xf numFmtId="37" fontId="10" fillId="0" borderId="0" xfId="0" applyNumberFormat="1" applyFont="1"/>
    <xf numFmtId="10" fontId="10" fillId="0" borderId="0" xfId="0" applyNumberFormat="1" applyFont="1" applyBorder="1"/>
    <xf numFmtId="0" fontId="10" fillId="0" borderId="0" xfId="0" applyFont="1" applyFill="1" applyAlignment="1">
      <alignment horizontal="center"/>
    </xf>
    <xf numFmtId="3" fontId="10" fillId="0" borderId="0" xfId="0" applyNumberFormat="1" applyFont="1" applyBorder="1"/>
    <xf numFmtId="6" fontId="10" fillId="0" borderId="13" xfId="2" applyNumberFormat="1" applyFont="1" applyBorder="1"/>
    <xf numFmtId="10" fontId="11" fillId="0" borderId="0" xfId="0" applyNumberFormat="1" applyFont="1" applyBorder="1"/>
    <xf numFmtId="0" fontId="12" fillId="0" borderId="0" xfId="0" applyFont="1" applyAlignment="1">
      <alignment horizontal="center"/>
    </xf>
    <xf numFmtId="0" fontId="20" fillId="0" borderId="0" xfId="0" applyFont="1"/>
    <xf numFmtId="0" fontId="21" fillId="0" borderId="0" xfId="0" applyFont="1" applyAlignment="1">
      <alignment horizontal="center"/>
    </xf>
    <xf numFmtId="0" fontId="20" fillId="0" borderId="0" xfId="0" applyFont="1" applyBorder="1"/>
    <xf numFmtId="0" fontId="20" fillId="0" borderId="0" xfId="0" applyFont="1" applyBorder="1" applyAlignment="1">
      <alignment horizontal="center"/>
    </xf>
    <xf numFmtId="5" fontId="20" fillId="0" borderId="0" xfId="0" applyNumberFormat="1" applyFont="1" applyBorder="1"/>
    <xf numFmtId="37" fontId="20" fillId="0" borderId="0" xfId="0" applyNumberFormat="1" applyFont="1" applyBorder="1"/>
    <xf numFmtId="3" fontId="22" fillId="0" borderId="0" xfId="0" applyNumberFormat="1" applyFont="1"/>
    <xf numFmtId="0" fontId="22" fillId="0" borderId="0" xfId="0" applyFont="1"/>
    <xf numFmtId="5" fontId="22" fillId="0" borderId="0" xfId="0" applyNumberFormat="1" applyFont="1"/>
    <xf numFmtId="37" fontId="22" fillId="0" borderId="0" xfId="0" applyNumberFormat="1" applyFont="1"/>
    <xf numFmtId="0" fontId="10" fillId="0" borderId="0" xfId="0" applyFont="1" applyAlignment="1">
      <alignment horizontal="left"/>
    </xf>
    <xf numFmtId="0" fontId="10" fillId="0" borderId="10" xfId="0" applyFont="1" applyBorder="1" applyAlignment="1">
      <alignment horizontal="left"/>
    </xf>
    <xf numFmtId="0" fontId="20" fillId="0" borderId="0" xfId="0" applyFont="1" applyAlignment="1">
      <alignment horizontal="left"/>
    </xf>
    <xf numFmtId="10" fontId="10" fillId="0" borderId="0" xfId="0" applyNumberFormat="1" applyFont="1" applyAlignment="1">
      <alignment horizontal="left"/>
    </xf>
    <xf numFmtId="10" fontId="10" fillId="0" borderId="0" xfId="0" applyNumberFormat="1" applyFont="1" applyBorder="1" applyAlignment="1">
      <alignment horizontal="left"/>
    </xf>
    <xf numFmtId="9" fontId="10" fillId="0" borderId="0" xfId="0" applyNumberFormat="1" applyFont="1" applyAlignment="1">
      <alignment horizontal="left"/>
    </xf>
    <xf numFmtId="0" fontId="10" fillId="0" borderId="0" xfId="0" applyFont="1" applyBorder="1" applyAlignment="1">
      <alignment horizontal="left"/>
    </xf>
    <xf numFmtId="0" fontId="10" fillId="0" borderId="12" xfId="0" applyFont="1" applyBorder="1" applyAlignment="1">
      <alignment horizontal="left"/>
    </xf>
    <xf numFmtId="3" fontId="10" fillId="0" borderId="0" xfId="12" applyNumberFormat="1" applyFont="1" applyAlignment="1">
      <alignment horizontal="centerContinuous"/>
    </xf>
    <xf numFmtId="0" fontId="10" fillId="0" borderId="0" xfId="12" applyFont="1" applyAlignment="1">
      <alignment horizontal="centerContinuous"/>
    </xf>
    <xf numFmtId="3" fontId="10" fillId="0" borderId="0" xfId="12" applyNumberFormat="1" applyFont="1"/>
    <xf numFmtId="3" fontId="10" fillId="0" borderId="0" xfId="12" applyNumberFormat="1" applyFont="1" applyBorder="1" applyAlignment="1">
      <alignment horizontal="centerContinuous"/>
    </xf>
    <xf numFmtId="0" fontId="10" fillId="0" borderId="0" xfId="12" applyFont="1" applyBorder="1" applyAlignment="1">
      <alignment horizontal="centerContinuous"/>
    </xf>
    <xf numFmtId="0" fontId="10" fillId="0" borderId="0" xfId="12" applyFont="1"/>
    <xf numFmtId="3" fontId="10" fillId="0" borderId="0" xfId="12" applyNumberFormat="1" applyFont="1" applyAlignment="1">
      <alignment horizontal="center"/>
    </xf>
    <xf numFmtId="0" fontId="10" fillId="0" borderId="0" xfId="12" applyFont="1" applyAlignment="1">
      <alignment horizontal="center"/>
    </xf>
    <xf numFmtId="3" fontId="10" fillId="0" borderId="10" xfId="12" applyNumberFormat="1" applyFont="1" applyBorder="1" applyAlignment="1">
      <alignment horizontal="center"/>
    </xf>
    <xf numFmtId="164" fontId="10" fillId="0" borderId="0" xfId="12" applyNumberFormat="1" applyFont="1"/>
    <xf numFmtId="164" fontId="10" fillId="0" borderId="3" xfId="12" applyNumberFormat="1" applyFont="1" applyBorder="1"/>
    <xf numFmtId="10" fontId="10" fillId="0" borderId="0" xfId="12" applyNumberFormat="1" applyFont="1"/>
    <xf numFmtId="170" fontId="10" fillId="0" borderId="0" xfId="12" applyNumberFormat="1" applyFont="1"/>
    <xf numFmtId="171" fontId="10" fillId="0" borderId="10" xfId="12" applyNumberFormat="1" applyFont="1" applyBorder="1"/>
    <xf numFmtId="164" fontId="10" fillId="0" borderId="0" xfId="12" applyNumberFormat="1" applyFont="1" applyAlignment="1">
      <alignment horizontal="center"/>
    </xf>
    <xf numFmtId="3" fontId="10" fillId="0" borderId="0" xfId="12" applyNumberFormat="1" applyFont="1" applyBorder="1"/>
    <xf numFmtId="10" fontId="10" fillId="0" borderId="3" xfId="12" applyNumberFormat="1" applyFont="1" applyBorder="1"/>
    <xf numFmtId="168" fontId="10" fillId="0" borderId="0" xfId="15" applyNumberFormat="1" applyFont="1"/>
    <xf numFmtId="168" fontId="10" fillId="0" borderId="0" xfId="12" applyNumberFormat="1" applyFont="1"/>
    <xf numFmtId="168" fontId="10" fillId="0" borderId="3" xfId="12" applyNumberFormat="1" applyFont="1" applyBorder="1"/>
    <xf numFmtId="10" fontId="10" fillId="0" borderId="0" xfId="12" applyNumberFormat="1" applyFont="1" applyBorder="1"/>
    <xf numFmtId="0" fontId="18" fillId="0" borderId="0" xfId="12" applyFont="1"/>
    <xf numFmtId="10" fontId="18" fillId="0" borderId="0" xfId="12" applyNumberFormat="1" applyFont="1"/>
    <xf numFmtId="164" fontId="10" fillId="0" borderId="17" xfId="12" applyNumberFormat="1" applyFont="1" applyBorder="1"/>
    <xf numFmtId="3" fontId="10" fillId="0" borderId="0" xfId="12" applyNumberFormat="1" applyFont="1" applyAlignment="1">
      <alignment horizontal="left"/>
    </xf>
    <xf numFmtId="164" fontId="10" fillId="0" borderId="0" xfId="12" applyNumberFormat="1" applyFont="1" applyFill="1"/>
    <xf numFmtId="10" fontId="10" fillId="0" borderId="0" xfId="12" applyNumberFormat="1" applyFont="1" applyFill="1"/>
    <xf numFmtId="3" fontId="10" fillId="0" borderId="0" xfId="12" applyNumberFormat="1" applyFont="1" applyFill="1" applyBorder="1"/>
    <xf numFmtId="164" fontId="10" fillId="0" borderId="3" xfId="12" applyNumberFormat="1" applyFont="1" applyFill="1" applyBorder="1"/>
    <xf numFmtId="10" fontId="10" fillId="0" borderId="3" xfId="12" applyNumberFormat="1" applyFont="1" applyFill="1" applyBorder="1"/>
    <xf numFmtId="3" fontId="10" fillId="0" borderId="0" xfId="12" applyNumberFormat="1" applyFont="1" applyFill="1"/>
    <xf numFmtId="168" fontId="10" fillId="0" borderId="0" xfId="15" applyNumberFormat="1" applyFont="1" applyFill="1"/>
    <xf numFmtId="168" fontId="10" fillId="0" borderId="0" xfId="12" applyNumberFormat="1" applyFont="1" applyFill="1"/>
    <xf numFmtId="168" fontId="10" fillId="0" borderId="3" xfId="12" applyNumberFormat="1" applyFont="1" applyFill="1" applyBorder="1"/>
    <xf numFmtId="0" fontId="28" fillId="0" borderId="0" xfId="0" applyFont="1" applyBorder="1"/>
    <xf numFmtId="0" fontId="18" fillId="0" borderId="0" xfId="0" applyFont="1"/>
    <xf numFmtId="167" fontId="11" fillId="0" borderId="0" xfId="0" applyNumberFormat="1" applyFont="1"/>
    <xf numFmtId="167" fontId="10" fillId="0" borderId="0" xfId="0" applyNumberFormat="1" applyFont="1"/>
    <xf numFmtId="10" fontId="30" fillId="0" borderId="0" xfId="0" applyNumberFormat="1" applyFont="1"/>
    <xf numFmtId="0" fontId="11" fillId="0" borderId="0" xfId="0" applyFont="1" applyAlignment="1">
      <alignment horizontal="centerContinuous"/>
    </xf>
    <xf numFmtId="169" fontId="10" fillId="0" borderId="0" xfId="1" applyNumberFormat="1" applyFont="1"/>
    <xf numFmtId="169" fontId="11" fillId="0" borderId="0" xfId="1" applyNumberFormat="1" applyFont="1" applyAlignment="1">
      <alignment horizontal="center"/>
    </xf>
    <xf numFmtId="0" fontId="11" fillId="0" borderId="10" xfId="0" applyFont="1" applyBorder="1" applyAlignment="1">
      <alignment horizontal="center"/>
    </xf>
    <xf numFmtId="0" fontId="11" fillId="0" borderId="0" xfId="0" applyFont="1"/>
    <xf numFmtId="169" fontId="10" fillId="0" borderId="0" xfId="1" applyNumberFormat="1" applyFont="1" applyBorder="1"/>
    <xf numFmtId="169" fontId="10" fillId="0" borderId="10" xfId="1" applyNumberFormat="1" applyFont="1" applyBorder="1"/>
    <xf numFmtId="0" fontId="32" fillId="0" borderId="0" xfId="0" applyFont="1"/>
    <xf numFmtId="37" fontId="32" fillId="0" borderId="0" xfId="0" applyNumberFormat="1" applyFont="1" applyBorder="1"/>
    <xf numFmtId="37" fontId="22" fillId="0" borderId="0" xfId="0" applyNumberFormat="1" applyFont="1" applyBorder="1"/>
    <xf numFmtId="0" fontId="26" fillId="0" borderId="0" xfId="0" applyFont="1" applyAlignment="1">
      <alignment horizontal="left"/>
    </xf>
    <xf numFmtId="0" fontId="29" fillId="0" borderId="0" xfId="0" applyFont="1" applyAlignment="1">
      <alignment horizontal="centerContinuous"/>
    </xf>
    <xf numFmtId="0" fontId="29" fillId="0" borderId="0" xfId="0" applyFont="1" applyBorder="1" applyAlignment="1">
      <alignment horizontal="center"/>
    </xf>
    <xf numFmtId="0" fontId="29" fillId="0" borderId="10" xfId="0" applyFont="1" applyBorder="1" applyAlignment="1">
      <alignment horizontal="center"/>
    </xf>
    <xf numFmtId="167" fontId="18" fillId="0" borderId="0" xfId="0" applyNumberFormat="1" applyFont="1"/>
    <xf numFmtId="167" fontId="18" fillId="0" borderId="0" xfId="0" applyNumberFormat="1" applyFont="1" applyBorder="1"/>
    <xf numFmtId="167" fontId="18" fillId="0" borderId="12" xfId="0" applyNumberFormat="1" applyFont="1" applyBorder="1"/>
    <xf numFmtId="167" fontId="18" fillId="0" borderId="10" xfId="0" applyNumberFormat="1" applyFont="1" applyBorder="1"/>
    <xf numFmtId="3" fontId="22" fillId="0" borderId="0" xfId="12" applyNumberFormat="1" applyFont="1"/>
    <xf numFmtId="164" fontId="22" fillId="0" borderId="0" xfId="12" applyNumberFormat="1" applyFont="1"/>
    <xf numFmtId="6" fontId="10" fillId="0" borderId="0" xfId="2" applyNumberFormat="1" applyFont="1" applyBorder="1"/>
    <xf numFmtId="10" fontId="11" fillId="0" borderId="0" xfId="0" applyNumberFormat="1" applyFont="1" applyBorder="1" applyAlignment="1">
      <alignment horizontal="left"/>
    </xf>
    <xf numFmtId="10" fontId="11" fillId="0" borderId="0" xfId="0" applyNumberFormat="1" applyFont="1" applyBorder="1" applyAlignment="1">
      <alignment horizontal="center"/>
    </xf>
    <xf numFmtId="37" fontId="10" fillId="0" borderId="0" xfId="12" applyNumberFormat="1" applyFont="1" applyAlignment="1">
      <alignment horizontal="right"/>
    </xf>
    <xf numFmtId="37" fontId="22" fillId="0" borderId="10" xfId="0" applyNumberFormat="1" applyFont="1" applyBorder="1"/>
    <xf numFmtId="0" fontId="36" fillId="0" borderId="0" xfId="12" applyFont="1"/>
    <xf numFmtId="6" fontId="10" fillId="0" borderId="0" xfId="0" applyNumberFormat="1" applyFont="1"/>
    <xf numFmtId="0" fontId="24" fillId="0" borderId="0" xfId="0" applyFont="1" applyBorder="1"/>
    <xf numFmtId="0" fontId="24" fillId="0" borderId="0" xfId="0" applyFont="1" applyBorder="1" applyAlignment="1">
      <alignment horizontal="left"/>
    </xf>
    <xf numFmtId="0" fontId="24" fillId="0" borderId="0" xfId="0" applyFont="1" applyAlignment="1">
      <alignment horizontal="center"/>
    </xf>
    <xf numFmtId="0" fontId="24" fillId="0" borderId="0" xfId="0" applyFont="1"/>
    <xf numFmtId="0" fontId="24" fillId="0" borderId="0" xfId="0" applyFont="1" applyAlignment="1">
      <alignment horizontal="left"/>
    </xf>
    <xf numFmtId="37" fontId="24" fillId="0" borderId="0" xfId="0" applyNumberFormat="1" applyFont="1" applyBorder="1"/>
    <xf numFmtId="0" fontId="36" fillId="0" borderId="0" xfId="0" applyFont="1" applyAlignment="1">
      <alignment horizontal="center"/>
    </xf>
    <xf numFmtId="0" fontId="22" fillId="0" borderId="0" xfId="0" applyFont="1" applyAlignment="1">
      <alignment horizontal="left"/>
    </xf>
    <xf numFmtId="0" fontId="22" fillId="0" borderId="0" xfId="0" applyFont="1" applyBorder="1"/>
    <xf numFmtId="0" fontId="19" fillId="0" borderId="0" xfId="0" applyFont="1" applyAlignment="1">
      <alignment horizontal="center"/>
    </xf>
    <xf numFmtId="0" fontId="24" fillId="0" borderId="0" xfId="0" applyFont="1" applyBorder="1" applyAlignment="1">
      <alignment horizontal="center"/>
    </xf>
    <xf numFmtId="0" fontId="27" fillId="0" borderId="0" xfId="0" applyFont="1"/>
    <xf numFmtId="169" fontId="10" fillId="0" borderId="13" xfId="1" applyNumberFormat="1" applyFont="1" applyBorder="1"/>
    <xf numFmtId="3" fontId="35" fillId="0" borderId="0" xfId="12" applyNumberFormat="1" applyFont="1"/>
    <xf numFmtId="169" fontId="22" fillId="0" borderId="0" xfId="1" applyNumberFormat="1" applyFont="1"/>
    <xf numFmtId="37" fontId="22" fillId="0" borderId="0" xfId="0" applyNumberFormat="1" applyFont="1" applyFill="1" applyBorder="1"/>
    <xf numFmtId="0" fontId="22" fillId="0" borderId="0" xfId="0" applyFont="1" applyBorder="1" applyAlignment="1">
      <alignment horizontal="left"/>
    </xf>
    <xf numFmtId="10" fontId="24" fillId="0" borderId="0" xfId="0" applyNumberFormat="1" applyFont="1" applyBorder="1" applyAlignment="1">
      <alignment horizontal="center"/>
    </xf>
    <xf numFmtId="9" fontId="10" fillId="0" borderId="0" xfId="0" applyNumberFormat="1" applyFont="1" applyBorder="1" applyAlignment="1">
      <alignment horizontal="left"/>
    </xf>
    <xf numFmtId="169" fontId="10" fillId="0" borderId="3" xfId="2" applyNumberFormat="1" applyFont="1" applyBorder="1"/>
    <xf numFmtId="0" fontId="10" fillId="0" borderId="0" xfId="0" applyFont="1" applyFill="1" applyBorder="1"/>
    <xf numFmtId="169" fontId="10" fillId="0" borderId="0" xfId="0" applyNumberFormat="1" applyFont="1"/>
    <xf numFmtId="3" fontId="22" fillId="0" borderId="10" xfId="12" applyNumberFormat="1" applyFont="1" applyBorder="1"/>
    <xf numFmtId="0" fontId="11" fillId="0" borderId="0" xfId="0" applyFont="1" applyFill="1"/>
    <xf numFmtId="10" fontId="24" fillId="0" borderId="0" xfId="0" applyNumberFormat="1" applyFont="1" applyFill="1"/>
    <xf numFmtId="10" fontId="10" fillId="0" borderId="0" xfId="0" applyNumberFormat="1" applyFont="1"/>
    <xf numFmtId="37" fontId="10" fillId="0" borderId="10" xfId="0" applyNumberFormat="1" applyFont="1" applyBorder="1"/>
    <xf numFmtId="3" fontId="11" fillId="0" borderId="0" xfId="12" applyNumberFormat="1" applyFont="1"/>
    <xf numFmtId="0" fontId="24" fillId="0" borderId="0" xfId="0" applyFont="1" applyBorder="1" applyAlignment="1">
      <alignment horizontal="right"/>
    </xf>
    <xf numFmtId="0" fontId="37" fillId="0" borderId="0" xfId="0" applyFont="1" applyBorder="1" applyAlignment="1">
      <alignment horizontal="center"/>
    </xf>
    <xf numFmtId="0" fontId="37" fillId="0" borderId="0" xfId="0" applyFont="1" applyAlignment="1">
      <alignment horizontal="center"/>
    </xf>
    <xf numFmtId="0" fontId="10" fillId="0" borderId="0" xfId="0" applyFont="1" applyFill="1"/>
    <xf numFmtId="169" fontId="22" fillId="0" borderId="0" xfId="1" applyNumberFormat="1" applyFont="1" applyFill="1" applyBorder="1"/>
    <xf numFmtId="10" fontId="10" fillId="0" borderId="0" xfId="15" applyNumberFormat="1" applyFont="1" applyFill="1"/>
    <xf numFmtId="10" fontId="10" fillId="0" borderId="0" xfId="15" applyNumberFormat="1" applyFont="1"/>
    <xf numFmtId="3" fontId="22" fillId="0" borderId="0" xfId="0" applyNumberFormat="1" applyFont="1" applyFill="1"/>
    <xf numFmtId="0" fontId="22" fillId="0" borderId="0" xfId="0" applyFont="1" applyFill="1"/>
    <xf numFmtId="0" fontId="24" fillId="0" borderId="0" xfId="0" applyFont="1" applyFill="1"/>
    <xf numFmtId="37" fontId="22" fillId="0" borderId="0" xfId="0" applyNumberFormat="1" applyFont="1" applyFill="1"/>
    <xf numFmtId="0" fontId="24" fillId="0" borderId="0" xfId="0" applyFont="1" applyFill="1" applyAlignment="1">
      <alignment horizontal="left"/>
    </xf>
    <xf numFmtId="9" fontId="10" fillId="0" borderId="0" xfId="0" applyNumberFormat="1" applyFont="1" applyFill="1" applyAlignment="1">
      <alignment horizontal="left"/>
    </xf>
    <xf numFmtId="167" fontId="10" fillId="0" borderId="12" xfId="0" applyNumberFormat="1" applyFont="1" applyBorder="1"/>
    <xf numFmtId="0" fontId="17" fillId="0" borderId="0" xfId="0" applyFont="1" applyFill="1"/>
    <xf numFmtId="0" fontId="10" fillId="0" borderId="0" xfId="0" applyFont="1" applyFill="1" applyAlignment="1">
      <alignment horizontal="left"/>
    </xf>
    <xf numFmtId="10" fontId="36" fillId="0" borderId="10" xfId="12" applyNumberFormat="1" applyFont="1" applyFill="1" applyBorder="1"/>
    <xf numFmtId="3" fontId="35" fillId="0" borderId="0" xfId="12" applyNumberFormat="1" applyFont="1" applyFill="1"/>
    <xf numFmtId="0" fontId="20" fillId="0" borderId="0" xfId="0" applyFont="1" applyFill="1"/>
    <xf numFmtId="0" fontId="20" fillId="0" borderId="0" xfId="0" applyFont="1" applyFill="1" applyAlignment="1">
      <alignment horizontal="left"/>
    </xf>
    <xf numFmtId="37" fontId="20" fillId="0" borderId="0" xfId="0" applyNumberFormat="1" applyFont="1" applyFill="1" applyBorder="1"/>
    <xf numFmtId="169" fontId="10" fillId="0" borderId="0" xfId="1" applyNumberFormat="1" applyFont="1" applyFill="1" applyBorder="1"/>
    <xf numFmtId="0" fontId="10" fillId="3" borderId="0" xfId="0" applyFont="1" applyFill="1" applyAlignment="1">
      <alignment horizontal="left"/>
    </xf>
    <xf numFmtId="5" fontId="22" fillId="3" borderId="0" xfId="0" applyNumberFormat="1" applyFont="1" applyFill="1"/>
    <xf numFmtId="7" fontId="10" fillId="0" borderId="0" xfId="0" applyNumberFormat="1" applyFont="1"/>
    <xf numFmtId="5" fontId="10" fillId="0" borderId="18" xfId="0" applyNumberFormat="1" applyFont="1" applyBorder="1"/>
    <xf numFmtId="0" fontId="18" fillId="0" borderId="0" xfId="0" applyFont="1" applyBorder="1"/>
    <xf numFmtId="167" fontId="10" fillId="0" borderId="0" xfId="0" applyNumberFormat="1" applyFont="1" applyBorder="1"/>
    <xf numFmtId="5" fontId="10" fillId="0" borderId="16" xfId="0" applyNumberFormat="1" applyFont="1" applyFill="1" applyBorder="1"/>
    <xf numFmtId="0" fontId="22" fillId="0" borderId="0" xfId="0" applyFont="1" applyBorder="1" applyAlignment="1">
      <alignment horizontal="center"/>
    </xf>
    <xf numFmtId="10" fontId="22" fillId="0" borderId="0" xfId="0" applyNumberFormat="1" applyFont="1" applyBorder="1"/>
    <xf numFmtId="0" fontId="22" fillId="0" borderId="0" xfId="0" applyFont="1" applyFill="1" applyBorder="1"/>
    <xf numFmtId="6" fontId="10" fillId="0" borderId="16" xfId="2" applyNumberFormat="1" applyFont="1" applyBorder="1"/>
    <xf numFmtId="10" fontId="11" fillId="0" borderId="16" xfId="0" applyNumberFormat="1" applyFont="1" applyBorder="1" applyAlignment="1">
      <alignment horizontal="left"/>
    </xf>
    <xf numFmtId="0" fontId="8" fillId="0" borderId="0" xfId="11" applyFont="1" applyAlignment="1">
      <alignment horizontal="centerContinuous"/>
    </xf>
    <xf numFmtId="168" fontId="10" fillId="0" borderId="10" xfId="15" applyNumberFormat="1" applyFont="1" applyFill="1" applyBorder="1"/>
    <xf numFmtId="168" fontId="10" fillId="0" borderId="0" xfId="15" applyNumberFormat="1" applyFont="1" applyBorder="1"/>
    <xf numFmtId="169" fontId="10" fillId="0" borderId="0" xfId="0" applyNumberFormat="1" applyFont="1" applyBorder="1"/>
    <xf numFmtId="0" fontId="0" fillId="0" borderId="0" xfId="0" applyAlignment="1">
      <alignment horizontal="center"/>
    </xf>
    <xf numFmtId="0" fontId="24" fillId="0" borderId="0" xfId="0" applyFont="1" applyFill="1" applyBorder="1" applyAlignment="1">
      <alignment horizontal="left"/>
    </xf>
    <xf numFmtId="9" fontId="10" fillId="0" borderId="0" xfId="0" applyNumberFormat="1" applyFont="1" applyFill="1" applyBorder="1" applyAlignment="1">
      <alignment horizontal="left"/>
    </xf>
    <xf numFmtId="5" fontId="24" fillId="0" borderId="0" xfId="0" applyNumberFormat="1" applyFont="1"/>
    <xf numFmtId="5" fontId="10" fillId="0" borderId="0" xfId="0" applyNumberFormat="1" applyFont="1" applyFill="1"/>
    <xf numFmtId="5" fontId="10" fillId="0" borderId="0" xfId="0" applyNumberFormat="1" applyFont="1" applyFill="1" applyAlignment="1">
      <alignment horizontal="right"/>
    </xf>
    <xf numFmtId="5" fontId="10" fillId="0" borderId="0" xfId="0" applyNumberFormat="1" applyFont="1" applyBorder="1" applyAlignment="1">
      <alignment horizontal="right"/>
    </xf>
    <xf numFmtId="5" fontId="10" fillId="0" borderId="0" xfId="2" applyNumberFormat="1" applyFont="1"/>
    <xf numFmtId="5" fontId="10" fillId="0" borderId="0" xfId="0" applyNumberFormat="1" applyFont="1" applyAlignment="1">
      <alignment horizontal="right"/>
    </xf>
    <xf numFmtId="5" fontId="10" fillId="0" borderId="16" xfId="2" applyNumberFormat="1" applyFont="1" applyFill="1" applyBorder="1"/>
    <xf numFmtId="37" fontId="10" fillId="0" borderId="0" xfId="0" applyNumberFormat="1" applyFont="1" applyAlignment="1">
      <alignment horizontal="center"/>
    </xf>
    <xf numFmtId="37" fontId="11" fillId="0" borderId="10" xfId="0" applyNumberFormat="1" applyFont="1" applyBorder="1" applyAlignment="1">
      <alignment horizontal="center"/>
    </xf>
    <xf numFmtId="169" fontId="0" fillId="0" borderId="0" xfId="0" applyNumberFormat="1"/>
    <xf numFmtId="169" fontId="24" fillId="0" borderId="0" xfId="0" applyNumberFormat="1" applyFont="1" applyBorder="1" applyAlignment="1">
      <alignment horizontal="center"/>
    </xf>
    <xf numFmtId="10" fontId="10" fillId="0" borderId="12" xfId="0" applyNumberFormat="1" applyFont="1" applyBorder="1"/>
    <xf numFmtId="0" fontId="22" fillId="0" borderId="0" xfId="0" applyFont="1" applyAlignment="1">
      <alignment horizontal="center"/>
    </xf>
    <xf numFmtId="0" fontId="20" fillId="0" borderId="0" xfId="0" applyFont="1" applyAlignment="1">
      <alignment horizontal="center"/>
    </xf>
    <xf numFmtId="0" fontId="24" fillId="0" borderId="0" xfId="0" applyFont="1" applyFill="1" applyAlignment="1">
      <alignment horizontal="center"/>
    </xf>
    <xf numFmtId="0" fontId="32" fillId="0" borderId="0" xfId="0" applyFont="1" applyAlignment="1">
      <alignment horizontal="center"/>
    </xf>
    <xf numFmtId="0" fontId="20" fillId="0" borderId="0" xfId="0" applyFont="1" applyFill="1" applyAlignment="1">
      <alignment horizontal="center"/>
    </xf>
    <xf numFmtId="10" fontId="10" fillId="0" borderId="13" xfId="0" applyNumberFormat="1" applyFont="1" applyFill="1" applyBorder="1" applyAlignment="1">
      <alignment horizontal="left"/>
    </xf>
    <xf numFmtId="10" fontId="10" fillId="0" borderId="13" xfId="0" applyNumberFormat="1" applyFont="1" applyBorder="1" applyAlignment="1">
      <alignment horizontal="left"/>
    </xf>
    <xf numFmtId="0" fontId="41" fillId="0" borderId="0" xfId="0" applyFont="1" applyAlignment="1">
      <alignment horizontal="center"/>
    </xf>
    <xf numFmtId="0" fontId="11" fillId="0" borderId="0" xfId="0" applyFont="1" applyBorder="1" applyAlignment="1">
      <alignment horizontal="left"/>
    </xf>
    <xf numFmtId="0" fontId="11" fillId="0" borderId="0" xfId="0" applyFont="1" applyFill="1" applyAlignment="1">
      <alignment horizontal="left"/>
    </xf>
    <xf numFmtId="0" fontId="42" fillId="0" borderId="0" xfId="0" applyFont="1" applyAlignment="1">
      <alignment horizontal="center"/>
    </xf>
    <xf numFmtId="0" fontId="42" fillId="0" borderId="0" xfId="0" applyFont="1" applyFill="1" applyAlignment="1">
      <alignment horizontal="center"/>
    </xf>
    <xf numFmtId="0" fontId="43" fillId="0" borderId="0" xfId="0" applyFont="1" applyAlignment="1">
      <alignment horizontal="left"/>
    </xf>
    <xf numFmtId="0" fontId="22" fillId="0" borderId="10" xfId="0" applyFont="1" applyBorder="1"/>
    <xf numFmtId="0" fontId="45" fillId="0" borderId="0" xfId="0" applyFont="1" applyAlignment="1">
      <alignment horizontal="center"/>
    </xf>
    <xf numFmtId="0" fontId="46" fillId="0" borderId="0" xfId="0" applyFont="1" applyAlignment="1">
      <alignment horizontal="center"/>
    </xf>
    <xf numFmtId="3" fontId="10" fillId="0" borderId="0" xfId="0" applyNumberFormat="1" applyFont="1" applyFill="1"/>
    <xf numFmtId="37" fontId="32" fillId="0" borderId="10" xfId="0" applyNumberFormat="1" applyFont="1" applyBorder="1"/>
    <xf numFmtId="0" fontId="32" fillId="0" borderId="10" xfId="0" applyFont="1" applyBorder="1"/>
    <xf numFmtId="5" fontId="13" fillId="0" borderId="0" xfId="0" applyNumberFormat="1" applyFont="1" applyFill="1"/>
    <xf numFmtId="5" fontId="13" fillId="0" borderId="16" xfId="0" applyNumberFormat="1" applyFont="1" applyFill="1" applyBorder="1"/>
    <xf numFmtId="0" fontId="46" fillId="0" borderId="0" xfId="0" applyFont="1" applyFill="1" applyAlignment="1">
      <alignment horizontal="center"/>
    </xf>
    <xf numFmtId="3" fontId="23" fillId="0" borderId="0" xfId="0" applyNumberFormat="1" applyFont="1" applyFill="1" applyAlignment="1">
      <alignment horizontal="center"/>
    </xf>
    <xf numFmtId="5" fontId="10" fillId="0" borderId="0" xfId="0" applyNumberFormat="1" applyFont="1" applyFill="1" applyBorder="1"/>
    <xf numFmtId="10" fontId="10" fillId="0" borderId="0" xfId="0" applyNumberFormat="1" applyFont="1" applyFill="1" applyBorder="1" applyAlignment="1">
      <alignment horizontal="left"/>
    </xf>
    <xf numFmtId="175" fontId="10" fillId="0" borderId="0" xfId="0" applyNumberFormat="1" applyFont="1"/>
    <xf numFmtId="166" fontId="10" fillId="0" borderId="0" xfId="0" applyNumberFormat="1" applyFont="1"/>
    <xf numFmtId="166" fontId="10" fillId="0" borderId="0" xfId="0" applyNumberFormat="1" applyFont="1" applyBorder="1"/>
    <xf numFmtId="174" fontId="10" fillId="0" borderId="0" xfId="1" applyNumberFormat="1" applyFont="1" applyFill="1" applyBorder="1"/>
    <xf numFmtId="169" fontId="20" fillId="0" borderId="0" xfId="1" applyNumberFormat="1" applyFont="1"/>
    <xf numFmtId="169" fontId="24" fillId="0" borderId="0" xfId="1" applyNumberFormat="1" applyFont="1"/>
    <xf numFmtId="169" fontId="24" fillId="0" borderId="0" xfId="1" applyNumberFormat="1" applyFont="1" applyFill="1"/>
    <xf numFmtId="169" fontId="32" fillId="0" borderId="0" xfId="1" applyNumberFormat="1" applyFont="1"/>
    <xf numFmtId="169" fontId="10" fillId="0" borderId="0" xfId="1" applyNumberFormat="1" applyFont="1" applyFill="1"/>
    <xf numFmtId="169" fontId="20" fillId="0" borderId="0" xfId="1" applyNumberFormat="1" applyFont="1" applyFill="1"/>
    <xf numFmtId="169" fontId="10" fillId="0" borderId="0" xfId="0" applyNumberFormat="1" applyFont="1" applyFill="1" applyBorder="1"/>
    <xf numFmtId="169" fontId="11" fillId="0" borderId="0" xfId="0" applyNumberFormat="1" applyFont="1" applyFill="1" applyBorder="1"/>
    <xf numFmtId="0" fontId="20" fillId="0" borderId="0" xfId="0" applyFont="1" applyFill="1" applyBorder="1"/>
    <xf numFmtId="0" fontId="32" fillId="0" borderId="0" xfId="0" applyFont="1" applyFill="1" applyBorder="1"/>
    <xf numFmtId="165" fontId="10" fillId="0" borderId="0" xfId="15" applyNumberFormat="1" applyFont="1" applyFill="1" applyBorder="1"/>
    <xf numFmtId="10" fontId="10" fillId="0" borderId="0" xfId="0" applyNumberFormat="1" applyFont="1" applyFill="1" applyBorder="1"/>
    <xf numFmtId="0" fontId="32" fillId="0" borderId="0" xfId="0" applyFont="1" applyFill="1"/>
    <xf numFmtId="5" fontId="22" fillId="0" borderId="0" xfId="0" applyNumberFormat="1" applyFont="1" applyFill="1"/>
    <xf numFmtId="6" fontId="24" fillId="0" borderId="0" xfId="0" applyNumberFormat="1" applyFont="1"/>
    <xf numFmtId="0" fontId="10" fillId="0" borderId="0" xfId="0" applyFont="1" applyAlignment="1"/>
    <xf numFmtId="0" fontId="12" fillId="0" borderId="0" xfId="0" applyFont="1" applyAlignment="1"/>
    <xf numFmtId="6" fontId="24" fillId="0" borderId="0" xfId="0" applyNumberFormat="1" applyFont="1" applyBorder="1"/>
    <xf numFmtId="0" fontId="5" fillId="0" borderId="0" xfId="0" applyFont="1" applyFill="1" applyAlignment="1">
      <alignment horizontal="right"/>
    </xf>
    <xf numFmtId="5" fontId="5" fillId="0" borderId="0" xfId="0" applyNumberFormat="1" applyFont="1" applyFill="1" applyAlignment="1">
      <alignment horizontal="right"/>
    </xf>
    <xf numFmtId="0" fontId="5" fillId="0" borderId="0" xfId="0" applyFont="1" applyFill="1" applyBorder="1" applyAlignment="1">
      <alignment horizontal="right"/>
    </xf>
    <xf numFmtId="0" fontId="16" fillId="0" borderId="0" xfId="0" applyFont="1" applyAlignment="1">
      <alignment horizontal="right"/>
    </xf>
    <xf numFmtId="0" fontId="10" fillId="0" borderId="0" xfId="0" applyFont="1" applyAlignment="1">
      <alignment horizontal="center"/>
    </xf>
    <xf numFmtId="0" fontId="31" fillId="0" borderId="0" xfId="0" applyFont="1" applyAlignment="1">
      <alignment horizontal="center"/>
    </xf>
    <xf numFmtId="176" fontId="10" fillId="0" borderId="0" xfId="0" applyNumberFormat="1" applyFont="1" applyFill="1"/>
    <xf numFmtId="43" fontId="10" fillId="0" borderId="0" xfId="1" applyNumberFormat="1" applyFont="1" applyFill="1"/>
    <xf numFmtId="5" fontId="13" fillId="0" borderId="0" xfId="0" applyNumberFormat="1" applyFont="1" applyFill="1" applyBorder="1"/>
    <xf numFmtId="5" fontId="10" fillId="0" borderId="0" xfId="2" applyNumberFormat="1" applyFont="1" applyFill="1" applyBorder="1"/>
    <xf numFmtId="169" fontId="13" fillId="0" borderId="0" xfId="0" applyNumberFormat="1" applyFont="1" applyFill="1"/>
    <xf numFmtId="169" fontId="5" fillId="0" borderId="0" xfId="0" applyNumberFormat="1" applyFont="1" applyFill="1" applyAlignment="1">
      <alignment horizontal="right"/>
    </xf>
    <xf numFmtId="169" fontId="32" fillId="0" borderId="0" xfId="1" applyNumberFormat="1" applyFont="1" applyFill="1" applyBorder="1"/>
    <xf numFmtId="41" fontId="5" fillId="0" borderId="0" xfId="0" applyNumberFormat="1" applyFont="1"/>
    <xf numFmtId="41" fontId="5" fillId="0" borderId="0" xfId="13" applyNumberFormat="1" applyFont="1"/>
    <xf numFmtId="41" fontId="6" fillId="0" borderId="1" xfId="13" applyNumberFormat="1" applyFont="1" applyFill="1" applyBorder="1" applyAlignment="1">
      <alignment horizontal="center"/>
    </xf>
    <xf numFmtId="41" fontId="6" fillId="0" borderId="1" xfId="13" applyNumberFormat="1" applyFont="1" applyBorder="1" applyAlignment="1">
      <alignment horizontal="center"/>
    </xf>
    <xf numFmtId="41" fontId="6" fillId="0" borderId="5" xfId="13" applyNumberFormat="1" applyFont="1" applyBorder="1" applyAlignment="1">
      <alignment horizontal="center"/>
    </xf>
    <xf numFmtId="41" fontId="6" fillId="0" borderId="8" xfId="13" applyNumberFormat="1" applyFont="1" applyBorder="1" applyAlignment="1">
      <alignment horizontal="center"/>
    </xf>
    <xf numFmtId="41" fontId="5" fillId="0" borderId="10" xfId="13" applyNumberFormat="1" applyFont="1" applyBorder="1"/>
    <xf numFmtId="41" fontId="6" fillId="0" borderId="10" xfId="13" applyNumberFormat="1" applyFont="1" applyFill="1" applyBorder="1"/>
    <xf numFmtId="41" fontId="5" fillId="0" borderId="0" xfId="13" applyNumberFormat="1" applyFont="1" applyBorder="1"/>
    <xf numFmtId="37" fontId="5" fillId="0" borderId="0" xfId="13" applyNumberFormat="1" applyFont="1" applyFill="1" applyAlignment="1">
      <alignment horizontal="center"/>
    </xf>
    <xf numFmtId="5" fontId="5" fillId="0" borderId="0" xfId="13" applyNumberFormat="1" applyFont="1" applyFill="1"/>
    <xf numFmtId="4" fontId="10" fillId="0" borderId="0" xfId="0" applyNumberFormat="1" applyFont="1" applyAlignment="1">
      <alignment horizontal="center"/>
    </xf>
    <xf numFmtId="4" fontId="10"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10" fillId="0" borderId="0" xfId="0" applyFont="1" applyAlignment="1">
      <alignment horizontal="center"/>
    </xf>
    <xf numFmtId="41" fontId="10" fillId="0" borderId="0" xfId="0" applyNumberFormat="1" applyFont="1"/>
    <xf numFmtId="41" fontId="10" fillId="0" borderId="10" xfId="0" applyNumberFormat="1" applyFont="1" applyBorder="1"/>
    <xf numFmtId="41" fontId="10" fillId="0" borderId="10" xfId="0" applyNumberFormat="1" applyFont="1" applyBorder="1" applyAlignment="1">
      <alignment horizontal="center"/>
    </xf>
    <xf numFmtId="41" fontId="10" fillId="0" borderId="0" xfId="0" applyNumberFormat="1" applyFont="1" applyBorder="1" applyAlignment="1">
      <alignment horizontal="center"/>
    </xf>
    <xf numFmtId="41" fontId="10" fillId="0" borderId="0" xfId="2" applyNumberFormat="1" applyFont="1" applyFill="1" applyBorder="1"/>
    <xf numFmtId="41" fontId="10" fillId="0" borderId="0" xfId="0" applyNumberFormat="1" applyFont="1" applyFill="1" applyBorder="1"/>
    <xf numFmtId="41" fontId="10" fillId="0" borderId="0" xfId="2" applyNumberFormat="1" applyFont="1" applyBorder="1"/>
    <xf numFmtId="37" fontId="36" fillId="0" borderId="0" xfId="13" applyNumberFormat="1" applyFont="1" applyAlignment="1">
      <alignment horizontal="left"/>
    </xf>
    <xf numFmtId="37" fontId="10" fillId="0" borderId="0" xfId="13" applyNumberFormat="1" applyFont="1" applyBorder="1"/>
    <xf numFmtId="37" fontId="11" fillId="0" borderId="0" xfId="13" applyNumberFormat="1" applyFont="1"/>
    <xf numFmtId="37" fontId="10" fillId="0" borderId="0" xfId="13" applyNumberFormat="1" applyFont="1"/>
    <xf numFmtId="10" fontId="10" fillId="0" borderId="10" xfId="15" applyNumberFormat="1" applyFont="1" applyBorder="1"/>
    <xf numFmtId="5" fontId="10" fillId="0" borderId="10" xfId="0" applyNumberFormat="1" applyFont="1" applyBorder="1"/>
    <xf numFmtId="37" fontId="11" fillId="2" borderId="0" xfId="13" applyNumberFormat="1" applyFont="1" applyFill="1"/>
    <xf numFmtId="10" fontId="36" fillId="2" borderId="0" xfId="15" applyNumberFormat="1" applyFont="1" applyFill="1"/>
    <xf numFmtId="0" fontId="10" fillId="0" borderId="0" xfId="13" applyFont="1"/>
    <xf numFmtId="0" fontId="10" fillId="0" borderId="0" xfId="13" applyFont="1" applyBorder="1"/>
    <xf numFmtId="5" fontId="10" fillId="0" borderId="0" xfId="13" applyNumberFormat="1" applyFont="1" applyBorder="1"/>
    <xf numFmtId="0" fontId="36" fillId="0" borderId="0" xfId="0" applyFont="1" applyAlignment="1">
      <alignment horizontal="left"/>
    </xf>
    <xf numFmtId="0" fontId="36" fillId="0" borderId="0" xfId="0" applyFont="1"/>
    <xf numFmtId="169" fontId="36" fillId="0" borderId="0" xfId="1" applyNumberFormat="1" applyFont="1" applyBorder="1"/>
    <xf numFmtId="10" fontId="36" fillId="0" borderId="0" xfId="15" applyNumberFormat="1" applyFont="1"/>
    <xf numFmtId="10" fontId="5" fillId="0" borderId="0" xfId="15" applyNumberFormat="1" applyFont="1"/>
    <xf numFmtId="41" fontId="10" fillId="0" borderId="0" xfId="0" applyNumberFormat="1" applyFont="1" applyFill="1"/>
    <xf numFmtId="41" fontId="5" fillId="0" borderId="12" xfId="13"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5" fillId="0" borderId="15" xfId="6" applyNumberFormat="1" applyFont="1" applyBorder="1" applyAlignment="1">
      <alignment horizontal="centerContinuous"/>
    </xf>
    <xf numFmtId="3" fontId="15" fillId="0" borderId="12" xfId="6" applyNumberFormat="1" applyFont="1" applyBorder="1" applyAlignment="1">
      <alignment horizontal="centerContinuous"/>
    </xf>
    <xf numFmtId="3" fontId="14"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10" xfId="6" applyNumberFormat="1" applyFont="1" applyBorder="1" applyProtection="1">
      <protection locked="0"/>
    </xf>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3" applyNumberFormat="1" applyFont="1" applyFill="1"/>
    <xf numFmtId="41" fontId="5" fillId="0" borderId="10" xfId="0" applyNumberFormat="1" applyFont="1" applyBorder="1"/>
    <xf numFmtId="177" fontId="48" fillId="0" borderId="0" xfId="0" applyNumberFormat="1" applyFont="1" applyAlignment="1">
      <alignment horizontal="left"/>
    </xf>
    <xf numFmtId="0" fontId="48" fillId="0" borderId="0" xfId="0" applyFont="1"/>
    <xf numFmtId="3" fontId="48" fillId="0" borderId="0" xfId="0" applyNumberFormat="1" applyFont="1"/>
    <xf numFmtId="178" fontId="48" fillId="0" borderId="0" xfId="0" applyNumberFormat="1" applyFont="1" applyAlignment="1">
      <alignment horizontal="left"/>
    </xf>
    <xf numFmtId="178" fontId="48" fillId="0" borderId="0" xfId="0" applyNumberFormat="1" applyFont="1" applyFill="1" applyAlignment="1">
      <alignment horizontal="left"/>
    </xf>
    <xf numFmtId="3" fontId="48" fillId="0" borderId="0" xfId="0" applyNumberFormat="1" applyFont="1" applyFill="1"/>
    <xf numFmtId="0" fontId="48" fillId="0" borderId="0" xfId="0" applyFont="1" applyFill="1"/>
    <xf numFmtId="177" fontId="48" fillId="0" borderId="0" xfId="0" applyNumberFormat="1" applyFont="1" applyFill="1" applyAlignment="1">
      <alignment horizontal="left"/>
    </xf>
    <xf numFmtId="3" fontId="48" fillId="0" borderId="0" xfId="0" applyNumberFormat="1" applyFont="1" applyAlignment="1">
      <alignment horizontal="left"/>
    </xf>
    <xf numFmtId="177" fontId="48" fillId="0" borderId="0" xfId="0" applyNumberFormat="1" applyFont="1"/>
    <xf numFmtId="178" fontId="48" fillId="0" borderId="0" xfId="0" applyNumberFormat="1" applyFont="1" applyFill="1" applyAlignment="1">
      <alignment horizontal="center"/>
    </xf>
    <xf numFmtId="178" fontId="48" fillId="0" borderId="0" xfId="0" applyNumberFormat="1" applyFont="1" applyAlignment="1">
      <alignment horizontal="center"/>
    </xf>
    <xf numFmtId="0" fontId="48" fillId="0" borderId="0" xfId="0" applyNumberFormat="1" applyFont="1"/>
    <xf numFmtId="0" fontId="48" fillId="0" borderId="0" xfId="0" applyNumberFormat="1" applyFont="1" applyAlignment="1">
      <alignment horizontal="center"/>
    </xf>
    <xf numFmtId="177" fontId="48" fillId="0" borderId="0" xfId="0" applyNumberFormat="1" applyFont="1" applyAlignment="1">
      <alignment horizontal="center"/>
    </xf>
    <xf numFmtId="178" fontId="48" fillId="0" borderId="0" xfId="0" applyNumberFormat="1" applyFont="1"/>
    <xf numFmtId="177" fontId="48" fillId="6" borderId="0" xfId="0" applyNumberFormat="1" applyFont="1" applyFill="1"/>
    <xf numFmtId="3" fontId="48" fillId="6" borderId="0" xfId="0" applyNumberFormat="1" applyFont="1" applyFill="1"/>
    <xf numFmtId="0" fontId="48" fillId="6" borderId="0" xfId="0" applyFont="1" applyFill="1"/>
    <xf numFmtId="3" fontId="48" fillId="0" borderId="0" xfId="0" applyNumberFormat="1" applyFont="1" applyAlignment="1">
      <alignment horizontal="center"/>
    </xf>
    <xf numFmtId="3" fontId="48" fillId="0" borderId="0" xfId="0" applyNumberFormat="1" applyFont="1" applyFill="1" applyAlignment="1">
      <alignment horizontal="center"/>
    </xf>
    <xf numFmtId="3" fontId="48" fillId="6" borderId="0" xfId="0" applyNumberFormat="1" applyFont="1" applyFill="1" applyAlignment="1">
      <alignment horizontal="center"/>
    </xf>
    <xf numFmtId="177" fontId="48"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3" applyNumberFormat="1" applyFont="1" applyFill="1"/>
    <xf numFmtId="37" fontId="6" fillId="0" borderId="10" xfId="13" applyNumberFormat="1" applyFont="1" applyFill="1" applyBorder="1"/>
    <xf numFmtId="37" fontId="6" fillId="0" borderId="3" xfId="13" applyNumberFormat="1" applyFont="1" applyBorder="1"/>
    <xf numFmtId="37" fontId="6" fillId="0" borderId="3" xfId="13" applyNumberFormat="1" applyFont="1" applyFill="1" applyBorder="1"/>
    <xf numFmtId="2" fontId="10" fillId="0" borderId="0" xfId="0" applyNumberFormat="1" applyFont="1"/>
    <xf numFmtId="2" fontId="10" fillId="0" borderId="10" xfId="0" applyNumberFormat="1" applyFont="1" applyBorder="1" applyAlignment="1">
      <alignment horizontal="center"/>
    </xf>
    <xf numFmtId="2" fontId="17" fillId="0" borderId="0" xfId="0" applyNumberFormat="1" applyFont="1" applyAlignment="1">
      <alignment horizontal="center"/>
    </xf>
    <xf numFmtId="2" fontId="22" fillId="0" borderId="0" xfId="0" applyNumberFormat="1" applyFont="1" applyAlignment="1">
      <alignment horizontal="center"/>
    </xf>
    <xf numFmtId="2" fontId="17" fillId="0" borderId="0" xfId="0" applyNumberFormat="1" applyFont="1"/>
    <xf numFmtId="2" fontId="22" fillId="0" borderId="0" xfId="0" applyNumberFormat="1" applyFont="1" applyFill="1" applyAlignment="1">
      <alignment horizontal="center"/>
    </xf>
    <xf numFmtId="2" fontId="23" fillId="0" borderId="0" xfId="0" applyNumberFormat="1" applyFont="1" applyAlignment="1">
      <alignment horizontal="center"/>
    </xf>
    <xf numFmtId="2" fontId="10" fillId="0" borderId="0" xfId="0" applyNumberFormat="1" applyFont="1" applyFill="1" applyAlignment="1">
      <alignment horizontal="center"/>
    </xf>
    <xf numFmtId="2" fontId="10" fillId="0" borderId="0" xfId="0" applyNumberFormat="1" applyFont="1" applyAlignment="1">
      <alignment horizontal="center"/>
    </xf>
    <xf numFmtId="2" fontId="10" fillId="0" borderId="0" xfId="0" applyNumberFormat="1" applyFont="1" applyBorder="1" applyAlignment="1">
      <alignment horizontal="center"/>
    </xf>
    <xf numFmtId="10" fontId="5" fillId="0" borderId="0" xfId="15" applyNumberFormat="1" applyFont="1" applyBorder="1"/>
    <xf numFmtId="5" fontId="5" fillId="0" borderId="13" xfId="13" applyNumberFormat="1" applyFont="1" applyBorder="1"/>
    <xf numFmtId="5" fontId="6" fillId="0" borderId="13" xfId="13" applyNumberFormat="1" applyFont="1" applyFill="1" applyBorder="1"/>
    <xf numFmtId="5" fontId="5" fillId="0" borderId="13" xfId="0" applyNumberFormat="1" applyFont="1" applyBorder="1"/>
    <xf numFmtId="2" fontId="6" fillId="0" borderId="0" xfId="4" applyNumberFormat="1" applyFont="1" applyFill="1" applyBorder="1" applyAlignment="1" applyProtection="1">
      <alignment horizontal="center"/>
    </xf>
    <xf numFmtId="5" fontId="10" fillId="0" borderId="0" xfId="12" applyNumberFormat="1" applyFont="1" applyAlignment="1">
      <alignment horizontal="right"/>
    </xf>
    <xf numFmtId="37" fontId="6" fillId="0" borderId="0" xfId="13" applyNumberFormat="1" applyFont="1" applyFill="1" applyBorder="1"/>
    <xf numFmtId="0" fontId="10" fillId="0" borderId="0" xfId="0" applyFont="1" applyAlignment="1">
      <alignment horizontal="center"/>
    </xf>
    <xf numFmtId="4" fontId="10" fillId="0" borderId="0" xfId="12" applyNumberFormat="1" applyFont="1" applyBorder="1" applyAlignment="1">
      <alignment horizontal="centerContinuous"/>
    </xf>
    <xf numFmtId="4" fontId="10" fillId="0" borderId="0" xfId="12" applyNumberFormat="1" applyFont="1" applyAlignment="1">
      <alignment horizontal="center"/>
    </xf>
    <xf numFmtId="4" fontId="36" fillId="0" borderId="0" xfId="12" applyNumberFormat="1" applyFont="1" applyAlignment="1">
      <alignment horizontal="center"/>
    </xf>
    <xf numFmtId="4" fontId="11" fillId="0" borderId="0" xfId="12" applyNumberFormat="1" applyFont="1" applyAlignment="1">
      <alignment horizontal="centerContinuous"/>
    </xf>
    <xf numFmtId="4" fontId="25" fillId="0" borderId="0" xfId="12" applyNumberFormat="1" applyFont="1" applyBorder="1" applyAlignment="1">
      <alignment horizontal="centerContinuous"/>
    </xf>
    <xf numFmtId="4" fontId="10" fillId="0" borderId="0" xfId="12" applyNumberFormat="1" applyFont="1" applyAlignment="1">
      <alignment horizontal="centerContinuous"/>
    </xf>
    <xf numFmtId="4" fontId="10" fillId="0" borderId="0" xfId="12" applyNumberFormat="1" applyFont="1"/>
    <xf numFmtId="3" fontId="10" fillId="0" borderId="0" xfId="12" applyNumberFormat="1" applyFont="1" applyBorder="1" applyAlignment="1">
      <alignment horizontal="left"/>
    </xf>
    <xf numFmtId="3" fontId="10" fillId="0" borderId="10" xfId="12" applyNumberFormat="1" applyFont="1" applyBorder="1" applyAlignment="1">
      <alignment horizontal="left"/>
    </xf>
    <xf numFmtId="4" fontId="10" fillId="0" borderId="0" xfId="12" applyNumberFormat="1" applyFont="1" applyAlignment="1">
      <alignment horizontal="left"/>
    </xf>
    <xf numFmtId="3" fontId="36" fillId="0" borderId="0" xfId="12" applyNumberFormat="1" applyFont="1" applyAlignment="1">
      <alignment horizontal="left"/>
    </xf>
    <xf numFmtId="41" fontId="10" fillId="0" borderId="0" xfId="12" applyNumberFormat="1" applyFont="1" applyAlignment="1">
      <alignment horizontal="right"/>
    </xf>
    <xf numFmtId="0" fontId="10" fillId="0" borderId="10" xfId="12" applyFont="1" applyBorder="1" applyAlignment="1">
      <alignment horizontal="center"/>
    </xf>
    <xf numFmtId="169" fontId="22" fillId="0" borderId="10" xfId="1" applyNumberFormat="1" applyFont="1" applyFill="1" applyBorder="1"/>
    <xf numFmtId="0" fontId="10" fillId="0" borderId="0" xfId="12" applyFont="1" applyBorder="1"/>
    <xf numFmtId="0" fontId="10" fillId="0" borderId="10" xfId="0" applyFont="1" applyBorder="1" applyAlignment="1">
      <alignment horizontal="center"/>
    </xf>
    <xf numFmtId="43" fontId="10" fillId="0" borderId="10" xfId="1" applyNumberFormat="1" applyFont="1" applyBorder="1"/>
    <xf numFmtId="0" fontId="10" fillId="0" borderId="10" xfId="0" applyFont="1" applyBorder="1" applyAlignment="1">
      <alignment horizontal="center"/>
    </xf>
    <xf numFmtId="3" fontId="5" fillId="0" borderId="0" xfId="6" applyNumberFormat="1" applyFont="1" applyBorder="1" applyAlignment="1">
      <alignment horizontal="center"/>
    </xf>
    <xf numFmtId="0" fontId="6" fillId="0" borderId="0" xfId="13" applyNumberFormat="1" applyFont="1" applyBorder="1" applyAlignment="1">
      <alignment horizontal="center"/>
    </xf>
    <xf numFmtId="41" fontId="6" fillId="0" borderId="10" xfId="13" applyNumberFormat="1" applyFont="1" applyFill="1" applyBorder="1" applyAlignment="1">
      <alignment horizontal="center"/>
    </xf>
    <xf numFmtId="2" fontId="6" fillId="0" borderId="10" xfId="13" applyNumberFormat="1" applyFont="1" applyBorder="1" applyAlignment="1">
      <alignment horizontal="center"/>
    </xf>
    <xf numFmtId="2" fontId="5" fillId="0" borderId="10" xfId="13" applyNumberFormat="1" applyFont="1" applyBorder="1" applyAlignment="1">
      <alignment horizontal="left"/>
    </xf>
    <xf numFmtId="0" fontId="6" fillId="0" borderId="10" xfId="13" applyNumberFormat="1" applyFont="1" applyBorder="1" applyAlignment="1">
      <alignment horizontal="center"/>
    </xf>
    <xf numFmtId="0" fontId="6" fillId="0" borderId="10" xfId="13" applyFont="1" applyBorder="1" applyAlignment="1">
      <alignment horizontal="left"/>
    </xf>
    <xf numFmtId="4" fontId="10" fillId="0" borderId="0" xfId="0" applyNumberFormat="1" applyFont="1" applyAlignment="1">
      <alignment horizontal="left"/>
    </xf>
    <xf numFmtId="0" fontId="10" fillId="0" borderId="0" xfId="0" applyFont="1" applyAlignment="1">
      <alignment horizontal="center"/>
    </xf>
    <xf numFmtId="0" fontId="12" fillId="0" borderId="0" xfId="0" applyFont="1" applyAlignment="1">
      <alignment horizontal="center"/>
    </xf>
    <xf numFmtId="3" fontId="50" fillId="7" borderId="0" xfId="12" applyNumberFormat="1" applyFont="1" applyFill="1"/>
    <xf numFmtId="0" fontId="10" fillId="0" borderId="0" xfId="0" applyFont="1" applyAlignment="1">
      <alignment horizontal="right"/>
    </xf>
    <xf numFmtId="41" fontId="6" fillId="0" borderId="13" xfId="13" applyNumberFormat="1" applyFont="1" applyFill="1" applyBorder="1"/>
    <xf numFmtId="0" fontId="10" fillId="0" borderId="0" xfId="12" applyFont="1" applyBorder="1" applyAlignment="1">
      <alignment horizontal="center"/>
    </xf>
    <xf numFmtId="41" fontId="51" fillId="0" borderId="0" xfId="12" applyNumberFormat="1" applyFont="1" applyAlignment="1">
      <alignment horizontal="right"/>
    </xf>
    <xf numFmtId="3" fontId="52" fillId="0" borderId="0" xfId="12" applyNumberFormat="1" applyFont="1"/>
    <xf numFmtId="169" fontId="10" fillId="4" borderId="30" xfId="1" applyNumberFormat="1" applyFont="1" applyFill="1" applyBorder="1"/>
    <xf numFmtId="4" fontId="10" fillId="4" borderId="31" xfId="12" applyNumberFormat="1" applyFont="1" applyFill="1" applyBorder="1" applyAlignment="1">
      <alignment horizontal="center"/>
    </xf>
    <xf numFmtId="0" fontId="10" fillId="4" borderId="32" xfId="12" applyFont="1" applyFill="1" applyBorder="1" applyAlignment="1">
      <alignment horizontal="center"/>
    </xf>
    <xf numFmtId="0" fontId="10" fillId="0" borderId="0" xfId="0" applyFont="1" applyAlignment="1">
      <alignment horizontal="center"/>
    </xf>
    <xf numFmtId="4" fontId="10" fillId="0" borderId="0" xfId="0" applyNumberFormat="1" applyFont="1" applyFill="1" applyAlignment="1">
      <alignment horizontal="left"/>
    </xf>
    <xf numFmtId="10" fontId="5" fillId="0" borderId="0" xfId="0" applyNumberFormat="1" applyFont="1"/>
    <xf numFmtId="168" fontId="10" fillId="0" borderId="0" xfId="15" applyNumberFormat="1" applyFont="1" applyFill="1" applyBorder="1"/>
    <xf numFmtId="10" fontId="10" fillId="0" borderId="0" xfId="15" applyNumberFormat="1" applyFont="1" applyFill="1" applyBorder="1"/>
    <xf numFmtId="0" fontId="53" fillId="0" borderId="0" xfId="0" applyFont="1" applyFill="1" applyBorder="1"/>
    <xf numFmtId="0" fontId="11" fillId="0" borderId="0" xfId="0" applyFont="1" applyFill="1" applyBorder="1" applyAlignment="1">
      <alignment horizontal="left"/>
    </xf>
    <xf numFmtId="0" fontId="11" fillId="0" borderId="0" xfId="0" applyFont="1" applyFill="1" applyBorder="1" applyAlignment="1">
      <alignment horizontal="center"/>
    </xf>
    <xf numFmtId="37" fontId="10" fillId="0" borderId="0" xfId="13" applyNumberFormat="1" applyFont="1" applyFill="1" applyBorder="1"/>
    <xf numFmtId="37" fontId="22" fillId="0" borderId="0" xfId="13" applyNumberFormat="1" applyFont="1" applyFill="1" applyBorder="1"/>
    <xf numFmtId="10" fontId="22" fillId="0" borderId="0" xfId="15" applyNumberFormat="1" applyFont="1" applyFill="1" applyBorder="1"/>
    <xf numFmtId="37" fontId="11" fillId="0" borderId="0" xfId="13" applyNumberFormat="1" applyFont="1" applyFill="1" applyBorder="1"/>
    <xf numFmtId="10" fontId="11" fillId="0" borderId="0" xfId="15" applyNumberFormat="1" applyFont="1" applyFill="1" applyBorder="1" applyAlignment="1">
      <alignment horizontal="center"/>
    </xf>
    <xf numFmtId="168" fontId="22" fillId="0" borderId="0" xfId="15" applyNumberFormat="1" applyFont="1" applyFill="1" applyBorder="1"/>
    <xf numFmtId="0" fontId="10" fillId="0" borderId="0" xfId="0" applyFont="1" applyFill="1" applyBorder="1" applyAlignment="1">
      <alignment horizontal="right"/>
    </xf>
    <xf numFmtId="179" fontId="10" fillId="0" borderId="0" xfId="2" applyNumberFormat="1" applyFont="1" applyFill="1" applyBorder="1"/>
    <xf numFmtId="173" fontId="10" fillId="0" borderId="0" xfId="0" applyNumberFormat="1" applyFont="1" applyFill="1" applyBorder="1"/>
    <xf numFmtId="179" fontId="10" fillId="0" borderId="0" xfId="0" applyNumberFormat="1" applyFont="1" applyFill="1" applyBorder="1"/>
    <xf numFmtId="3" fontId="10" fillId="0" borderId="0" xfId="12" applyNumberFormat="1" applyFont="1" applyFill="1" applyBorder="1" applyAlignment="1">
      <alignment horizontal="left"/>
    </xf>
    <xf numFmtId="1" fontId="10" fillId="0" borderId="0" xfId="0" applyNumberFormat="1" applyFont="1" applyFill="1" applyBorder="1"/>
    <xf numFmtId="0" fontId="11" fillId="0" borderId="0" xfId="0" applyFont="1" applyAlignment="1">
      <alignment horizontal="center"/>
    </xf>
    <xf numFmtId="0" fontId="10" fillId="0" borderId="0" xfId="0" applyFont="1" applyAlignment="1">
      <alignment horizontal="center"/>
    </xf>
    <xf numFmtId="169" fontId="54" fillId="0" borderId="0" xfId="1" applyNumberFormat="1" applyFont="1" applyFill="1" applyBorder="1"/>
    <xf numFmtId="0" fontId="10"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172" fontId="10" fillId="0" borderId="0" xfId="2" applyNumberFormat="1" applyFont="1" applyBorder="1"/>
    <xf numFmtId="179" fontId="10" fillId="0" borderId="0" xfId="2" applyNumberFormat="1" applyFont="1"/>
    <xf numFmtId="172" fontId="10" fillId="0" borderId="0" xfId="0" applyNumberFormat="1" applyFont="1"/>
    <xf numFmtId="179" fontId="10" fillId="0" borderId="0" xfId="0" applyNumberFormat="1" applyFont="1"/>
    <xf numFmtId="179" fontId="10" fillId="0" borderId="35" xfId="0" applyNumberFormat="1" applyFont="1" applyBorder="1"/>
    <xf numFmtId="6" fontId="10" fillId="0" borderId="16" xfId="2" applyNumberFormat="1" applyFont="1" applyFill="1" applyBorder="1"/>
    <xf numFmtId="0" fontId="18" fillId="0" borderId="0" xfId="0" applyFont="1" applyFill="1"/>
    <xf numFmtId="0" fontId="10" fillId="0" borderId="0" xfId="13" applyFont="1" applyFill="1"/>
    <xf numFmtId="41" fontId="5" fillId="0" borderId="0" xfId="0" applyNumberFormat="1" applyFont="1" applyFill="1"/>
    <xf numFmtId="4" fontId="10" fillId="0" borderId="0" xfId="0" applyNumberFormat="1" applyFont="1" applyFill="1" applyBorder="1" applyAlignment="1">
      <alignment horizontal="left"/>
    </xf>
    <xf numFmtId="3" fontId="10" fillId="0" borderId="0" xfId="0" applyNumberFormat="1" applyFont="1" applyFill="1" applyBorder="1"/>
    <xf numFmtId="3" fontId="22" fillId="0" borderId="0" xfId="0" applyNumberFormat="1" applyFont="1" applyFill="1" applyBorder="1"/>
    <xf numFmtId="0" fontId="3" fillId="0" borderId="0" xfId="0" applyFont="1" applyFill="1" applyBorder="1" applyAlignment="1">
      <alignment horizontal="center"/>
    </xf>
    <xf numFmtId="37" fontId="3" fillId="0" borderId="0" xfId="0" applyNumberFormat="1" applyFont="1" applyFill="1" applyBorder="1" applyAlignment="1">
      <alignment horizontal="right"/>
    </xf>
    <xf numFmtId="10" fontId="3" fillId="0" borderId="0" xfId="0" applyNumberFormat="1" applyFont="1" applyFill="1" applyBorder="1" applyAlignment="1">
      <alignment horizontal="right"/>
    </xf>
    <xf numFmtId="0" fontId="3" fillId="0" borderId="0" xfId="0" applyFont="1" applyFill="1" applyBorder="1"/>
    <xf numFmtId="37" fontId="57" fillId="0" borderId="0" xfId="0" applyNumberFormat="1" applyFont="1" applyFill="1" applyBorder="1" applyAlignment="1">
      <alignment horizontal="right"/>
    </xf>
    <xf numFmtId="3" fontId="58" fillId="0" borderId="0" xfId="6" applyNumberFormat="1" applyFont="1" applyFill="1"/>
    <xf numFmtId="0" fontId="51" fillId="0" borderId="0" xfId="0" applyFont="1" applyAlignment="1">
      <alignment horizontal="center"/>
    </xf>
    <xf numFmtId="0" fontId="59" fillId="0" borderId="0" xfId="0" applyFont="1" applyAlignment="1">
      <alignment horizontal="center"/>
    </xf>
    <xf numFmtId="0" fontId="10" fillId="0" borderId="0" xfId="0" applyFont="1" applyAlignment="1">
      <alignment horizontal="center"/>
    </xf>
    <xf numFmtId="167" fontId="10" fillId="0" borderId="0" xfId="0" applyNumberFormat="1" applyFont="1"/>
    <xf numFmtId="169" fontId="5" fillId="0" borderId="0" xfId="1" applyNumberFormat="1" applyFont="1"/>
    <xf numFmtId="0" fontId="11" fillId="0" borderId="0" xfId="0" applyFont="1" applyBorder="1" applyAlignment="1">
      <alignment horizontal="center"/>
    </xf>
    <xf numFmtId="10" fontId="11" fillId="0" borderId="16" xfId="15" applyNumberFormat="1" applyFont="1" applyBorder="1"/>
    <xf numFmtId="0" fontId="10" fillId="0" borderId="0" xfId="0" applyFont="1" applyAlignment="1">
      <alignment horizontal="center"/>
    </xf>
    <xf numFmtId="37" fontId="22" fillId="8" borderId="0" xfId="0" applyNumberFormat="1" applyFont="1" applyFill="1"/>
    <xf numFmtId="37" fontId="10" fillId="8" borderId="0" xfId="0" applyNumberFormat="1" applyFont="1" applyFill="1"/>
    <xf numFmtId="169" fontId="10" fillId="8" borderId="0" xfId="1" applyNumberFormat="1" applyFont="1" applyFill="1" applyBorder="1"/>
    <xf numFmtId="41" fontId="22" fillId="0" borderId="0" xfId="0" applyNumberFormat="1" applyFont="1" applyFill="1" applyBorder="1"/>
    <xf numFmtId="41" fontId="10" fillId="0" borderId="12" xfId="2" applyNumberFormat="1" applyFont="1" applyFill="1" applyBorder="1"/>
    <xf numFmtId="41" fontId="6" fillId="0" borderId="0" xfId="13" quotePrefix="1" applyNumberFormat="1" applyFont="1" applyFill="1" applyAlignment="1">
      <alignment horizontal="center"/>
    </xf>
    <xf numFmtId="0" fontId="6" fillId="0" borderId="0" xfId="0" applyFont="1" applyBorder="1" applyAlignment="1">
      <alignment horizontal="center" wrapText="1"/>
    </xf>
    <xf numFmtId="5" fontId="11" fillId="0" borderId="0" xfId="0" applyNumberFormat="1" applyFont="1" applyBorder="1"/>
    <xf numFmtId="10" fontId="11" fillId="0" borderId="0" xfId="15" applyNumberFormat="1" applyFont="1" applyBorder="1"/>
    <xf numFmtId="10" fontId="6" fillId="0" borderId="0" xfId="0" applyNumberFormat="1" applyFont="1" applyAlignment="1">
      <alignment horizontal="right"/>
    </xf>
    <xf numFmtId="0" fontId="6" fillId="0" borderId="0" xfId="13" applyFont="1"/>
    <xf numFmtId="0" fontId="6" fillId="0" borderId="0" xfId="0" applyFont="1" applyAlignment="1">
      <alignment horizontal="centerContinuous"/>
    </xf>
    <xf numFmtId="0" fontId="11" fillId="0" borderId="0" xfId="0" applyFont="1" applyAlignment="1"/>
    <xf numFmtId="0" fontId="10" fillId="0" borderId="0" xfId="0" applyFont="1" applyAlignment="1">
      <alignment horizontal="center"/>
    </xf>
    <xf numFmtId="172" fontId="11" fillId="9" borderId="18" xfId="2" applyNumberFormat="1" applyFont="1" applyFill="1" applyBorder="1"/>
    <xf numFmtId="0" fontId="10" fillId="9" borderId="0" xfId="0" quotePrefix="1" applyFont="1" applyFill="1" applyAlignment="1">
      <alignment horizontal="center"/>
    </xf>
    <xf numFmtId="3" fontId="62" fillId="0" borderId="0" xfId="0" applyNumberFormat="1" applyFont="1"/>
    <xf numFmtId="178" fontId="62" fillId="0" borderId="0" xfId="0" applyNumberFormat="1" applyFont="1" applyAlignment="1">
      <alignment horizontal="left"/>
    </xf>
    <xf numFmtId="178" fontId="62" fillId="0" borderId="0" xfId="0" applyNumberFormat="1" applyFont="1" applyFill="1" applyAlignment="1">
      <alignment horizontal="left"/>
    </xf>
    <xf numFmtId="3" fontId="62" fillId="0" borderId="0" xfId="0" applyNumberFormat="1" applyFont="1" applyFill="1"/>
    <xf numFmtId="0" fontId="62" fillId="0" borderId="0" xfId="0" applyFont="1"/>
    <xf numFmtId="178" fontId="62" fillId="0" borderId="0" xfId="0" applyNumberFormat="1" applyFont="1" applyAlignment="1">
      <alignment horizontal="center"/>
    </xf>
    <xf numFmtId="0" fontId="10" fillId="0" borderId="0" xfId="0" applyFont="1" applyFill="1" applyBorder="1" applyAlignment="1">
      <alignment horizontal="center"/>
    </xf>
    <xf numFmtId="41" fontId="24" fillId="0" borderId="0" xfId="0" applyNumberFormat="1" applyFont="1"/>
    <xf numFmtId="0" fontId="11" fillId="0" borderId="0" xfId="0" applyFont="1" applyAlignment="1">
      <alignment horizontal="center"/>
    </xf>
    <xf numFmtId="0" fontId="62" fillId="0" borderId="0" xfId="0" applyFont="1" applyFill="1"/>
    <xf numFmtId="3" fontId="62" fillId="6" borderId="0" xfId="0" applyNumberFormat="1" applyFont="1" applyFill="1"/>
    <xf numFmtId="177" fontId="62" fillId="6" borderId="0" xfId="0" applyNumberFormat="1" applyFont="1" applyFill="1"/>
    <xf numFmtId="177" fontId="62" fillId="0" borderId="0" xfId="0" applyNumberFormat="1" applyFont="1"/>
    <xf numFmtId="177" fontId="62" fillId="0" borderId="0" xfId="0" applyNumberFormat="1" applyFont="1" applyFill="1"/>
    <xf numFmtId="3" fontId="63" fillId="0" borderId="0" xfId="14" applyNumberFormat="1" applyFont="1"/>
    <xf numFmtId="4" fontId="10" fillId="0" borderId="0" xfId="0" applyNumberFormat="1" applyFont="1" applyBorder="1" applyAlignment="1">
      <alignment horizontal="center"/>
    </xf>
    <xf numFmtId="4" fontId="10" fillId="0" borderId="0" xfId="0" applyNumberFormat="1" applyFont="1" applyBorder="1" applyAlignment="1">
      <alignment horizontal="left"/>
    </xf>
    <xf numFmtId="0" fontId="42" fillId="0" borderId="0" xfId="0" applyFont="1" applyBorder="1" applyAlignment="1">
      <alignment horizontal="center"/>
    </xf>
    <xf numFmtId="0" fontId="42" fillId="0" borderId="0" xfId="0" applyFont="1" applyFill="1" applyBorder="1" applyAlignment="1">
      <alignment horizontal="center"/>
    </xf>
    <xf numFmtId="4" fontId="10" fillId="0" borderId="0" xfId="0" applyNumberFormat="1" applyFont="1" applyFill="1" applyBorder="1" applyAlignment="1">
      <alignment horizontal="center"/>
    </xf>
    <xf numFmtId="0" fontId="10" fillId="0" borderId="0" xfId="0" applyFont="1" applyFill="1" applyBorder="1" applyAlignment="1">
      <alignment horizontal="left"/>
    </xf>
    <xf numFmtId="0" fontId="46" fillId="0" borderId="0" xfId="0" applyFont="1" applyFill="1" applyBorder="1" applyAlignment="1">
      <alignment horizontal="center"/>
    </xf>
    <xf numFmtId="0" fontId="24" fillId="0" borderId="0" xfId="0" applyFont="1" applyFill="1" applyBorder="1"/>
    <xf numFmtId="0" fontId="19" fillId="0" borderId="0" xfId="0" applyFont="1" applyFill="1" applyBorder="1"/>
    <xf numFmtId="0" fontId="5" fillId="0" borderId="0" xfId="13" applyNumberFormat="1" applyFont="1" applyAlignment="1">
      <alignment horizontal="left"/>
    </xf>
    <xf numFmtId="0" fontId="5" fillId="0" borderId="0" xfId="13" applyFont="1"/>
    <xf numFmtId="0" fontId="5" fillId="0" borderId="0" xfId="13" applyNumberFormat="1" applyFont="1" applyAlignment="1">
      <alignment horizontal="center"/>
    </xf>
    <xf numFmtId="0" fontId="6" fillId="0" borderId="0" xfId="13" applyNumberFormat="1" applyFont="1" applyAlignment="1">
      <alignment horizontal="center"/>
    </xf>
    <xf numFmtId="0" fontId="6" fillId="0" borderId="0" xfId="13" applyFont="1" applyAlignment="1">
      <alignment horizontal="center"/>
    </xf>
    <xf numFmtId="0" fontId="6" fillId="0" borderId="1" xfId="13" applyNumberFormat="1" applyFont="1" applyBorder="1" applyAlignment="1">
      <alignment horizontal="center"/>
    </xf>
    <xf numFmtId="0" fontId="6" fillId="0" borderId="2" xfId="13" applyFont="1" applyBorder="1" applyAlignment="1">
      <alignment horizontal="center"/>
    </xf>
    <xf numFmtId="0" fontId="6" fillId="0" borderId="3" xfId="13" applyFont="1" applyBorder="1" applyAlignment="1">
      <alignment horizontal="center"/>
    </xf>
    <xf numFmtId="0" fontId="6" fillId="0" borderId="5" xfId="13" applyNumberFormat="1" applyFont="1" applyBorder="1" applyAlignment="1">
      <alignment horizontal="center"/>
    </xf>
    <xf numFmtId="0" fontId="6" fillId="0" borderId="6" xfId="13" applyFont="1" applyBorder="1" applyAlignment="1">
      <alignment horizontal="center"/>
    </xf>
    <xf numFmtId="0" fontId="6" fillId="0" borderId="0" xfId="13" applyFont="1" applyBorder="1" applyAlignment="1">
      <alignment horizontal="center"/>
    </xf>
    <xf numFmtId="0" fontId="6" fillId="0" borderId="8" xfId="13" applyNumberFormat="1" applyFont="1" applyBorder="1" applyAlignment="1">
      <alignment horizontal="center"/>
    </xf>
    <xf numFmtId="0" fontId="6" fillId="0" borderId="9" xfId="13" applyFont="1" applyBorder="1" applyAlignment="1">
      <alignment horizontal="center"/>
    </xf>
    <xf numFmtId="0" fontId="6" fillId="0" borderId="10" xfId="13" applyFont="1" applyBorder="1" applyAlignment="1">
      <alignment horizontal="center"/>
    </xf>
    <xf numFmtId="37" fontId="5" fillId="0" borderId="0" xfId="13" applyNumberFormat="1" applyFont="1" applyAlignment="1">
      <alignment horizontal="center"/>
    </xf>
    <xf numFmtId="5" fontId="5" fillId="0" borderId="0" xfId="13" applyNumberFormat="1" applyFont="1"/>
    <xf numFmtId="37" fontId="5" fillId="0" borderId="0" xfId="13"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3" applyNumberFormat="1" applyFont="1" applyFill="1"/>
    <xf numFmtId="10" fontId="5" fillId="0" borderId="0" xfId="15" applyNumberFormat="1" applyFont="1" applyFill="1"/>
    <xf numFmtId="169" fontId="10" fillId="0" borderId="0" xfId="1" applyNumberFormat="1" applyFont="1" applyFill="1" applyBorder="1"/>
    <xf numFmtId="0" fontId="5" fillId="0" borderId="0" xfId="13" applyFont="1" applyBorder="1"/>
    <xf numFmtId="37" fontId="5" fillId="0" borderId="0" xfId="13" applyNumberFormat="1" applyFont="1" applyFill="1" applyBorder="1"/>
    <xf numFmtId="5" fontId="5" fillId="0" borderId="0" xfId="13" applyNumberFormat="1" applyFont="1" applyFill="1" applyBorder="1"/>
    <xf numFmtId="0" fontId="5" fillId="0" borderId="0" xfId="13" applyNumberFormat="1" applyFont="1" applyBorder="1" applyAlignment="1">
      <alignment horizontal="center"/>
    </xf>
    <xf numFmtId="41" fontId="6" fillId="0" borderId="0" xfId="13" applyNumberFormat="1" applyFont="1" applyFill="1"/>
    <xf numFmtId="41" fontId="5" fillId="0" borderId="0" xfId="13" applyNumberFormat="1" applyFont="1"/>
    <xf numFmtId="41" fontId="5" fillId="0" borderId="0" xfId="13" applyNumberFormat="1" applyFont="1" applyFill="1"/>
    <xf numFmtId="41" fontId="6" fillId="0" borderId="0" xfId="13" applyNumberFormat="1" applyFont="1"/>
    <xf numFmtId="41" fontId="6" fillId="0" borderId="0" xfId="13" applyNumberFormat="1" applyFont="1" applyFill="1" applyAlignment="1">
      <alignment horizontal="center"/>
    </xf>
    <xf numFmtId="41" fontId="5" fillId="0" borderId="0" xfId="14" applyNumberFormat="1" applyFont="1" applyAlignment="1">
      <alignment horizontal="center"/>
    </xf>
    <xf numFmtId="41" fontId="6" fillId="0" borderId="1" xfId="14"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5" xfId="14" applyNumberFormat="1" applyFont="1" applyFill="1" applyBorder="1" applyAlignment="1">
      <alignment horizontal="center"/>
    </xf>
    <xf numFmtId="41" fontId="6" fillId="0" borderId="8" xfId="13" applyNumberFormat="1" applyFont="1" applyFill="1" applyBorder="1" applyAlignment="1">
      <alignment horizontal="center"/>
    </xf>
    <xf numFmtId="41" fontId="6" fillId="0" borderId="8" xfId="14" applyNumberFormat="1" applyFont="1" applyFill="1" applyBorder="1" applyAlignment="1">
      <alignment horizontal="center"/>
    </xf>
    <xf numFmtId="41" fontId="5" fillId="0" borderId="0" xfId="13" applyNumberFormat="1" applyFont="1" applyFill="1" applyBorder="1"/>
    <xf numFmtId="41" fontId="5" fillId="0" borderId="10" xfId="13" applyNumberFormat="1" applyFont="1" applyFill="1" applyBorder="1"/>
    <xf numFmtId="41" fontId="5" fillId="0" borderId="10" xfId="13" applyNumberFormat="1" applyFont="1" applyBorder="1"/>
    <xf numFmtId="41" fontId="5" fillId="0" borderId="0" xfId="15" applyNumberFormat="1" applyFont="1" applyFill="1"/>
    <xf numFmtId="41" fontId="5" fillId="0" borderId="0" xfId="13" applyNumberFormat="1" applyFont="1" applyBorder="1"/>
    <xf numFmtId="41" fontId="6" fillId="0" borderId="0" xfId="13" applyNumberFormat="1" applyFont="1" applyBorder="1"/>
    <xf numFmtId="37" fontId="5" fillId="0" borderId="0" xfId="13" applyNumberFormat="1" applyFont="1" applyFill="1" applyAlignment="1">
      <alignment horizontal="center"/>
    </xf>
    <xf numFmtId="5" fontId="5" fillId="0" borderId="0" xfId="13" applyNumberFormat="1" applyFont="1" applyFill="1"/>
    <xf numFmtId="41" fontId="5" fillId="0" borderId="12" xfId="13" applyNumberFormat="1" applyFont="1" applyFill="1" applyBorder="1"/>
    <xf numFmtId="41" fontId="6" fillId="0" borderId="12" xfId="13" applyNumberFormat="1" applyFont="1" applyFill="1" applyBorder="1"/>
    <xf numFmtId="3" fontId="5" fillId="0" borderId="0" xfId="9" applyNumberFormat="1" applyFont="1" applyFill="1" applyAlignment="1">
      <alignment horizontal="center"/>
    </xf>
    <xf numFmtId="41" fontId="5" fillId="0" borderId="3" xfId="13" applyNumberFormat="1" applyFont="1" applyFill="1" applyBorder="1"/>
    <xf numFmtId="37" fontId="5" fillId="0" borderId="10" xfId="13" applyNumberFormat="1" applyFont="1" applyFill="1" applyBorder="1"/>
    <xf numFmtId="5" fontId="5" fillId="0" borderId="13" xfId="13" applyNumberFormat="1" applyFont="1" applyFill="1" applyBorder="1"/>
    <xf numFmtId="5" fontId="5" fillId="0" borderId="13" xfId="13" applyNumberFormat="1" applyFont="1" applyBorder="1"/>
    <xf numFmtId="5" fontId="5" fillId="0" borderId="0" xfId="10" applyNumberFormat="1" applyFont="1" applyFill="1" applyBorder="1"/>
    <xf numFmtId="2" fontId="6" fillId="0" borderId="0" xfId="13"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3" applyNumberFormat="1" applyFont="1" applyAlignment="1">
      <alignment horizontal="left"/>
    </xf>
    <xf numFmtId="41" fontId="6" fillId="0" borderId="0" xfId="13" applyNumberFormat="1" applyFont="1" applyBorder="1" applyAlignment="1">
      <alignment horizontal="center"/>
    </xf>
    <xf numFmtId="41" fontId="6" fillId="0" borderId="10" xfId="13" applyNumberFormat="1" applyFont="1" applyBorder="1" applyAlignment="1">
      <alignment horizontal="center"/>
    </xf>
    <xf numFmtId="2" fontId="6" fillId="0" borderId="10" xfId="4" applyNumberFormat="1" applyFont="1" applyBorder="1" applyAlignment="1" applyProtection="1">
      <alignment horizontal="center"/>
    </xf>
    <xf numFmtId="9" fontId="5" fillId="0" borderId="0" xfId="15" applyFont="1"/>
    <xf numFmtId="0" fontId="5" fillId="4" borderId="0" xfId="13" applyFont="1" applyFill="1"/>
    <xf numFmtId="41" fontId="5" fillId="4" borderId="10" xfId="13" applyNumberFormat="1" applyFont="1" applyFill="1" applyBorder="1"/>
    <xf numFmtId="41" fontId="6" fillId="4" borderId="10" xfId="13" applyNumberFormat="1" applyFont="1" applyFill="1" applyBorder="1"/>
    <xf numFmtId="0" fontId="5" fillId="0" borderId="0" xfId="13" applyFont="1" applyAlignment="1">
      <alignment vertical="top"/>
    </xf>
    <xf numFmtId="3" fontId="6" fillId="0" borderId="0" xfId="14" applyNumberFormat="1" applyFont="1" applyAlignment="1">
      <alignment horizontal="center"/>
    </xf>
    <xf numFmtId="41" fontId="6" fillId="9" borderId="8" xfId="13" applyNumberFormat="1" applyFont="1" applyFill="1" applyBorder="1" applyAlignment="1">
      <alignment horizontal="center"/>
    </xf>
    <xf numFmtId="2" fontId="6" fillId="9" borderId="5" xfId="13" applyNumberFormat="1" applyFont="1" applyFill="1" applyBorder="1" applyAlignment="1">
      <alignment horizontal="center"/>
    </xf>
    <xf numFmtId="41" fontId="6" fillId="9" borderId="5" xfId="13" applyNumberFormat="1" applyFont="1" applyFill="1" applyBorder="1"/>
    <xf numFmtId="5" fontId="6" fillId="9" borderId="5" xfId="13" applyNumberFormat="1" applyFont="1" applyFill="1" applyBorder="1"/>
    <xf numFmtId="41" fontId="6" fillId="9" borderId="8" xfId="13" applyNumberFormat="1" applyFont="1" applyFill="1" applyBorder="1"/>
    <xf numFmtId="41" fontId="6" fillId="9" borderId="1" xfId="13" applyNumberFormat="1" applyFont="1" applyFill="1" applyBorder="1"/>
    <xf numFmtId="41" fontId="6" fillId="9" borderId="37" xfId="13" applyNumberFormat="1" applyFont="1" applyFill="1" applyBorder="1"/>
    <xf numFmtId="10" fontId="6" fillId="9" borderId="5" xfId="15" applyNumberFormat="1" applyFont="1" applyFill="1" applyBorder="1"/>
    <xf numFmtId="41" fontId="56" fillId="0" borderId="0" xfId="13" applyNumberFormat="1" applyFont="1" applyFill="1" applyBorder="1" applyAlignment="1">
      <alignment vertical="top" wrapText="1"/>
    </xf>
    <xf numFmtId="0" fontId="6" fillId="0" borderId="1" xfId="13" applyFont="1" applyBorder="1" applyAlignment="1">
      <alignment horizontal="center"/>
    </xf>
    <xf numFmtId="41" fontId="6" fillId="0" borderId="4" xfId="13" applyNumberFormat="1" applyFont="1" applyBorder="1" applyAlignment="1">
      <alignment horizontal="center"/>
    </xf>
    <xf numFmtId="41" fontId="6" fillId="0" borderId="7" xfId="13" applyNumberFormat="1" applyFont="1" applyBorder="1" applyAlignment="1">
      <alignment horizontal="center"/>
    </xf>
    <xf numFmtId="41" fontId="6" fillId="0" borderId="11" xfId="13" applyNumberFormat="1" applyFont="1" applyBorder="1" applyAlignment="1">
      <alignment horizontal="center"/>
    </xf>
    <xf numFmtId="41" fontId="5" fillId="0" borderId="13" xfId="13" applyNumberFormat="1" applyFont="1" applyFill="1" applyBorder="1"/>
    <xf numFmtId="41" fontId="5" fillId="0" borderId="0" xfId="15" applyNumberFormat="1" applyFont="1"/>
    <xf numFmtId="168" fontId="5" fillId="0" borderId="0" xfId="15" applyNumberFormat="1" applyFont="1" applyFill="1"/>
    <xf numFmtId="10" fontId="5" fillId="0" borderId="0" xfId="15" applyNumberFormat="1" applyFont="1" applyFill="1" applyBorder="1"/>
    <xf numFmtId="2" fontId="22" fillId="0" borderId="22" xfId="0" applyNumberFormat="1" applyFont="1" applyFill="1" applyBorder="1" applyAlignment="1">
      <alignment horizontal="center"/>
    </xf>
    <xf numFmtId="167" fontId="18" fillId="0" borderId="13" xfId="0" applyNumberFormat="1" applyFont="1" applyBorder="1"/>
    <xf numFmtId="0" fontId="11" fillId="0" borderId="0" xfId="0" applyFont="1" applyBorder="1" applyAlignment="1">
      <alignment horizontal="center"/>
    </xf>
    <xf numFmtId="0" fontId="10" fillId="0" borderId="0" xfId="0" applyFont="1" applyAlignment="1">
      <alignment horizontal="center"/>
    </xf>
    <xf numFmtId="41" fontId="5" fillId="0" borderId="0" xfId="14" applyNumberFormat="1" applyFont="1" applyFill="1" applyAlignment="1">
      <alignment horizontal="center"/>
    </xf>
    <xf numFmtId="41" fontId="6" fillId="0" borderId="1" xfId="10" applyNumberFormat="1" applyFont="1" applyFill="1" applyBorder="1" applyAlignment="1">
      <alignment horizontal="center"/>
    </xf>
    <xf numFmtId="41" fontId="53" fillId="0" borderId="0" xfId="13" applyNumberFormat="1" applyFont="1" applyFill="1" applyAlignment="1"/>
    <xf numFmtId="41" fontId="6" fillId="0" borderId="0" xfId="13" applyNumberFormat="1" applyFont="1" applyFill="1" applyBorder="1" applyAlignment="1">
      <alignment horizontal="right"/>
    </xf>
    <xf numFmtId="41" fontId="6" fillId="0" borderId="7" xfId="13" applyNumberFormat="1" applyFont="1" applyFill="1" applyBorder="1" applyAlignment="1">
      <alignment horizontal="center"/>
    </xf>
    <xf numFmtId="41" fontId="6" fillId="0" borderId="11" xfId="13" applyNumberFormat="1" applyFont="1" applyFill="1" applyBorder="1" applyAlignment="1">
      <alignment horizontal="center"/>
    </xf>
    <xf numFmtId="3" fontId="6" fillId="0" borderId="0" xfId="14" applyNumberFormat="1" applyFont="1" applyFill="1" applyAlignment="1">
      <alignment horizontal="center"/>
    </xf>
    <xf numFmtId="0" fontId="10" fillId="0" borderId="0" xfId="0" applyFont="1" applyAlignment="1">
      <alignment horizontal="center"/>
    </xf>
    <xf numFmtId="0" fontId="5" fillId="0" borderId="0" xfId="13" applyFont="1" applyFill="1"/>
    <xf numFmtId="41" fontId="5" fillId="0" borderId="0" xfId="13" applyNumberFormat="1" applyFont="1" applyFill="1" applyAlignment="1">
      <alignment horizontal="center"/>
    </xf>
    <xf numFmtId="41" fontId="6" fillId="0" borderId="4" xfId="13" applyNumberFormat="1" applyFont="1" applyFill="1" applyBorder="1" applyAlignment="1">
      <alignment horizontal="center"/>
    </xf>
    <xf numFmtId="41" fontId="6" fillId="0" borderId="0" xfId="13" applyNumberFormat="1" applyFont="1" applyFill="1" applyBorder="1"/>
    <xf numFmtId="2" fontId="6" fillId="0" borderId="0" xfId="13" applyNumberFormat="1" applyFont="1" applyFill="1" applyBorder="1" applyAlignment="1">
      <alignment horizontal="center"/>
    </xf>
    <xf numFmtId="0" fontId="22" fillId="0" borderId="0" xfId="0" applyFont="1" applyFill="1" applyAlignment="1">
      <alignment horizontal="center"/>
    </xf>
    <xf numFmtId="41" fontId="6" fillId="0" borderId="0" xfId="13" applyNumberFormat="1" applyFont="1" applyFill="1" applyBorder="1" applyAlignment="1">
      <alignment vertical="center" wrapText="1"/>
    </xf>
    <xf numFmtId="0" fontId="64" fillId="4" borderId="0" xfId="0" applyFont="1" applyFill="1"/>
    <xf numFmtId="3" fontId="48" fillId="4" borderId="0" xfId="0" applyNumberFormat="1" applyFont="1" applyFill="1"/>
    <xf numFmtId="0" fontId="10" fillId="0" borderId="10" xfId="12" applyFont="1" applyBorder="1"/>
    <xf numFmtId="164" fontId="10" fillId="0" borderId="10" xfId="12" applyNumberFormat="1" applyFont="1" applyBorder="1"/>
    <xf numFmtId="5" fontId="10" fillId="0" borderId="10" xfId="12" applyNumberFormat="1" applyFont="1" applyBorder="1" applyAlignment="1">
      <alignment horizontal="right"/>
    </xf>
    <xf numFmtId="3" fontId="24" fillId="0" borderId="10" xfId="12" applyNumberFormat="1" applyFont="1" applyBorder="1"/>
    <xf numFmtId="3" fontId="10" fillId="0" borderId="10" xfId="12" applyNumberFormat="1" applyFont="1" applyBorder="1"/>
    <xf numFmtId="169" fontId="50" fillId="7" borderId="0" xfId="1" applyNumberFormat="1" applyFont="1" applyFill="1"/>
    <xf numFmtId="0" fontId="6" fillId="0" borderId="10" xfId="0" applyFont="1" applyBorder="1" applyAlignment="1">
      <alignment horizontal="center" vertical="center" wrapText="1"/>
    </xf>
    <xf numFmtId="5" fontId="10" fillId="0" borderId="0" xfId="2" applyNumberFormat="1" applyFont="1" applyFill="1"/>
    <xf numFmtId="2" fontId="10" fillId="0" borderId="0" xfId="0" applyNumberFormat="1" applyFont="1" applyFill="1" applyAlignment="1">
      <alignment horizontal="left"/>
    </xf>
    <xf numFmtId="0" fontId="11" fillId="0" borderId="0" xfId="0" applyFont="1" applyAlignment="1">
      <alignment horizontal="center"/>
    </xf>
    <xf numFmtId="0" fontId="11" fillId="0" borderId="0" xfId="0" applyFont="1" applyFill="1" applyBorder="1" applyAlignment="1">
      <alignment horizontal="center"/>
    </xf>
    <xf numFmtId="41" fontId="6" fillId="0" borderId="2" xfId="0" quotePrefix="1" applyNumberFormat="1" applyFont="1" applyBorder="1" applyAlignment="1">
      <alignment horizontal="center"/>
    </xf>
    <xf numFmtId="41" fontId="6" fillId="0" borderId="4" xfId="0" applyNumberFormat="1" applyFont="1" applyFill="1" applyBorder="1" applyAlignment="1">
      <alignment horizontal="center"/>
    </xf>
    <xf numFmtId="41" fontId="6" fillId="0" borderId="3" xfId="0" applyNumberFormat="1" applyFont="1" applyBorder="1" applyAlignment="1">
      <alignment horizontal="centerContinuous"/>
    </xf>
    <xf numFmtId="41" fontId="6" fillId="0" borderId="4" xfId="0" applyNumberFormat="1" applyFont="1" applyBorder="1" applyAlignment="1">
      <alignment horizontal="centerContinuous"/>
    </xf>
    <xf numFmtId="41" fontId="6" fillId="0" borderId="0" xfId="0" applyNumberFormat="1" applyFont="1" applyFill="1"/>
    <xf numFmtId="41" fontId="6" fillId="0" borderId="6" xfId="0" applyNumberFormat="1" applyFont="1" applyBorder="1" applyAlignment="1">
      <alignment horizontal="center"/>
    </xf>
    <xf numFmtId="41" fontId="6" fillId="0" borderId="9" xfId="0" applyNumberFormat="1" applyFont="1" applyBorder="1" applyAlignment="1">
      <alignment horizontal="center"/>
    </xf>
    <xf numFmtId="41" fontId="6" fillId="0" borderId="7" xfId="0" applyNumberFormat="1" applyFont="1" applyFill="1" applyBorder="1" applyAlignment="1">
      <alignment horizontal="center"/>
    </xf>
    <xf numFmtId="41" fontId="6" fillId="0" borderId="11" xfId="0" applyNumberFormat="1" applyFont="1" applyFill="1" applyBorder="1" applyAlignment="1">
      <alignment horizontal="center"/>
    </xf>
    <xf numFmtId="41" fontId="6" fillId="6" borderId="1" xfId="0" applyNumberFormat="1" applyFont="1" applyFill="1" applyBorder="1" applyAlignment="1">
      <alignment horizontal="left"/>
    </xf>
    <xf numFmtId="169" fontId="5" fillId="0" borderId="10" xfId="1" applyNumberFormat="1" applyFont="1" applyBorder="1"/>
    <xf numFmtId="41" fontId="5" fillId="0" borderId="13" xfId="0" applyNumberFormat="1" applyFont="1" applyBorder="1"/>
    <xf numFmtId="41" fontId="6" fillId="6" borderId="1" xfId="0" quotePrefix="1" applyNumberFormat="1" applyFont="1" applyFill="1" applyBorder="1" applyAlignment="1">
      <alignment horizontal="center"/>
    </xf>
    <xf numFmtId="5" fontId="11" fillId="0" borderId="27" xfId="0" applyNumberFormat="1" applyFont="1" applyFill="1" applyBorder="1"/>
    <xf numFmtId="0" fontId="65" fillId="6" borderId="19" xfId="0" applyFont="1" applyFill="1" applyBorder="1" applyAlignment="1">
      <alignment horizontal="left"/>
    </xf>
    <xf numFmtId="0" fontId="65" fillId="6" borderId="20" xfId="0" applyFont="1" applyFill="1" applyBorder="1" applyAlignment="1">
      <alignment horizontal="center"/>
    </xf>
    <xf numFmtId="0" fontId="65" fillId="6" borderId="21" xfId="0" applyFont="1" applyFill="1" applyBorder="1" applyAlignment="1">
      <alignment horizontal="center"/>
    </xf>
    <xf numFmtId="37" fontId="39" fillId="6" borderId="22" xfId="13" applyNumberFormat="1" applyFont="1" applyFill="1" applyBorder="1"/>
    <xf numFmtId="37" fontId="39" fillId="6" borderId="0" xfId="13" applyNumberFormat="1" applyFont="1" applyFill="1" applyBorder="1"/>
    <xf numFmtId="0" fontId="65" fillId="6" borderId="0" xfId="0" applyFont="1" applyFill="1" applyBorder="1" applyAlignment="1">
      <alignment horizontal="center"/>
    </xf>
    <xf numFmtId="37" fontId="66" fillId="6" borderId="0" xfId="13" applyNumberFormat="1" applyFont="1" applyFill="1" applyBorder="1"/>
    <xf numFmtId="0" fontId="65" fillId="6" borderId="23" xfId="0" applyFont="1" applyFill="1" applyBorder="1" applyAlignment="1">
      <alignment horizontal="center"/>
    </xf>
    <xf numFmtId="0" fontId="39" fillId="6" borderId="0" xfId="0" applyFont="1" applyFill="1" applyBorder="1"/>
    <xf numFmtId="0" fontId="65" fillId="6" borderId="10" xfId="0" applyFont="1" applyFill="1" applyBorder="1" applyAlignment="1">
      <alignment horizontal="center"/>
    </xf>
    <xf numFmtId="0" fontId="65" fillId="6" borderId="39" xfId="0" applyFont="1" applyFill="1" applyBorder="1" applyAlignment="1">
      <alignment horizontal="center"/>
    </xf>
    <xf numFmtId="37" fontId="39" fillId="6" borderId="23" xfId="13" applyNumberFormat="1" applyFont="1" applyFill="1" applyBorder="1"/>
    <xf numFmtId="5" fontId="39" fillId="6" borderId="0" xfId="0" applyNumberFormat="1" applyFont="1" applyFill="1" applyBorder="1"/>
    <xf numFmtId="165" fontId="39" fillId="6" borderId="0" xfId="15" applyNumberFormat="1" applyFont="1" applyFill="1" applyBorder="1"/>
    <xf numFmtId="10" fontId="39" fillId="6" borderId="0" xfId="15" applyNumberFormat="1" applyFont="1" applyFill="1" applyBorder="1"/>
    <xf numFmtId="10" fontId="39" fillId="6" borderId="23" xfId="15" applyNumberFormat="1" applyFont="1" applyFill="1" applyBorder="1"/>
    <xf numFmtId="169" fontId="39" fillId="6" borderId="0" xfId="1" applyNumberFormat="1" applyFont="1" applyFill="1" applyBorder="1"/>
    <xf numFmtId="168" fontId="39" fillId="6" borderId="0" xfId="15" applyNumberFormat="1" applyFont="1" applyFill="1" applyBorder="1"/>
    <xf numFmtId="168" fontId="66" fillId="6" borderId="0" xfId="15" applyNumberFormat="1" applyFont="1" applyFill="1" applyBorder="1"/>
    <xf numFmtId="10" fontId="39" fillId="6" borderId="16" xfId="15" applyNumberFormat="1" applyFont="1" applyFill="1" applyBorder="1"/>
    <xf numFmtId="10" fontId="39" fillId="6" borderId="40" xfId="15" applyNumberFormat="1" applyFont="1" applyFill="1" applyBorder="1"/>
    <xf numFmtId="37" fontId="39" fillId="6" borderId="24" xfId="13" applyNumberFormat="1" applyFont="1" applyFill="1" applyBorder="1"/>
    <xf numFmtId="0" fontId="39" fillId="6" borderId="25" xfId="0" applyFont="1" applyFill="1" applyBorder="1"/>
    <xf numFmtId="169" fontId="39" fillId="6" borderId="25" xfId="1" applyNumberFormat="1" applyFont="1" applyFill="1" applyBorder="1"/>
    <xf numFmtId="10" fontId="39" fillId="6" borderId="25" xfId="15" applyNumberFormat="1" applyFont="1" applyFill="1" applyBorder="1"/>
    <xf numFmtId="10" fontId="66" fillId="6" borderId="25" xfId="15" applyNumberFormat="1" applyFont="1" applyFill="1" applyBorder="1"/>
    <xf numFmtId="10" fontId="39" fillId="6" borderId="26" xfId="15" applyNumberFormat="1" applyFont="1" applyFill="1" applyBorder="1"/>
    <xf numFmtId="0" fontId="10" fillId="0" borderId="0" xfId="0" applyFont="1" applyAlignment="1">
      <alignment vertical="top" wrapText="1"/>
    </xf>
    <xf numFmtId="41" fontId="6" fillId="0" borderId="1" xfId="0" quotePrefix="1" applyNumberFormat="1" applyFont="1" applyBorder="1" applyAlignment="1">
      <alignment horizontal="center"/>
    </xf>
    <xf numFmtId="0" fontId="56" fillId="0" borderId="0" xfId="13" applyFont="1"/>
    <xf numFmtId="0" fontId="5" fillId="0" borderId="0" xfId="13" applyNumberFormat="1" applyFont="1" applyAlignment="1">
      <alignment horizontal="left"/>
    </xf>
    <xf numFmtId="10" fontId="11" fillId="0" borderId="16" xfId="15" applyNumberFormat="1" applyFont="1" applyFill="1" applyBorder="1"/>
    <xf numFmtId="0" fontId="11" fillId="0" borderId="0" xfId="0" applyFont="1" applyBorder="1" applyAlignment="1">
      <alignment horizontal="center"/>
    </xf>
    <xf numFmtId="0" fontId="10" fillId="9" borderId="0" xfId="0" quotePrefix="1" applyFont="1" applyFill="1" applyBorder="1" applyAlignment="1">
      <alignment horizontal="center"/>
    </xf>
    <xf numFmtId="0" fontId="10" fillId="0" borderId="0" xfId="0" quotePrefix="1" applyFont="1"/>
    <xf numFmtId="3" fontId="63" fillId="0" borderId="0" xfId="14" applyNumberFormat="1" applyFont="1" applyFill="1"/>
    <xf numFmtId="41" fontId="6" fillId="0" borderId="0" xfId="14" applyNumberFormat="1" applyFont="1" applyFill="1" applyAlignment="1">
      <alignment horizontal="center"/>
    </xf>
    <xf numFmtId="10" fontId="6" fillId="0" borderId="0" xfId="15" applyNumberFormat="1" applyFont="1" applyFill="1" applyBorder="1"/>
    <xf numFmtId="3" fontId="6" fillId="0" borderId="0" xfId="14" applyNumberFormat="1" applyFont="1" applyFill="1" applyBorder="1" applyAlignment="1">
      <alignment horizontal="center"/>
    </xf>
    <xf numFmtId="41" fontId="6" fillId="0" borderId="0" xfId="13" applyNumberFormat="1" applyFont="1" applyFill="1" applyBorder="1" applyAlignment="1">
      <alignment wrapText="1"/>
    </xf>
    <xf numFmtId="3" fontId="6" fillId="0" borderId="10" xfId="14" applyNumberFormat="1" applyFont="1" applyFill="1" applyBorder="1" applyAlignment="1">
      <alignment horizontal="center"/>
    </xf>
    <xf numFmtId="41" fontId="6" fillId="0" borderId="0" xfId="14" quotePrefix="1" applyNumberFormat="1" applyFont="1" applyFill="1" applyAlignment="1">
      <alignment horizontal="center"/>
    </xf>
    <xf numFmtId="41" fontId="6" fillId="0" borderId="0" xfId="13" applyNumberFormat="1" applyFont="1" applyFill="1" applyBorder="1" applyAlignment="1">
      <alignment horizontal="center" wrapText="1"/>
    </xf>
    <xf numFmtId="5" fontId="11" fillId="0" borderId="18" xfId="0" applyNumberFormat="1" applyFont="1" applyFill="1" applyBorder="1"/>
    <xf numFmtId="0" fontId="10" fillId="0" borderId="0" xfId="0" applyFont="1" applyAlignment="1">
      <alignment horizontal="center"/>
    </xf>
    <xf numFmtId="4" fontId="10" fillId="0" borderId="10" xfId="0" applyNumberFormat="1" applyFont="1" applyFill="1" applyBorder="1" applyAlignment="1">
      <alignment horizontal="center"/>
    </xf>
    <xf numFmtId="3" fontId="10" fillId="0" borderId="10" xfId="0" applyNumberFormat="1" applyFont="1" applyFill="1" applyBorder="1"/>
    <xf numFmtId="41" fontId="10" fillId="0" borderId="10" xfId="0" applyNumberFormat="1" applyFont="1" applyFill="1" applyBorder="1"/>
    <xf numFmtId="0" fontId="10" fillId="0" borderId="10" xfId="0" applyFont="1" applyFill="1" applyBorder="1" applyAlignment="1">
      <alignment horizontal="left"/>
    </xf>
    <xf numFmtId="0" fontId="11" fillId="0" borderId="0" xfId="0" applyFont="1" applyFill="1" applyBorder="1"/>
    <xf numFmtId="10" fontId="11" fillId="0" borderId="0" xfId="0" applyNumberFormat="1" applyFont="1" applyFill="1" applyBorder="1" applyAlignment="1">
      <alignment horizontal="left"/>
    </xf>
    <xf numFmtId="0" fontId="11" fillId="0" borderId="0" xfId="0" applyFont="1" applyAlignment="1">
      <alignment horizontal="center"/>
    </xf>
    <xf numFmtId="178" fontId="62" fillId="0" borderId="0" xfId="0" applyNumberFormat="1" applyFont="1" applyFill="1" applyAlignment="1">
      <alignment horizontal="center"/>
    </xf>
    <xf numFmtId="41" fontId="67" fillId="0" borderId="0" xfId="13" applyNumberFormat="1" applyFont="1" applyFill="1" applyBorder="1" applyAlignment="1">
      <alignment horizontal="center" wrapText="1"/>
    </xf>
    <xf numFmtId="0" fontId="0" fillId="0" borderId="0" xfId="0" applyAlignment="1">
      <alignment shrinkToFit="1"/>
    </xf>
    <xf numFmtId="41" fontId="6" fillId="0" borderId="2" xfId="10" applyNumberFormat="1" applyFont="1" applyFill="1" applyBorder="1" applyAlignment="1">
      <alignment horizontal="center"/>
    </xf>
    <xf numFmtId="41" fontId="6" fillId="0" borderId="6" xfId="13" applyNumberFormat="1" applyFont="1" applyFill="1" applyBorder="1" applyAlignment="1">
      <alignment horizontal="center"/>
    </xf>
    <xf numFmtId="41" fontId="6" fillId="0" borderId="9" xfId="13" applyNumberFormat="1" applyFont="1" applyFill="1" applyBorder="1" applyAlignment="1">
      <alignment horizontal="center"/>
    </xf>
    <xf numFmtId="3" fontId="6" fillId="0" borderId="0" xfId="14" applyNumberFormat="1" applyFont="1" applyFill="1" applyBorder="1" applyAlignment="1">
      <alignment wrapText="1"/>
    </xf>
    <xf numFmtId="41" fontId="6" fillId="0" borderId="0" xfId="13" applyNumberFormat="1" applyFont="1" applyFill="1" applyBorder="1" applyAlignment="1">
      <alignment horizontal="center"/>
    </xf>
    <xf numFmtId="41" fontId="6" fillId="0" borderId="0" xfId="10" applyNumberFormat="1" applyFont="1" applyFill="1" applyBorder="1" applyAlignment="1">
      <alignment horizontal="center"/>
    </xf>
    <xf numFmtId="0" fontId="10" fillId="0" borderId="0" xfId="0" applyFont="1" applyAlignment="1">
      <alignment horizontal="center"/>
    </xf>
    <xf numFmtId="0" fontId="10" fillId="0" borderId="0" xfId="0" applyFont="1" applyFill="1" applyAlignment="1">
      <alignment horizontal="center"/>
    </xf>
    <xf numFmtId="41" fontId="69" fillId="0" borderId="0" xfId="13" applyNumberFormat="1" applyFont="1" applyFill="1"/>
    <xf numFmtId="4" fontId="10" fillId="0" borderId="10" xfId="0" applyNumberFormat="1" applyFont="1" applyFill="1" applyBorder="1" applyAlignment="1">
      <alignment horizontal="left"/>
    </xf>
    <xf numFmtId="0" fontId="22" fillId="0" borderId="0" xfId="0" applyFont="1" applyFill="1" applyBorder="1" applyAlignment="1">
      <alignment horizontal="center"/>
    </xf>
    <xf numFmtId="41" fontId="10" fillId="0" borderId="16" xfId="0" applyNumberFormat="1" applyFont="1" applyFill="1" applyBorder="1"/>
    <xf numFmtId="10" fontId="11" fillId="0" borderId="16" xfId="0" applyNumberFormat="1" applyFont="1" applyFill="1" applyBorder="1" applyAlignment="1">
      <alignment horizontal="left"/>
    </xf>
    <xf numFmtId="0" fontId="10" fillId="0" borderId="0" xfId="0" applyFont="1" applyBorder="1" applyAlignment="1">
      <alignment horizontal="right"/>
    </xf>
    <xf numFmtId="41" fontId="6" fillId="0" borderId="5" xfId="10" applyNumberFormat="1" applyFont="1" applyFill="1" applyBorder="1" applyAlignment="1">
      <alignment horizontal="center"/>
    </xf>
    <xf numFmtId="41" fontId="68" fillId="0" borderId="0" xfId="13" applyNumberFormat="1" applyFont="1" applyFill="1" applyAlignment="1"/>
    <xf numFmtId="41" fontId="6" fillId="0" borderId="0" xfId="13" applyNumberFormat="1" applyFont="1" applyFill="1" applyBorder="1" applyAlignment="1"/>
    <xf numFmtId="41" fontId="6" fillId="0" borderId="0" xfId="13" applyNumberFormat="1" applyFont="1" applyFill="1" applyBorder="1" applyAlignment="1">
      <alignment vertical="center"/>
    </xf>
    <xf numFmtId="0" fontId="5" fillId="0" borderId="0" xfId="13" applyNumberFormat="1" applyFont="1" applyAlignment="1">
      <alignment horizontal="left"/>
    </xf>
    <xf numFmtId="0" fontId="10" fillId="0" borderId="0" xfId="0" applyFont="1" applyAlignment="1">
      <alignment horizontal="center"/>
    </xf>
    <xf numFmtId="41" fontId="6" fillId="0" borderId="0" xfId="13" applyNumberFormat="1" applyFont="1" applyFill="1" applyAlignment="1"/>
    <xf numFmtId="41" fontId="6" fillId="9" borderId="5" xfId="10" applyNumberFormat="1" applyFont="1" applyFill="1" applyBorder="1" applyAlignment="1">
      <alignment horizontal="center"/>
    </xf>
    <xf numFmtId="41" fontId="6" fillId="9" borderId="42" xfId="15" applyNumberFormat="1" applyFont="1" applyFill="1" applyBorder="1"/>
    <xf numFmtId="41" fontId="6" fillId="0" borderId="38" xfId="13" applyNumberFormat="1" applyFont="1" applyFill="1" applyBorder="1" applyAlignment="1">
      <alignment horizontal="center" vertical="center" wrapText="1"/>
    </xf>
    <xf numFmtId="41" fontId="6" fillId="0" borderId="8" xfId="13" applyNumberFormat="1" applyFont="1" applyFill="1" applyBorder="1" applyAlignment="1">
      <alignment horizontal="center" vertical="center" wrapText="1"/>
    </xf>
    <xf numFmtId="41" fontId="5" fillId="0" borderId="41" xfId="15" applyNumberFormat="1" applyFont="1" applyFill="1" applyBorder="1"/>
    <xf numFmtId="41" fontId="6" fillId="0" borderId="10" xfId="13" quotePrefix="1" applyNumberFormat="1" applyFont="1" applyFill="1" applyBorder="1" applyAlignment="1">
      <alignment horizontal="center"/>
    </xf>
    <xf numFmtId="3" fontId="6" fillId="0" borderId="0" xfId="14" applyNumberFormat="1" applyFont="1" applyFill="1" applyBorder="1" applyAlignment="1">
      <alignment horizontal="center" vertical="center" wrapText="1"/>
    </xf>
    <xf numFmtId="41" fontId="6" fillId="9" borderId="1" xfId="13" applyNumberFormat="1" applyFont="1" applyFill="1" applyBorder="1" applyAlignment="1">
      <alignment horizontal="center"/>
    </xf>
    <xf numFmtId="41" fontId="6" fillId="0" borderId="0" xfId="13" applyNumberFormat="1" applyFont="1" applyFill="1" applyBorder="1" applyAlignment="1">
      <alignment horizontal="center" vertical="center" wrapText="1"/>
    </xf>
    <xf numFmtId="6" fontId="10" fillId="0" borderId="0" xfId="2" applyNumberFormat="1" applyFont="1" applyFill="1" applyBorder="1"/>
    <xf numFmtId="41" fontId="5" fillId="4" borderId="0" xfId="13" applyNumberFormat="1" applyFont="1" applyFill="1" applyBorder="1"/>
    <xf numFmtId="10" fontId="56" fillId="0" borderId="0" xfId="15" applyNumberFormat="1" applyFont="1" applyFill="1" applyBorder="1" applyAlignment="1">
      <alignment horizontal="center" vertical="top" wrapText="1"/>
    </xf>
    <xf numFmtId="0" fontId="3" fillId="0" borderId="0" xfId="0" applyFont="1" applyBorder="1"/>
    <xf numFmtId="0" fontId="57" fillId="0" borderId="0" xfId="0" applyFont="1" applyBorder="1"/>
    <xf numFmtId="37" fontId="3" fillId="0" borderId="0" xfId="19" applyFont="1" applyFill="1" applyBorder="1"/>
    <xf numFmtId="37" fontId="3" fillId="0" borderId="0" xfId="0" applyNumberFormat="1" applyFont="1" applyFill="1" applyBorder="1"/>
    <xf numFmtId="165" fontId="3" fillId="0" borderId="0" xfId="15" applyNumberFormat="1" applyFont="1" applyBorder="1"/>
    <xf numFmtId="0" fontId="5" fillId="0" borderId="0" xfId="13" applyNumberFormat="1" applyFont="1" applyFill="1" applyBorder="1" applyAlignment="1">
      <alignment horizontal="center"/>
    </xf>
    <xf numFmtId="0" fontId="5" fillId="0" borderId="0" xfId="13" applyFont="1" applyFill="1" applyBorder="1"/>
    <xf numFmtId="10" fontId="6" fillId="0" borderId="0" xfId="13" applyNumberFormat="1" applyFont="1" applyFill="1"/>
    <xf numFmtId="41" fontId="56" fillId="0" borderId="0" xfId="13" applyNumberFormat="1" applyFont="1" applyFill="1" applyAlignment="1">
      <alignment wrapText="1"/>
    </xf>
    <xf numFmtId="3" fontId="6" fillId="9" borderId="0" xfId="14" applyNumberFormat="1" applyFont="1" applyFill="1" applyAlignment="1">
      <alignment horizontal="center"/>
    </xf>
    <xf numFmtId="169" fontId="10" fillId="4" borderId="0" xfId="1" applyNumberFormat="1" applyFont="1" applyFill="1" applyBorder="1"/>
    <xf numFmtId="3" fontId="11" fillId="0" borderId="0" xfId="6" applyNumberFormat="1" applyFont="1" applyFill="1"/>
    <xf numFmtId="3" fontId="10" fillId="0" borderId="0" xfId="6" applyNumberFormat="1" applyFont="1" applyFill="1"/>
    <xf numFmtId="3" fontId="5" fillId="0" borderId="0" xfId="6" applyNumberFormat="1" applyFont="1" applyFill="1"/>
    <xf numFmtId="10" fontId="39" fillId="0" borderId="0" xfId="15" applyNumberFormat="1" applyFont="1" applyFill="1" applyBorder="1"/>
    <xf numFmtId="0" fontId="11" fillId="0" borderId="0" xfId="0" applyFont="1" applyAlignment="1">
      <alignment horizontal="center"/>
    </xf>
    <xf numFmtId="41" fontId="6" fillId="9" borderId="0" xfId="13" applyNumberFormat="1" applyFont="1" applyFill="1" applyBorder="1" applyAlignment="1">
      <alignment horizontal="center"/>
    </xf>
    <xf numFmtId="0" fontId="10" fillId="0" borderId="0" xfId="0" applyFont="1" applyFill="1" applyAlignment="1">
      <alignment horizontal="right"/>
    </xf>
    <xf numFmtId="0" fontId="11" fillId="4" borderId="0" xfId="0" applyFont="1" applyFill="1"/>
    <xf numFmtId="169" fontId="10" fillId="0" borderId="10" xfId="1" applyNumberFormat="1" applyFont="1" applyFill="1" applyBorder="1"/>
    <xf numFmtId="41" fontId="10" fillId="0" borderId="12" xfId="2" applyNumberFormat="1" applyFont="1" applyBorder="1"/>
    <xf numFmtId="10" fontId="11" fillId="0" borderId="12" xfId="0" applyNumberFormat="1" applyFont="1" applyBorder="1" applyAlignment="1">
      <alignment horizontal="left"/>
    </xf>
    <xf numFmtId="0" fontId="11" fillId="0" borderId="0" xfId="6" applyFont="1"/>
    <xf numFmtId="0" fontId="10" fillId="0" borderId="0" xfId="6" applyFont="1"/>
    <xf numFmtId="0" fontId="18" fillId="0" borderId="0" xfId="6" applyFont="1" applyFill="1" applyBorder="1"/>
    <xf numFmtId="0" fontId="18" fillId="0" borderId="0" xfId="6" applyFont="1" applyBorder="1"/>
    <xf numFmtId="0" fontId="11" fillId="0" borderId="0" xfId="6" applyFont="1" applyBorder="1"/>
    <xf numFmtId="0" fontId="10" fillId="0" borderId="0" xfId="6" applyFont="1" applyFill="1" applyBorder="1"/>
    <xf numFmtId="0" fontId="10" fillId="0" borderId="0" xfId="6" applyFont="1" applyBorder="1"/>
    <xf numFmtId="0" fontId="10" fillId="0" borderId="0" xfId="6" applyFont="1" applyAlignment="1">
      <alignment horizontal="center"/>
    </xf>
    <xf numFmtId="0" fontId="18" fillId="0" borderId="0" xfId="6" applyFont="1"/>
    <xf numFmtId="0" fontId="18" fillId="0" borderId="6" xfId="6" applyFont="1" applyBorder="1"/>
    <xf numFmtId="0" fontId="70" fillId="0" borderId="0" xfId="6" applyFont="1" applyBorder="1"/>
    <xf numFmtId="0" fontId="10" fillId="0" borderId="10" xfId="6" applyFont="1" applyBorder="1"/>
    <xf numFmtId="0" fontId="25" fillId="0" borderId="10" xfId="6" applyFont="1" applyBorder="1"/>
    <xf numFmtId="0" fontId="11" fillId="0" borderId="10" xfId="6" applyFont="1" applyBorder="1"/>
    <xf numFmtId="0" fontId="12" fillId="0" borderId="10" xfId="6" applyFont="1" applyBorder="1" applyAlignment="1">
      <alignment horizontal="center"/>
    </xf>
    <xf numFmtId="0" fontId="70" fillId="0" borderId="10" xfId="6" applyFont="1" applyBorder="1"/>
    <xf numFmtId="0" fontId="10" fillId="0" borderId="0" xfId="6" applyFont="1" applyFill="1" applyBorder="1" applyAlignment="1">
      <alignment horizontal="center"/>
    </xf>
    <xf numFmtId="0" fontId="18" fillId="0" borderId="10" xfId="6" applyFont="1" applyBorder="1"/>
    <xf numFmtId="0" fontId="10" fillId="0" borderId="0" xfId="6" applyFont="1" applyBorder="1" applyAlignment="1">
      <alignment horizontal="center"/>
    </xf>
    <xf numFmtId="0" fontId="11" fillId="0" borderId="0" xfId="6" applyFont="1" applyAlignment="1">
      <alignment horizontal="center"/>
    </xf>
    <xf numFmtId="168" fontId="10" fillId="0" borderId="0" xfId="6" applyNumberFormat="1" applyFont="1"/>
    <xf numFmtId="0" fontId="11" fillId="0" borderId="10" xfId="6" applyFont="1" applyBorder="1" applyAlignment="1">
      <alignment horizontal="center"/>
    </xf>
    <xf numFmtId="0" fontId="10" fillId="0" borderId="10" xfId="6" applyFont="1" applyBorder="1" applyAlignment="1">
      <alignment horizontal="center"/>
    </xf>
    <xf numFmtId="9" fontId="10" fillId="0" borderId="0" xfId="6" applyNumberFormat="1" applyFont="1"/>
    <xf numFmtId="2" fontId="11" fillId="0" borderId="0" xfId="6" quotePrefix="1" applyNumberFormat="1" applyFont="1"/>
    <xf numFmtId="41" fontId="11" fillId="0" borderId="0" xfId="6" applyNumberFormat="1" applyFont="1"/>
    <xf numFmtId="2" fontId="10" fillId="0" borderId="0" xfId="6" applyNumberFormat="1" applyFont="1"/>
    <xf numFmtId="41" fontId="10" fillId="0" borderId="0" xfId="6" applyNumberFormat="1" applyFont="1"/>
    <xf numFmtId="0" fontId="70" fillId="0" borderId="0" xfId="6" applyFont="1"/>
    <xf numFmtId="41" fontId="10" fillId="0" borderId="0" xfId="6" applyNumberFormat="1" applyFont="1" applyBorder="1"/>
    <xf numFmtId="41" fontId="18" fillId="0" borderId="0" xfId="6" applyNumberFormat="1" applyFont="1"/>
    <xf numFmtId="10" fontId="10" fillId="0" borderId="0" xfId="6" applyNumberFormat="1" applyFont="1"/>
    <xf numFmtId="180" fontId="10" fillId="0" borderId="0" xfId="6" applyNumberFormat="1" applyFont="1"/>
    <xf numFmtId="0" fontId="10" fillId="0" borderId="0" xfId="6" applyFont="1" applyAlignment="1">
      <alignment horizontal="right"/>
    </xf>
    <xf numFmtId="181" fontId="10" fillId="0" borderId="0" xfId="6" applyNumberFormat="1" applyFont="1"/>
    <xf numFmtId="41" fontId="10" fillId="0" borderId="10" xfId="6" applyNumberFormat="1" applyFont="1" applyBorder="1"/>
    <xf numFmtId="41" fontId="11" fillId="0" borderId="13" xfId="6" applyNumberFormat="1" applyFont="1" applyBorder="1"/>
    <xf numFmtId="5" fontId="11" fillId="0" borderId="0" xfId="6" applyNumberFormat="1" applyFont="1"/>
    <xf numFmtId="41" fontId="10" fillId="0" borderId="0" xfId="6" applyNumberFormat="1" applyFont="1" applyFill="1"/>
    <xf numFmtId="41" fontId="10" fillId="0" borderId="10" xfId="6" applyNumberFormat="1" applyFont="1" applyFill="1" applyBorder="1"/>
    <xf numFmtId="3" fontId="6" fillId="7" borderId="10" xfId="14" applyNumberFormat="1" applyFont="1" applyFill="1" applyBorder="1" applyAlignment="1">
      <alignment horizontal="center"/>
    </xf>
    <xf numFmtId="41" fontId="5" fillId="7" borderId="0" xfId="13" applyNumberFormat="1" applyFont="1" applyFill="1"/>
    <xf numFmtId="3" fontId="10" fillId="0" borderId="0" xfId="6" applyNumberFormat="1" applyFont="1"/>
    <xf numFmtId="167" fontId="11" fillId="0" borderId="0" xfId="0" applyNumberFormat="1" applyFont="1" applyAlignment="1">
      <alignment horizontal="center"/>
    </xf>
    <xf numFmtId="41" fontId="6" fillId="0" borderId="3" xfId="10" applyNumberFormat="1" applyFont="1" applyFill="1" applyBorder="1" applyAlignment="1">
      <alignment horizontal="center"/>
    </xf>
    <xf numFmtId="0" fontId="48" fillId="0" borderId="0" xfId="25" applyFont="1"/>
    <xf numFmtId="182" fontId="72" fillId="0" borderId="0" xfId="25" applyNumberFormat="1" applyFont="1"/>
    <xf numFmtId="0" fontId="72" fillId="0" borderId="0" xfId="25" applyFont="1"/>
    <xf numFmtId="3" fontId="48" fillId="0" borderId="0" xfId="25" applyNumberFormat="1" applyFont="1"/>
    <xf numFmtId="177" fontId="48" fillId="0" borderId="0" xfId="25" applyNumberFormat="1" applyFont="1"/>
    <xf numFmtId="3" fontId="48" fillId="0" borderId="0" xfId="25" applyNumberFormat="1" applyFont="1" applyAlignment="1">
      <alignment horizontal="center"/>
    </xf>
    <xf numFmtId="1" fontId="48" fillId="0" borderId="0" xfId="25" applyNumberFormat="1" applyFont="1" applyAlignment="1">
      <alignment horizontal="center"/>
    </xf>
    <xf numFmtId="3" fontId="48" fillId="0" borderId="0" xfId="25" applyNumberFormat="1" applyFont="1" applyBorder="1"/>
    <xf numFmtId="37" fontId="48" fillId="0" borderId="12" xfId="25" applyNumberFormat="1" applyFont="1" applyBorder="1"/>
    <xf numFmtId="37" fontId="48" fillId="10" borderId="0" xfId="25" applyNumberFormat="1" applyFont="1" applyFill="1"/>
    <xf numFmtId="37" fontId="48" fillId="6" borderId="0" xfId="25" applyNumberFormat="1" applyFont="1" applyFill="1"/>
    <xf numFmtId="0" fontId="71" fillId="0" borderId="0" xfId="25" applyFont="1"/>
    <xf numFmtId="178" fontId="48" fillId="0" borderId="0" xfId="25" applyNumberFormat="1" applyFont="1" applyAlignment="1">
      <alignment horizontal="center"/>
    </xf>
    <xf numFmtId="3" fontId="73" fillId="0" borderId="0" xfId="25" applyNumberFormat="1" applyFont="1" applyAlignment="1">
      <alignment horizontal="center"/>
    </xf>
    <xf numFmtId="37" fontId="48" fillId="0" borderId="0" xfId="25" applyNumberFormat="1" applyFont="1"/>
    <xf numFmtId="177" fontId="48" fillId="0" borderId="0" xfId="25" applyNumberFormat="1" applyFont="1" applyAlignment="1">
      <alignment horizontal="center"/>
    </xf>
    <xf numFmtId="37" fontId="48" fillId="0" borderId="3" xfId="25" applyNumberFormat="1" applyFont="1" applyBorder="1"/>
    <xf numFmtId="37" fontId="48" fillId="6" borderId="3" xfId="25" applyNumberFormat="1" applyFont="1" applyFill="1" applyBorder="1"/>
    <xf numFmtId="168" fontId="48" fillId="0" borderId="0" xfId="25" applyNumberFormat="1" applyFont="1" applyBorder="1"/>
    <xf numFmtId="10" fontId="48" fillId="10" borderId="0" xfId="25" applyNumberFormat="1" applyFont="1" applyFill="1"/>
    <xf numFmtId="0" fontId="48" fillId="0" borderId="0" xfId="25" applyFont="1" applyAlignment="1">
      <alignment horizontal="right"/>
    </xf>
    <xf numFmtId="0" fontId="48" fillId="0" borderId="10" xfId="25" applyFont="1" applyBorder="1"/>
    <xf numFmtId="3" fontId="48" fillId="0" borderId="10" xfId="25" applyNumberFormat="1" applyFont="1" applyBorder="1" applyAlignment="1">
      <alignment horizontal="left"/>
    </xf>
    <xf numFmtId="177" fontId="48" fillId="0" borderId="10" xfId="25" applyNumberFormat="1" applyFont="1" applyBorder="1" applyAlignment="1">
      <alignment horizontal="center"/>
    </xf>
    <xf numFmtId="3" fontId="48" fillId="0" borderId="10" xfId="25" applyNumberFormat="1" applyFont="1" applyBorder="1" applyAlignment="1">
      <alignment horizontal="center"/>
    </xf>
    <xf numFmtId="0" fontId="48" fillId="0" borderId="8" xfId="25" applyFont="1" applyBorder="1" applyAlignment="1">
      <alignment horizontal="center"/>
    </xf>
    <xf numFmtId="0" fontId="48" fillId="0" borderId="11" xfId="25" applyFont="1" applyBorder="1"/>
    <xf numFmtId="177" fontId="48" fillId="0" borderId="10" xfId="25" applyNumberFormat="1" applyFont="1" applyBorder="1" applyAlignment="1">
      <alignment horizontal="left"/>
    </xf>
    <xf numFmtId="0" fontId="48" fillId="0" borderId="9" xfId="25" applyFont="1" applyBorder="1"/>
    <xf numFmtId="0" fontId="48" fillId="0" borderId="5" xfId="25" applyFont="1" applyBorder="1" applyAlignment="1">
      <alignment horizontal="center"/>
    </xf>
    <xf numFmtId="0" fontId="48" fillId="0" borderId="7" xfId="25" applyFont="1" applyBorder="1"/>
    <xf numFmtId="0" fontId="48" fillId="0" borderId="0" xfId="25" applyFont="1" applyAlignment="1">
      <alignment horizontal="left"/>
    </xf>
    <xf numFmtId="0" fontId="48" fillId="0" borderId="6" xfId="25" applyFont="1" applyBorder="1"/>
    <xf numFmtId="177" fontId="72" fillId="0" borderId="5" xfId="25" applyNumberFormat="1" applyFont="1" applyBorder="1" applyAlignment="1">
      <alignment horizontal="center"/>
    </xf>
    <xf numFmtId="0" fontId="48" fillId="0" borderId="4" xfId="25" applyFont="1" applyBorder="1"/>
    <xf numFmtId="0" fontId="48" fillId="0" borderId="3" xfId="25" applyFont="1" applyBorder="1"/>
    <xf numFmtId="177" fontId="48" fillId="0" borderId="3" xfId="25" applyNumberFormat="1" applyFont="1" applyBorder="1" applyAlignment="1">
      <alignment horizontal="left"/>
    </xf>
    <xf numFmtId="3" fontId="72" fillId="0" borderId="2" xfId="25" applyNumberFormat="1" applyFont="1" applyBorder="1"/>
    <xf numFmtId="0" fontId="48" fillId="0" borderId="1" xfId="25" applyFont="1" applyBorder="1" applyAlignment="1">
      <alignment horizontal="center"/>
    </xf>
    <xf numFmtId="3" fontId="48" fillId="0" borderId="2" xfId="25" applyNumberFormat="1" applyFont="1" applyBorder="1"/>
    <xf numFmtId="0" fontId="48" fillId="0" borderId="0" xfId="25" applyFont="1" applyAlignment="1">
      <alignment shrinkToFit="1"/>
    </xf>
    <xf numFmtId="3" fontId="48" fillId="0" borderId="0" xfId="25" applyNumberFormat="1" applyFont="1" applyAlignment="1">
      <alignment shrinkToFit="1"/>
    </xf>
    <xf numFmtId="168" fontId="62" fillId="0" borderId="0" xfId="25" applyNumberFormat="1" applyFont="1" applyAlignment="1">
      <alignment shrinkToFit="1"/>
    </xf>
    <xf numFmtId="168" fontId="62" fillId="6" borderId="0" xfId="25" applyNumberFormat="1" applyFont="1" applyFill="1" applyAlignment="1">
      <alignment shrinkToFit="1"/>
    </xf>
    <xf numFmtId="3" fontId="62" fillId="0" borderId="0" xfId="25" applyNumberFormat="1" applyFont="1"/>
    <xf numFmtId="0" fontId="62" fillId="0" borderId="0" xfId="25" applyFont="1"/>
    <xf numFmtId="1" fontId="62" fillId="0" borderId="0" xfId="25" applyNumberFormat="1" applyFont="1" applyAlignment="1">
      <alignment horizontal="center"/>
    </xf>
    <xf numFmtId="3" fontId="62" fillId="0" borderId="0" xfId="25" applyNumberFormat="1" applyFont="1" applyAlignment="1">
      <alignment shrinkToFit="1"/>
    </xf>
    <xf numFmtId="3" fontId="62" fillId="6" borderId="0" xfId="25" applyNumberFormat="1" applyFont="1" applyFill="1" applyBorder="1" applyAlignment="1">
      <alignment shrinkToFit="1"/>
    </xf>
    <xf numFmtId="37" fontId="62" fillId="6" borderId="12" xfId="25" applyNumberFormat="1" applyFont="1" applyFill="1" applyBorder="1" applyAlignment="1">
      <alignment shrinkToFit="1"/>
    </xf>
    <xf numFmtId="37" fontId="62" fillId="0" borderId="0" xfId="25" applyNumberFormat="1" applyFont="1" applyAlignment="1">
      <alignment shrinkToFit="1"/>
    </xf>
    <xf numFmtId="37" fontId="62" fillId="10" borderId="0" xfId="25" applyNumberFormat="1" applyFont="1" applyFill="1" applyAlignment="1">
      <alignment shrinkToFit="1"/>
    </xf>
    <xf numFmtId="37" fontId="62" fillId="6" borderId="0" xfId="25" applyNumberFormat="1" applyFont="1" applyFill="1"/>
    <xf numFmtId="1" fontId="48" fillId="0" borderId="0" xfId="25" applyNumberFormat="1" applyFont="1"/>
    <xf numFmtId="3" fontId="62" fillId="0" borderId="0" xfId="25" applyNumberFormat="1" applyFont="1" applyBorder="1"/>
    <xf numFmtId="3" fontId="71" fillId="0" borderId="0" xfId="25" applyNumberFormat="1" applyFont="1"/>
    <xf numFmtId="37" fontId="62" fillId="0" borderId="0" xfId="25" applyNumberFormat="1" applyFont="1" applyFill="1" applyAlignment="1">
      <alignment shrinkToFit="1"/>
    </xf>
    <xf numFmtId="37" fontId="62" fillId="0" borderId="0" xfId="25" applyNumberFormat="1" applyFont="1"/>
    <xf numFmtId="3" fontId="62" fillId="0" borderId="10" xfId="25" applyNumberFormat="1" applyFont="1" applyBorder="1" applyAlignment="1">
      <alignment horizontal="right" shrinkToFit="1"/>
    </xf>
    <xf numFmtId="3" fontId="62" fillId="0" borderId="10" xfId="25" applyNumberFormat="1" applyFont="1" applyBorder="1" applyAlignment="1">
      <alignment horizontal="right"/>
    </xf>
    <xf numFmtId="0" fontId="62" fillId="0" borderId="10" xfId="25" applyFont="1" applyBorder="1"/>
    <xf numFmtId="3" fontId="62" fillId="0" borderId="10" xfId="25" applyNumberFormat="1" applyFont="1" applyBorder="1" applyAlignment="1">
      <alignment horizontal="left"/>
    </xf>
    <xf numFmtId="177" fontId="62" fillId="0" borderId="10" xfId="25" applyNumberFormat="1" applyFont="1" applyBorder="1" applyAlignment="1">
      <alignment horizontal="center"/>
    </xf>
    <xf numFmtId="0" fontId="62" fillId="0" borderId="8" xfId="25" applyFont="1" applyBorder="1" applyAlignment="1">
      <alignment horizontal="center"/>
    </xf>
    <xf numFmtId="0" fontId="62" fillId="0" borderId="11" xfId="25" applyFont="1" applyBorder="1"/>
    <xf numFmtId="177" fontId="62" fillId="0" borderId="10" xfId="25" applyNumberFormat="1" applyFont="1" applyBorder="1" applyAlignment="1">
      <alignment horizontal="left"/>
    </xf>
    <xf numFmtId="0" fontId="62" fillId="0" borderId="5" xfId="25" applyFont="1" applyBorder="1" applyAlignment="1">
      <alignment horizontal="center"/>
    </xf>
    <xf numFmtId="0" fontId="62" fillId="0" borderId="7" xfId="25" applyFont="1" applyBorder="1"/>
    <xf numFmtId="0" fontId="62" fillId="0" borderId="0" xfId="25" applyFont="1" applyAlignment="1">
      <alignment horizontal="left"/>
    </xf>
    <xf numFmtId="177" fontId="75" fillId="0" borderId="5" xfId="25" applyNumberFormat="1" applyFont="1" applyBorder="1" applyAlignment="1">
      <alignment horizontal="center"/>
    </xf>
    <xf numFmtId="0" fontId="62" fillId="0" borderId="4" xfId="25" applyFont="1" applyBorder="1"/>
    <xf numFmtId="0" fontId="62" fillId="0" borderId="3" xfId="25" applyFont="1" applyBorder="1"/>
    <xf numFmtId="177" fontId="62" fillId="0" borderId="3" xfId="25" applyNumberFormat="1" applyFont="1" applyBorder="1" applyAlignment="1">
      <alignment horizontal="left"/>
    </xf>
    <xf numFmtId="0" fontId="62" fillId="0" borderId="1" xfId="25" applyFont="1" applyBorder="1" applyAlignment="1">
      <alignment horizontal="center"/>
    </xf>
    <xf numFmtId="0" fontId="78" fillId="0" borderId="0" xfId="25" applyFont="1" applyAlignment="1">
      <alignment horizontal="left"/>
    </xf>
    <xf numFmtId="0" fontId="78" fillId="0" borderId="0" xfId="25" applyFont="1"/>
    <xf numFmtId="3" fontId="78" fillId="0" borderId="0" xfId="25" applyNumberFormat="1" applyFont="1" applyBorder="1" applyAlignment="1">
      <alignment horizontal="center"/>
    </xf>
    <xf numFmtId="0" fontId="78" fillId="0" borderId="0" xfId="25" applyFont="1" applyBorder="1"/>
    <xf numFmtId="177" fontId="78" fillId="0" borderId="0" xfId="25" applyNumberFormat="1" applyFont="1" applyBorder="1" applyAlignment="1">
      <alignment horizontal="center"/>
    </xf>
    <xf numFmtId="168" fontId="62" fillId="6" borderId="0" xfId="25" applyNumberFormat="1" applyFont="1" applyFill="1" applyAlignment="1">
      <alignment horizontal="right"/>
    </xf>
    <xf numFmtId="0" fontId="62" fillId="6" borderId="0" xfId="25" applyFont="1" applyFill="1"/>
    <xf numFmtId="3" fontId="62" fillId="0" borderId="0" xfId="25" applyNumberFormat="1" applyFont="1" applyAlignment="1">
      <alignment horizontal="center"/>
    </xf>
    <xf numFmtId="3" fontId="62" fillId="0" borderId="0" xfId="25" applyNumberFormat="1" applyFont="1" applyBorder="1" applyAlignment="1">
      <alignment horizontal="center"/>
    </xf>
    <xf numFmtId="0" fontId="62" fillId="0" borderId="0" xfId="25" applyFont="1" applyBorder="1"/>
    <xf numFmtId="177" fontId="62" fillId="0" borderId="0" xfId="25" applyNumberFormat="1" applyFont="1" applyBorder="1" applyAlignment="1">
      <alignment horizontal="center"/>
    </xf>
    <xf numFmtId="3" fontId="62" fillId="0" borderId="0" xfId="25" applyNumberFormat="1" applyFont="1" applyBorder="1" applyAlignment="1">
      <alignment horizontal="left"/>
    </xf>
    <xf numFmtId="0" fontId="48" fillId="0" borderId="0" xfId="25" applyFont="1" applyBorder="1"/>
    <xf numFmtId="37" fontId="62" fillId="0" borderId="16" xfId="25" applyNumberFormat="1" applyFont="1" applyBorder="1" applyAlignment="1">
      <alignment horizontal="right"/>
    </xf>
    <xf numFmtId="37" fontId="62" fillId="0" borderId="43" xfId="25" applyNumberFormat="1" applyFont="1" applyBorder="1" applyAlignment="1">
      <alignment horizontal="right"/>
    </xf>
    <xf numFmtId="37" fontId="62" fillId="0" borderId="44" xfId="25" applyNumberFormat="1" applyFont="1" applyBorder="1" applyAlignment="1">
      <alignment horizontal="right"/>
    </xf>
    <xf numFmtId="37" fontId="62" fillId="0" borderId="0" xfId="25" applyNumberFormat="1" applyFont="1" applyBorder="1"/>
    <xf numFmtId="37" fontId="62" fillId="0" borderId="0" xfId="25" applyNumberFormat="1" applyFont="1" applyBorder="1" applyAlignment="1">
      <alignment horizontal="right"/>
    </xf>
    <xf numFmtId="37" fontId="62" fillId="0" borderId="11" xfId="25" applyNumberFormat="1" applyFont="1" applyBorder="1"/>
    <xf numFmtId="178" fontId="62" fillId="0" borderId="0" xfId="25" applyNumberFormat="1" applyFont="1" applyBorder="1" applyAlignment="1">
      <alignment horizontal="center"/>
    </xf>
    <xf numFmtId="37" fontId="62" fillId="0" borderId="3" xfId="25" applyNumberFormat="1" applyFont="1" applyBorder="1"/>
    <xf numFmtId="37" fontId="62" fillId="0" borderId="3" xfId="25" applyNumberFormat="1" applyFont="1" applyBorder="1" applyAlignment="1">
      <alignment horizontal="right"/>
    </xf>
    <xf numFmtId="37" fontId="62" fillId="0" borderId="4" xfId="25" applyNumberFormat="1" applyFont="1" applyBorder="1"/>
    <xf numFmtId="37" fontId="62" fillId="10" borderId="0" xfId="25" applyNumberFormat="1" applyFont="1" applyFill="1"/>
    <xf numFmtId="37" fontId="62" fillId="0" borderId="7" xfId="25" applyNumberFormat="1" applyFont="1" applyBorder="1"/>
    <xf numFmtId="37" fontId="62" fillId="6" borderId="0" xfId="25" applyNumberFormat="1" applyFont="1" applyFill="1" applyBorder="1" applyAlignment="1">
      <alignment horizontal="right"/>
    </xf>
    <xf numFmtId="37" fontId="62" fillId="6" borderId="3" xfId="25" applyNumberFormat="1" applyFont="1" applyFill="1" applyBorder="1" applyAlignment="1">
      <alignment horizontal="right"/>
    </xf>
    <xf numFmtId="3" fontId="62" fillId="0" borderId="7" xfId="25" applyNumberFormat="1" applyFont="1" applyBorder="1"/>
    <xf numFmtId="3" fontId="62" fillId="0" borderId="10" xfId="25" applyNumberFormat="1" applyFont="1" applyBorder="1" applyAlignment="1">
      <alignment horizontal="center"/>
    </xf>
    <xf numFmtId="3" fontId="62" fillId="0" borderId="0" xfId="25" applyNumberFormat="1" applyFont="1" applyAlignment="1"/>
    <xf numFmtId="0" fontId="62" fillId="0" borderId="9" xfId="25" applyFont="1" applyBorder="1"/>
    <xf numFmtId="3" fontId="76" fillId="0" borderId="0" xfId="25" applyNumberFormat="1" applyFont="1"/>
    <xf numFmtId="0" fontId="62" fillId="0" borderId="6" xfId="25" applyFont="1" applyBorder="1"/>
    <xf numFmtId="3" fontId="77" fillId="0" borderId="0" xfId="25" applyNumberFormat="1" applyFont="1"/>
    <xf numFmtId="3" fontId="75" fillId="0" borderId="2" xfId="25" applyNumberFormat="1" applyFont="1" applyBorder="1"/>
    <xf numFmtId="3" fontId="62" fillId="0" borderId="2" xfId="25" applyNumberFormat="1" applyFont="1" applyBorder="1"/>
    <xf numFmtId="9" fontId="10" fillId="0" borderId="10" xfId="1" applyNumberFormat="1" applyFont="1" applyBorder="1"/>
    <xf numFmtId="0" fontId="74" fillId="0" borderId="0" xfId="27" applyFill="1"/>
    <xf numFmtId="0" fontId="74" fillId="0" borderId="0" xfId="27" applyFill="1" applyAlignment="1">
      <alignment horizontal="center"/>
    </xf>
    <xf numFmtId="0" fontId="79" fillId="0" borderId="0" xfId="27" applyFont="1" applyFill="1" applyAlignment="1">
      <alignment horizontal="center"/>
    </xf>
    <xf numFmtId="37" fontId="74" fillId="0" borderId="0" xfId="27" applyNumberFormat="1" applyFill="1"/>
    <xf numFmtId="0" fontId="74" fillId="0" borderId="10" xfId="27" applyFill="1" applyBorder="1" applyAlignment="1">
      <alignment horizontal="center"/>
    </xf>
    <xf numFmtId="0" fontId="74" fillId="0" borderId="0" xfId="27" applyFill="1" applyAlignment="1">
      <alignment horizontal="right"/>
    </xf>
    <xf numFmtId="169" fontId="74" fillId="0" borderId="0" xfId="28" applyNumberFormat="1" applyFont="1" applyFill="1"/>
    <xf numFmtId="168" fontId="0" fillId="0" borderId="0" xfId="29" applyNumberFormat="1" applyFont="1" applyFill="1"/>
    <xf numFmtId="169" fontId="74" fillId="0" borderId="10" xfId="28" applyNumberFormat="1" applyFont="1" applyFill="1" applyBorder="1"/>
    <xf numFmtId="168" fontId="0" fillId="0" borderId="10" xfId="29" applyNumberFormat="1" applyFont="1" applyFill="1" applyBorder="1"/>
    <xf numFmtId="169" fontId="74" fillId="0" borderId="0" xfId="27" applyNumberFormat="1" applyFont="1" applyFill="1"/>
    <xf numFmtId="10" fontId="0" fillId="0" borderId="0" xfId="29" applyNumberFormat="1" applyFont="1" applyFill="1"/>
    <xf numFmtId="0" fontId="74" fillId="0" borderId="0" xfId="27" applyFill="1" applyAlignment="1"/>
    <xf numFmtId="0" fontId="74" fillId="0" borderId="0" xfId="27" applyFill="1" applyBorder="1" applyAlignment="1">
      <alignment horizontal="right"/>
    </xf>
    <xf numFmtId="169" fontId="74" fillId="0" borderId="0" xfId="27" applyNumberFormat="1" applyFont="1" applyFill="1" applyBorder="1"/>
    <xf numFmtId="37" fontId="74" fillId="0" borderId="10" xfId="27" applyNumberFormat="1" applyFill="1" applyBorder="1"/>
    <xf numFmtId="169" fontId="80" fillId="0" borderId="0" xfId="27" applyNumberFormat="1" applyFont="1" applyFill="1" applyBorder="1"/>
    <xf numFmtId="37" fontId="74" fillId="0" borderId="0" xfId="27" applyNumberFormat="1" applyFill="1" applyBorder="1"/>
    <xf numFmtId="37" fontId="74" fillId="0" borderId="16" xfId="27" applyNumberFormat="1" applyFill="1" applyBorder="1"/>
    <xf numFmtId="169" fontId="0" fillId="0" borderId="0" xfId="28" applyNumberFormat="1" applyFont="1" applyFill="1"/>
    <xf numFmtId="183" fontId="0" fillId="0" borderId="0" xfId="29" applyNumberFormat="1" applyFont="1" applyFill="1"/>
    <xf numFmtId="3" fontId="74" fillId="0" borderId="0" xfId="27" applyNumberFormat="1" applyFill="1"/>
    <xf numFmtId="43" fontId="0" fillId="0" borderId="0" xfId="28" applyFont="1" applyFill="1"/>
    <xf numFmtId="3" fontId="74" fillId="0" borderId="0" xfId="27" applyNumberFormat="1" applyFill="1" applyBorder="1" applyAlignment="1">
      <alignment horizontal="left"/>
    </xf>
    <xf numFmtId="183" fontId="0" fillId="0" borderId="0" xfId="29" applyNumberFormat="1" applyFont="1" applyFill="1" applyBorder="1"/>
    <xf numFmtId="183" fontId="74" fillId="0" borderId="0" xfId="27" applyNumberFormat="1" applyFill="1"/>
    <xf numFmtId="0" fontId="81" fillId="0" borderId="0" xfId="27" applyFont="1" applyFill="1" applyAlignment="1">
      <alignment horizontal="center"/>
    </xf>
    <xf numFmtId="37" fontId="74" fillId="9" borderId="13" xfId="27" applyNumberFormat="1" applyFill="1" applyBorder="1"/>
    <xf numFmtId="0" fontId="74" fillId="0" borderId="0" xfId="27"/>
    <xf numFmtId="37" fontId="74" fillId="0" borderId="0" xfId="27" applyNumberFormat="1"/>
    <xf numFmtId="37" fontId="74" fillId="0" borderId="35" xfId="27" applyNumberFormat="1" applyBorder="1"/>
    <xf numFmtId="37" fontId="74" fillId="0" borderId="0" xfId="27" applyNumberFormat="1" applyBorder="1"/>
    <xf numFmtId="168" fontId="80" fillId="0" borderId="0" xfId="29" applyNumberFormat="1" applyFont="1" applyFill="1"/>
    <xf numFmtId="168" fontId="74" fillId="0" borderId="0" xfId="29" applyNumberFormat="1" applyFont="1" applyFill="1"/>
    <xf numFmtId="0" fontId="74" fillId="0" borderId="0" xfId="27" applyFont="1" applyFill="1"/>
    <xf numFmtId="3" fontId="74" fillId="0" borderId="0" xfId="27" applyNumberFormat="1" applyFont="1" applyFill="1"/>
    <xf numFmtId="41" fontId="0" fillId="0" borderId="0" xfId="0" applyNumberFormat="1"/>
    <xf numFmtId="3" fontId="82" fillId="0" borderId="0" xfId="6" applyNumberFormat="1" applyFont="1"/>
    <xf numFmtId="41" fontId="82" fillId="0" borderId="0" xfId="6" applyNumberFormat="1" applyFont="1"/>
    <xf numFmtId="0" fontId="82" fillId="0" borderId="0" xfId="0" applyFont="1"/>
    <xf numFmtId="9" fontId="82" fillId="0" borderId="0" xfId="0" applyNumberFormat="1" applyFont="1"/>
    <xf numFmtId="0" fontId="82" fillId="0" borderId="0" xfId="27" applyFont="1" applyFill="1" applyAlignment="1">
      <alignment horizontal="left" indent="1"/>
    </xf>
    <xf numFmtId="3" fontId="82" fillId="0" borderId="0" xfId="0" applyNumberFormat="1" applyFont="1" applyFill="1" applyBorder="1" applyAlignment="1">
      <alignment horizontal="left"/>
    </xf>
    <xf numFmtId="41" fontId="82" fillId="0" borderId="0" xfId="0" applyNumberFormat="1" applyFont="1"/>
    <xf numFmtId="37" fontId="5" fillId="7" borderId="0" xfId="13" applyNumberFormat="1" applyFont="1" applyFill="1"/>
    <xf numFmtId="14" fontId="0" fillId="0" borderId="0" xfId="0" applyNumberFormat="1"/>
    <xf numFmtId="43" fontId="0" fillId="0" borderId="0" xfId="0" applyNumberFormat="1"/>
    <xf numFmtId="10" fontId="0" fillId="0" borderId="0" xfId="0" applyNumberFormat="1"/>
    <xf numFmtId="0" fontId="82" fillId="0" borderId="0" xfId="0" applyFont="1" applyAlignment="1">
      <alignment horizontal="right"/>
    </xf>
    <xf numFmtId="0" fontId="83" fillId="0" borderId="0" xfId="0" applyFont="1" applyAlignment="1">
      <alignment horizontal="right"/>
    </xf>
    <xf numFmtId="0" fontId="82" fillId="0" borderId="10" xfId="0" applyFont="1" applyBorder="1"/>
    <xf numFmtId="0" fontId="82" fillId="0" borderId="0" xfId="0" applyFont="1" applyFill="1"/>
    <xf numFmtId="3" fontId="82" fillId="0" borderId="0" xfId="0" applyNumberFormat="1" applyFont="1" applyFill="1"/>
    <xf numFmtId="0" fontId="84" fillId="0" borderId="0" xfId="0" applyFont="1" applyFill="1"/>
    <xf numFmtId="0" fontId="84" fillId="0" borderId="0" xfId="0" applyFont="1"/>
    <xf numFmtId="41" fontId="84" fillId="0" borderId="0" xfId="0" applyNumberFormat="1" applyFont="1"/>
    <xf numFmtId="0" fontId="82" fillId="0" borderId="0" xfId="0" applyFont="1" applyAlignment="1">
      <alignment horizontal="center"/>
    </xf>
    <xf numFmtId="0" fontId="82" fillId="0" borderId="10" xfId="0" applyFont="1" applyBorder="1" applyAlignment="1">
      <alignment horizontal="center"/>
    </xf>
    <xf numFmtId="9" fontId="82" fillId="0" borderId="10" xfId="0" applyNumberFormat="1" applyFont="1" applyBorder="1" applyAlignment="1">
      <alignment horizontal="center"/>
    </xf>
    <xf numFmtId="41" fontId="82" fillId="0" borderId="10" xfId="0" applyNumberFormat="1" applyFont="1" applyBorder="1"/>
    <xf numFmtId="43" fontId="82" fillId="0" borderId="10" xfId="0" applyNumberFormat="1" applyFont="1" applyBorder="1"/>
    <xf numFmtId="0" fontId="48" fillId="0" borderId="0" xfId="25" applyFont="1" applyFill="1"/>
    <xf numFmtId="3" fontId="48" fillId="0" borderId="0" xfId="25" applyNumberFormat="1" applyFont="1" applyFill="1"/>
    <xf numFmtId="168" fontId="48" fillId="0" borderId="0" xfId="25" applyNumberFormat="1" applyFont="1" applyFill="1"/>
    <xf numFmtId="3" fontId="48" fillId="0" borderId="6" xfId="25" applyNumberFormat="1" applyFont="1" applyBorder="1"/>
    <xf numFmtId="168" fontId="48" fillId="0" borderId="6" xfId="25" applyNumberFormat="1" applyFont="1" applyBorder="1"/>
    <xf numFmtId="3" fontId="48" fillId="0" borderId="6" xfId="25" applyNumberFormat="1" applyFont="1" applyFill="1" applyBorder="1"/>
    <xf numFmtId="3" fontId="48" fillId="0" borderId="0" xfId="25" applyNumberFormat="1" applyFont="1" applyFill="1" applyBorder="1"/>
    <xf numFmtId="168" fontId="48" fillId="0" borderId="6" xfId="25" applyNumberFormat="1" applyFont="1" applyFill="1" applyBorder="1"/>
    <xf numFmtId="0" fontId="48" fillId="0" borderId="0" xfId="25" applyFont="1" applyFill="1" applyBorder="1"/>
    <xf numFmtId="3" fontId="48" fillId="0" borderId="7" xfId="25" applyNumberFormat="1" applyFont="1" applyBorder="1"/>
    <xf numFmtId="3" fontId="48" fillId="0" borderId="7" xfId="25" applyNumberFormat="1" applyFont="1" applyFill="1" applyBorder="1"/>
    <xf numFmtId="0" fontId="48" fillId="0" borderId="7" xfId="25" applyFont="1" applyFill="1" applyBorder="1"/>
    <xf numFmtId="0" fontId="48" fillId="0" borderId="2" xfId="25" applyFont="1" applyBorder="1"/>
    <xf numFmtId="3" fontId="48" fillId="0" borderId="0" xfId="25" applyNumberFormat="1" applyFont="1" applyFill="1" applyBorder="1" applyAlignment="1">
      <alignment horizontal="center"/>
    </xf>
    <xf numFmtId="3" fontId="48" fillId="0" borderId="6" xfId="25" applyNumberFormat="1" applyFont="1" applyBorder="1" applyAlignment="1">
      <alignment horizontal="right"/>
    </xf>
    <xf numFmtId="37" fontId="48" fillId="0" borderId="0" xfId="25" applyNumberFormat="1" applyFont="1" applyFill="1"/>
    <xf numFmtId="37" fontId="48" fillId="0" borderId="3" xfId="25" applyNumberFormat="1" applyFont="1" applyFill="1" applyBorder="1"/>
    <xf numFmtId="3" fontId="48" fillId="0" borderId="10" xfId="25" applyNumberFormat="1" applyFont="1" applyFill="1" applyBorder="1" applyAlignment="1">
      <alignment horizontal="center"/>
    </xf>
    <xf numFmtId="3" fontId="48" fillId="0" borderId="10" xfId="25" applyNumberFormat="1" applyFont="1" applyFill="1" applyBorder="1" applyAlignment="1">
      <alignment horizontal="right"/>
    </xf>
    <xf numFmtId="3" fontId="48" fillId="0" borderId="6" xfId="25" applyNumberFormat="1" applyFont="1" applyFill="1" applyBorder="1" applyAlignment="1">
      <alignment horizontal="center"/>
    </xf>
    <xf numFmtId="37" fontId="48" fillId="0" borderId="0" xfId="26" applyNumberFormat="1" applyFont="1" applyFill="1"/>
    <xf numFmtId="0" fontId="82" fillId="0" borderId="0" xfId="0" applyFont="1" applyFill="1" applyAlignment="1">
      <alignment horizontal="right"/>
    </xf>
    <xf numFmtId="41" fontId="11" fillId="0" borderId="0" xfId="6" applyNumberFormat="1" applyFont="1" applyBorder="1"/>
    <xf numFmtId="0" fontId="0" fillId="0" borderId="0" xfId="0" applyFill="1"/>
    <xf numFmtId="10" fontId="0" fillId="0" borderId="0" xfId="0" applyNumberFormat="1" applyFill="1"/>
    <xf numFmtId="41" fontId="0" fillId="0" borderId="0" xfId="0" applyNumberFormat="1" applyFill="1"/>
    <xf numFmtId="0" fontId="85" fillId="0" borderId="0" xfId="0" applyFont="1"/>
    <xf numFmtId="41" fontId="85" fillId="0" borderId="0" xfId="0" applyNumberFormat="1" applyFont="1"/>
    <xf numFmtId="41" fontId="0" fillId="0" borderId="10" xfId="0" applyNumberFormat="1" applyBorder="1"/>
    <xf numFmtId="3" fontId="62" fillId="0" borderId="0" xfId="25" applyNumberFormat="1" applyFont="1" applyAlignment="1">
      <alignment horizontal="centerContinuous" shrinkToFit="1"/>
    </xf>
    <xf numFmtId="0" fontId="82" fillId="0" borderId="0" xfId="0" quotePrefix="1" applyFont="1" applyAlignment="1">
      <alignment horizontal="center"/>
    </xf>
    <xf numFmtId="0" fontId="86" fillId="0" borderId="0" xfId="27" applyFont="1" applyFill="1"/>
    <xf numFmtId="0" fontId="83" fillId="0" borderId="0" xfId="0" applyFont="1" applyAlignment="1">
      <alignment horizontal="center" wrapText="1"/>
    </xf>
    <xf numFmtId="14" fontId="85" fillId="0" borderId="10" xfId="0" applyNumberFormat="1" applyFont="1" applyBorder="1" applyAlignment="1">
      <alignment horizontal="center"/>
    </xf>
    <xf numFmtId="0" fontId="87" fillId="0" borderId="0" xfId="0" applyFont="1"/>
    <xf numFmtId="0" fontId="0" fillId="0" borderId="10" xfId="0" applyBorder="1"/>
    <xf numFmtId="0" fontId="84" fillId="0" borderId="0" xfId="0" quotePrefix="1" applyFont="1"/>
    <xf numFmtId="0" fontId="0" fillId="0" borderId="10" xfId="0" applyBorder="1" applyAlignment="1">
      <alignment horizontal="center"/>
    </xf>
    <xf numFmtId="41" fontId="88" fillId="0" borderId="0" xfId="0" applyNumberFormat="1" applyFont="1"/>
    <xf numFmtId="41" fontId="6" fillId="11" borderId="0" xfId="13" quotePrefix="1" applyNumberFormat="1" applyFont="1" applyFill="1" applyBorder="1" applyAlignment="1">
      <alignment horizontal="center"/>
    </xf>
    <xf numFmtId="0" fontId="6" fillId="11" borderId="0" xfId="13" applyFont="1" applyFill="1" applyAlignment="1">
      <alignment horizontal="center"/>
    </xf>
    <xf numFmtId="41" fontId="6" fillId="9" borderId="1" xfId="10" applyNumberFormat="1" applyFont="1" applyFill="1" applyBorder="1" applyAlignment="1">
      <alignment horizontal="center"/>
    </xf>
    <xf numFmtId="41" fontId="6" fillId="9" borderId="5" xfId="13" applyNumberFormat="1" applyFont="1" applyFill="1" applyBorder="1" applyAlignment="1">
      <alignment horizontal="center"/>
    </xf>
    <xf numFmtId="37" fontId="5" fillId="7" borderId="10" xfId="13" applyNumberFormat="1" applyFont="1" applyFill="1" applyBorder="1"/>
    <xf numFmtId="41" fontId="5" fillId="7" borderId="10" xfId="13" applyNumberFormat="1" applyFont="1" applyFill="1" applyBorder="1"/>
    <xf numFmtId="41" fontId="6" fillId="7" borderId="10" xfId="13" applyNumberFormat="1" applyFont="1" applyFill="1" applyBorder="1"/>
    <xf numFmtId="41" fontId="5" fillId="11" borderId="41" xfId="13" applyNumberFormat="1" applyFont="1" applyFill="1" applyBorder="1"/>
    <xf numFmtId="41" fontId="7" fillId="0" borderId="0" xfId="13" applyNumberFormat="1" applyFont="1"/>
    <xf numFmtId="41" fontId="7" fillId="0" borderId="0" xfId="13" applyNumberFormat="1" applyFont="1" applyFill="1"/>
    <xf numFmtId="41" fontId="10" fillId="0" borderId="0" xfId="6" applyNumberFormat="1" applyFont="1" applyAlignment="1">
      <alignment horizontal="right"/>
    </xf>
    <xf numFmtId="9" fontId="82" fillId="0" borderId="0" xfId="0" applyNumberFormat="1" applyFont="1" applyFill="1"/>
    <xf numFmtId="10" fontId="82" fillId="0" borderId="0" xfId="0" applyNumberFormat="1" applyFont="1" applyFill="1"/>
    <xf numFmtId="0" fontId="89" fillId="0" borderId="0" xfId="0" applyFont="1" applyAlignment="1">
      <alignment horizontal="center" wrapText="1"/>
    </xf>
    <xf numFmtId="41" fontId="10" fillId="0" borderId="10" xfId="6" applyNumberFormat="1" applyFont="1" applyBorder="1" applyAlignment="1">
      <alignment horizontal="right"/>
    </xf>
    <xf numFmtId="41" fontId="11" fillId="0" borderId="10" xfId="6" applyNumberFormat="1" applyFont="1" applyBorder="1"/>
    <xf numFmtId="41" fontId="18" fillId="0" borderId="10" xfId="6" applyNumberFormat="1" applyFont="1" applyBorder="1"/>
    <xf numFmtId="41" fontId="6" fillId="9" borderId="45" xfId="10" applyNumberFormat="1" applyFont="1" applyFill="1" applyBorder="1" applyAlignment="1">
      <alignment horizontal="center"/>
    </xf>
    <xf numFmtId="41" fontId="6" fillId="9" borderId="46" xfId="13" applyNumberFormat="1" applyFont="1" applyFill="1" applyBorder="1" applyAlignment="1">
      <alignment horizontal="center"/>
    </xf>
    <xf numFmtId="41" fontId="6" fillId="9" borderId="47" xfId="13" applyNumberFormat="1" applyFont="1" applyFill="1" applyBorder="1" applyAlignment="1">
      <alignment horizontal="center"/>
    </xf>
    <xf numFmtId="2" fontId="6" fillId="9" borderId="46" xfId="13" applyNumberFormat="1" applyFont="1" applyFill="1" applyBorder="1" applyAlignment="1">
      <alignment horizontal="center"/>
    </xf>
    <xf numFmtId="41" fontId="6" fillId="9" borderId="46" xfId="13" applyNumberFormat="1" applyFont="1" applyFill="1" applyBorder="1"/>
    <xf numFmtId="5" fontId="6" fillId="9" borderId="46" xfId="13" applyNumberFormat="1" applyFont="1" applyFill="1" applyBorder="1"/>
    <xf numFmtId="41" fontId="6" fillId="9" borderId="47" xfId="13" applyNumberFormat="1" applyFont="1" applyFill="1" applyBorder="1"/>
    <xf numFmtId="41" fontId="6" fillId="9" borderId="48" xfId="13" applyNumberFormat="1" applyFont="1" applyFill="1" applyBorder="1"/>
    <xf numFmtId="41" fontId="6" fillId="9" borderId="45" xfId="13" applyNumberFormat="1" applyFont="1" applyFill="1" applyBorder="1"/>
    <xf numFmtId="10" fontId="6" fillId="9" borderId="46" xfId="15" applyNumberFormat="1" applyFont="1" applyFill="1" applyBorder="1"/>
    <xf numFmtId="41" fontId="6" fillId="9" borderId="49" xfId="15" applyNumberFormat="1" applyFont="1" applyFill="1" applyBorder="1"/>
    <xf numFmtId="41" fontId="6" fillId="0" borderId="50" xfId="13" applyNumberFormat="1" applyFont="1" applyFill="1" applyBorder="1" applyAlignment="1">
      <alignment horizontal="center" vertical="center" wrapText="1"/>
    </xf>
    <xf numFmtId="41" fontId="6" fillId="0" borderId="0" xfId="13" quotePrefix="1" applyNumberFormat="1" applyFont="1" applyFill="1" applyBorder="1"/>
    <xf numFmtId="184" fontId="10" fillId="0" borderId="0" xfId="6" applyNumberFormat="1" applyFont="1"/>
    <xf numFmtId="0" fontId="10" fillId="6" borderId="11" xfId="6" applyFont="1" applyFill="1" applyBorder="1"/>
    <xf numFmtId="0" fontId="10" fillId="6" borderId="10" xfId="6" applyFont="1" applyFill="1" applyBorder="1"/>
    <xf numFmtId="0" fontId="10" fillId="6" borderId="9" xfId="6" applyFont="1" applyFill="1" applyBorder="1"/>
    <xf numFmtId="0" fontId="10" fillId="6" borderId="7" xfId="6" applyFont="1" applyFill="1" applyBorder="1"/>
    <xf numFmtId="0" fontId="10" fillId="6" borderId="0" xfId="6" applyFont="1" applyFill="1" applyBorder="1"/>
    <xf numFmtId="0" fontId="18" fillId="6" borderId="0" xfId="6" applyFont="1" applyFill="1" applyBorder="1"/>
    <xf numFmtId="0" fontId="10" fillId="6" borderId="6" xfId="6" applyFont="1" applyFill="1" applyBorder="1"/>
    <xf numFmtId="41" fontId="11" fillId="6" borderId="13" xfId="6" applyNumberFormat="1" applyFont="1" applyFill="1" applyBorder="1"/>
    <xf numFmtId="41" fontId="11" fillId="6" borderId="0" xfId="6" applyNumberFormat="1" applyFont="1" applyFill="1" applyBorder="1"/>
    <xf numFmtId="0" fontId="11" fillId="6" borderId="0" xfId="6" applyFont="1" applyFill="1" applyBorder="1"/>
    <xf numFmtId="41" fontId="10" fillId="6" borderId="0" xfId="6" applyNumberFormat="1" applyFont="1" applyFill="1" applyBorder="1"/>
    <xf numFmtId="41" fontId="10" fillId="6" borderId="10" xfId="6" applyNumberFormat="1" applyFont="1" applyFill="1" applyBorder="1"/>
    <xf numFmtId="185" fontId="10" fillId="6" borderId="0" xfId="6" applyNumberFormat="1" applyFont="1" applyFill="1" applyBorder="1"/>
    <xf numFmtId="185" fontId="11" fillId="6" borderId="0" xfId="6" applyNumberFormat="1" applyFont="1" applyFill="1" applyBorder="1"/>
    <xf numFmtId="0" fontId="10" fillId="6" borderId="10" xfId="6" applyFont="1" applyFill="1" applyBorder="1" applyAlignment="1">
      <alignment horizontal="center"/>
    </xf>
    <xf numFmtId="0" fontId="10" fillId="6" borderId="0" xfId="6" applyFont="1" applyFill="1" applyBorder="1" applyAlignment="1">
      <alignment horizontal="center"/>
    </xf>
    <xf numFmtId="0" fontId="10" fillId="6" borderId="4" xfId="6" applyFont="1" applyFill="1" applyBorder="1"/>
    <xf numFmtId="0" fontId="10" fillId="6" borderId="3" xfId="6" applyFont="1" applyFill="1" applyBorder="1"/>
    <xf numFmtId="0" fontId="10" fillId="6" borderId="2" xfId="6" applyFont="1" applyFill="1" applyBorder="1"/>
    <xf numFmtId="0" fontId="90" fillId="0" borderId="0" xfId="0" applyFont="1" applyFill="1" applyBorder="1"/>
    <xf numFmtId="0" fontId="11" fillId="0" borderId="0" xfId="0" applyFont="1" applyFill="1" applyAlignment="1">
      <alignment horizontal="center"/>
    </xf>
    <xf numFmtId="14" fontId="11" fillId="0" borderId="10" xfId="0" quotePrefix="1" applyNumberFormat="1" applyFont="1" applyFill="1" applyBorder="1" applyAlignment="1">
      <alignment horizontal="center"/>
    </xf>
    <xf numFmtId="0" fontId="11" fillId="0" borderId="10" xfId="0" applyFont="1" applyFill="1" applyBorder="1" applyAlignment="1">
      <alignment horizontal="center"/>
    </xf>
    <xf numFmtId="3" fontId="63" fillId="0" borderId="0" xfId="14" applyNumberFormat="1" applyFont="1" applyBorder="1" applyAlignment="1">
      <alignment horizontal="center" vertical="center"/>
    </xf>
    <xf numFmtId="3" fontId="6" fillId="0" borderId="0" xfId="14" applyNumberFormat="1" applyFont="1" applyBorder="1" applyAlignment="1">
      <alignment horizontal="center"/>
    </xf>
    <xf numFmtId="3" fontId="71" fillId="0" borderId="3" xfId="25" applyNumberFormat="1" applyFont="1" applyBorder="1"/>
    <xf numFmtId="3" fontId="71" fillId="0" borderId="0" xfId="25" applyNumberFormat="1" applyFont="1" applyBorder="1"/>
    <xf numFmtId="3" fontId="71" fillId="0" borderId="0" xfId="25" applyNumberFormat="1" applyFont="1" applyBorder="1" applyAlignment="1">
      <alignment horizontal="center"/>
    </xf>
    <xf numFmtId="3" fontId="71" fillId="0" borderId="10" xfId="25" applyNumberFormat="1" applyFont="1" applyFill="1" applyBorder="1" applyAlignment="1">
      <alignment horizontal="center"/>
    </xf>
    <xf numFmtId="3" fontId="71" fillId="0" borderId="0" xfId="25" applyNumberFormat="1" applyFont="1" applyFill="1" applyBorder="1"/>
    <xf numFmtId="37" fontId="71" fillId="0" borderId="0" xfId="25" applyNumberFormat="1" applyFont="1" applyFill="1" applyBorder="1"/>
    <xf numFmtId="37" fontId="71" fillId="0" borderId="3" xfId="25" applyNumberFormat="1" applyFont="1" applyFill="1" applyBorder="1"/>
    <xf numFmtId="37" fontId="71" fillId="0" borderId="3" xfId="25" applyNumberFormat="1" applyFont="1" applyBorder="1"/>
    <xf numFmtId="10" fontId="71" fillId="10" borderId="0" xfId="25" applyNumberFormat="1" applyFont="1" applyFill="1" applyBorder="1"/>
    <xf numFmtId="37" fontId="71" fillId="0" borderId="0" xfId="25" applyNumberFormat="1" applyFont="1" applyBorder="1"/>
    <xf numFmtId="37" fontId="71" fillId="10" borderId="0" xfId="25" applyNumberFormat="1" applyFont="1" applyFill="1" applyBorder="1"/>
    <xf numFmtId="37" fontId="71" fillId="0" borderId="12" xfId="25" applyNumberFormat="1" applyFont="1" applyBorder="1"/>
    <xf numFmtId="182" fontId="73" fillId="0" borderId="10" xfId="25" applyNumberFormat="1" applyFont="1" applyBorder="1"/>
    <xf numFmtId="0" fontId="71" fillId="0" borderId="3" xfId="25" applyFont="1" applyBorder="1"/>
    <xf numFmtId="0" fontId="71" fillId="0" borderId="0" xfId="25" applyFont="1" applyBorder="1"/>
    <xf numFmtId="0" fontId="71" fillId="0" borderId="0" xfId="25" applyFont="1" applyBorder="1" applyAlignment="1">
      <alignment horizontal="center"/>
    </xf>
    <xf numFmtId="0" fontId="71" fillId="0" borderId="10" xfId="25" applyFont="1" applyFill="1" applyBorder="1" applyAlignment="1">
      <alignment horizontal="center"/>
    </xf>
    <xf numFmtId="0" fontId="71" fillId="0" borderId="0" xfId="25" applyFont="1" applyFill="1" applyBorder="1"/>
    <xf numFmtId="0" fontId="71" fillId="0" borderId="10" xfId="25" applyFont="1" applyBorder="1"/>
    <xf numFmtId="10" fontId="71" fillId="10" borderId="10" xfId="25" applyNumberFormat="1" applyFont="1" applyFill="1" applyBorder="1"/>
    <xf numFmtId="0" fontId="91" fillId="0" borderId="2" xfId="25" applyFont="1" applyBorder="1"/>
    <xf numFmtId="0" fontId="91" fillId="0" borderId="6" xfId="25" applyFont="1" applyBorder="1"/>
    <xf numFmtId="0" fontId="11" fillId="0" borderId="0" xfId="0" applyFont="1" applyAlignment="1">
      <alignment horizontal="center"/>
    </xf>
    <xf numFmtId="0" fontId="10" fillId="0" borderId="0" xfId="0" applyFont="1" applyFill="1" applyBorder="1" applyAlignment="1">
      <alignment horizontal="left" wrapText="1"/>
    </xf>
    <xf numFmtId="0" fontId="65" fillId="6" borderId="33" xfId="0" applyFont="1" applyFill="1" applyBorder="1" applyAlignment="1">
      <alignment horizontal="center"/>
    </xf>
    <xf numFmtId="0" fontId="65" fillId="6" borderId="34" xfId="0" applyFont="1" applyFill="1" applyBorder="1" applyAlignment="1">
      <alignment horizontal="center"/>
    </xf>
    <xf numFmtId="0" fontId="65" fillId="6" borderId="36" xfId="0" applyFont="1" applyFill="1" applyBorder="1" applyAlignment="1">
      <alignment horizontal="center"/>
    </xf>
    <xf numFmtId="0" fontId="65" fillId="6" borderId="22" xfId="0" applyFont="1" applyFill="1" applyBorder="1" applyAlignment="1">
      <alignment horizontal="center"/>
    </xf>
    <xf numFmtId="0" fontId="65" fillId="6" borderId="0" xfId="0" applyFont="1" applyFill="1" applyBorder="1" applyAlignment="1">
      <alignment horizontal="center"/>
    </xf>
    <xf numFmtId="0" fontId="65" fillId="6" borderId="23" xfId="0" applyFont="1" applyFill="1" applyBorder="1" applyAlignment="1">
      <alignment horizontal="center"/>
    </xf>
    <xf numFmtId="0" fontId="65" fillId="0" borderId="22" xfId="0" applyFont="1" applyFill="1" applyBorder="1" applyAlignment="1">
      <alignment horizontal="center"/>
    </xf>
    <xf numFmtId="0" fontId="65" fillId="0" borderId="0" xfId="0" applyFont="1" applyFill="1" applyBorder="1" applyAlignment="1">
      <alignment horizontal="center"/>
    </xf>
    <xf numFmtId="0" fontId="65" fillId="0" borderId="23" xfId="0" applyFont="1" applyFill="1" applyBorder="1" applyAlignment="1">
      <alignment horizontal="center"/>
    </xf>
    <xf numFmtId="3" fontId="11" fillId="0" borderId="0" xfId="0" applyNumberFormat="1" applyFont="1" applyFill="1" applyAlignment="1">
      <alignment horizontal="center"/>
    </xf>
    <xf numFmtId="0" fontId="25" fillId="0" borderId="0" xfId="0" applyFont="1" applyFill="1" applyAlignment="1">
      <alignment horizontal="center" wrapText="1"/>
    </xf>
    <xf numFmtId="0" fontId="11" fillId="0" borderId="0" xfId="0" applyFont="1" applyBorder="1" applyAlignment="1">
      <alignment horizontal="center"/>
    </xf>
    <xf numFmtId="167" fontId="11" fillId="0" borderId="0" xfId="0" applyNumberFormat="1" applyFont="1" applyAlignment="1">
      <alignment horizontal="center"/>
    </xf>
    <xf numFmtId="0" fontId="18" fillId="0" borderId="0" xfId="0" applyFont="1" applyAlignment="1">
      <alignment horizontal="left" vertical="top" wrapText="1"/>
    </xf>
    <xf numFmtId="3" fontId="6" fillId="9" borderId="0" xfId="14" applyNumberFormat="1" applyFont="1" applyFill="1" applyBorder="1" applyAlignment="1">
      <alignment horizontal="center" vertical="center" wrapText="1"/>
    </xf>
    <xf numFmtId="3" fontId="6" fillId="9" borderId="10" xfId="14" applyNumberFormat="1" applyFont="1" applyFill="1" applyBorder="1" applyAlignment="1">
      <alignment horizontal="center" vertical="center" wrapText="1"/>
    </xf>
    <xf numFmtId="0" fontId="71" fillId="0" borderId="0" xfId="25" applyFont="1" applyBorder="1" applyAlignment="1">
      <alignment horizontal="left" vertical="top" wrapText="1"/>
    </xf>
    <xf numFmtId="0" fontId="78" fillId="0" borderId="0" xfId="25" applyFont="1" applyBorder="1" applyAlignment="1">
      <alignment horizontal="left" vertical="top" wrapText="1"/>
    </xf>
    <xf numFmtId="0" fontId="10" fillId="0" borderId="0" xfId="0" applyFont="1" applyAlignment="1">
      <alignment horizontal="center"/>
    </xf>
    <xf numFmtId="0" fontId="12" fillId="0" borderId="0" xfId="0" applyFont="1" applyAlignment="1">
      <alignment horizontal="center"/>
    </xf>
    <xf numFmtId="41" fontId="6" fillId="0" borderId="0" xfId="13" applyNumberFormat="1" applyFont="1" applyBorder="1" applyAlignment="1">
      <alignment horizontal="center" vertical="center" wrapText="1"/>
    </xf>
    <xf numFmtId="0" fontId="10" fillId="0" borderId="27" xfId="12" applyFont="1" applyBorder="1" applyAlignment="1">
      <alignment horizontal="center"/>
    </xf>
    <xf numFmtId="0" fontId="10" fillId="0" borderId="28" xfId="12" applyFont="1" applyBorder="1" applyAlignment="1">
      <alignment horizontal="center"/>
    </xf>
    <xf numFmtId="0" fontId="10" fillId="0" borderId="29" xfId="12" applyFont="1" applyBorder="1" applyAlignment="1">
      <alignment horizontal="center"/>
    </xf>
    <xf numFmtId="4" fontId="19" fillId="0" borderId="0" xfId="12" applyNumberFormat="1" applyFont="1" applyBorder="1" applyAlignment="1">
      <alignment horizontal="center"/>
    </xf>
    <xf numFmtId="4" fontId="11" fillId="0" borderId="0" xfId="12" applyNumberFormat="1" applyFont="1" applyBorder="1" applyAlignment="1">
      <alignment horizontal="center"/>
    </xf>
    <xf numFmtId="4" fontId="38" fillId="0" borderId="0" xfId="12" applyNumberFormat="1" applyFont="1" applyBorder="1" applyAlignment="1">
      <alignment horizontal="center"/>
    </xf>
    <xf numFmtId="4" fontId="10" fillId="0" borderId="0" xfId="12" applyNumberFormat="1" applyFont="1" applyBorder="1" applyAlignment="1">
      <alignment horizontal="center"/>
    </xf>
    <xf numFmtId="0" fontId="31" fillId="0" borderId="0" xfId="0" applyFont="1" applyAlignment="1">
      <alignment horizontal="center"/>
    </xf>
    <xf numFmtId="0" fontId="10" fillId="0" borderId="10" xfId="0" applyFont="1" applyBorder="1" applyAlignment="1">
      <alignment horizontal="center"/>
    </xf>
    <xf numFmtId="0" fontId="10" fillId="7" borderId="0" xfId="0" applyFont="1" applyFill="1" applyAlignment="1">
      <alignment horizontal="center"/>
    </xf>
    <xf numFmtId="0" fontId="10" fillId="0" borderId="0" xfId="0" applyFont="1" applyFill="1" applyAlignment="1">
      <alignment horizontal="center"/>
    </xf>
    <xf numFmtId="41" fontId="55" fillId="9" borderId="14" xfId="0" quotePrefix="1" applyNumberFormat="1" applyFont="1" applyFill="1" applyBorder="1" applyAlignment="1">
      <alignment horizontal="center"/>
    </xf>
    <xf numFmtId="41" fontId="55" fillId="9" borderId="12" xfId="0" quotePrefix="1" applyNumberFormat="1" applyFont="1" applyFill="1" applyBorder="1" applyAlignment="1">
      <alignment horizontal="center"/>
    </xf>
    <xf numFmtId="41" fontId="55" fillId="9" borderId="15" xfId="0" quotePrefix="1" applyNumberFormat="1" applyFont="1" applyFill="1" applyBorder="1" applyAlignment="1">
      <alignment horizontal="center"/>
    </xf>
    <xf numFmtId="0" fontId="56" fillId="0" borderId="0" xfId="13" applyNumberFormat="1" applyFont="1" applyAlignment="1">
      <alignment horizontal="left" vertical="top" wrapText="1"/>
    </xf>
    <xf numFmtId="37" fontId="11" fillId="0" borderId="0" xfId="0" applyNumberFormat="1" applyFont="1" applyBorder="1" applyAlignment="1">
      <alignment horizontal="center"/>
    </xf>
    <xf numFmtId="0" fontId="5" fillId="0" borderId="0" xfId="13" applyNumberFormat="1" applyFont="1" applyAlignment="1">
      <alignment horizontal="left"/>
    </xf>
    <xf numFmtId="185" fontId="92" fillId="0" borderId="0" xfId="0" applyNumberFormat="1" applyFont="1"/>
    <xf numFmtId="185" fontId="84" fillId="0" borderId="0" xfId="0" applyNumberFormat="1" applyFont="1"/>
    <xf numFmtId="185" fontId="10" fillId="0" borderId="0" xfId="6" applyNumberFormat="1" applyFont="1"/>
    <xf numFmtId="185" fontId="85" fillId="0" borderId="0" xfId="0" applyNumberFormat="1" applyFont="1"/>
    <xf numFmtId="37" fontId="6" fillId="7" borderId="10" xfId="13" applyNumberFormat="1" applyFont="1" applyFill="1" applyBorder="1"/>
    <xf numFmtId="3" fontId="71" fillId="0" borderId="0" xfId="25" applyNumberFormat="1" applyFont="1" applyAlignment="1">
      <alignment shrinkToFit="1"/>
    </xf>
    <xf numFmtId="0" fontId="71" fillId="0" borderId="1" xfId="25" applyFont="1" applyBorder="1" applyAlignment="1">
      <alignment horizontal="center"/>
    </xf>
    <xf numFmtId="3" fontId="93" fillId="0" borderId="0" xfId="25" applyNumberFormat="1" applyFont="1" applyAlignment="1">
      <alignment shrinkToFit="1"/>
    </xf>
    <xf numFmtId="177" fontId="73" fillId="0" borderId="5" xfId="25" applyNumberFormat="1" applyFont="1" applyBorder="1" applyAlignment="1">
      <alignment horizontal="center"/>
    </xf>
    <xf numFmtId="0" fontId="71" fillId="0" borderId="5" xfId="25" applyFont="1" applyBorder="1" applyAlignment="1">
      <alignment horizontal="center"/>
    </xf>
    <xf numFmtId="3" fontId="94" fillId="0" borderId="0" xfId="25" applyNumberFormat="1" applyFont="1" applyAlignment="1">
      <alignment shrinkToFit="1"/>
    </xf>
    <xf numFmtId="0" fontId="71" fillId="0" borderId="8" xfId="25" applyFont="1" applyBorder="1" applyAlignment="1">
      <alignment horizontal="center"/>
    </xf>
    <xf numFmtId="3" fontId="71" fillId="0" borderId="0" xfId="25" applyNumberFormat="1" applyFont="1" applyAlignment="1">
      <alignment horizontal="centerContinuous" shrinkToFit="1"/>
    </xf>
    <xf numFmtId="3" fontId="71" fillId="0" borderId="10" xfId="25" applyNumberFormat="1" applyFont="1" applyBorder="1" applyAlignment="1">
      <alignment horizontal="right"/>
    </xf>
    <xf numFmtId="3" fontId="71" fillId="0" borderId="10" xfId="25" applyNumberFormat="1" applyFont="1" applyBorder="1" applyAlignment="1">
      <alignment horizontal="right" shrinkToFit="1"/>
    </xf>
    <xf numFmtId="3" fontId="71" fillId="0" borderId="7" xfId="25" applyNumberFormat="1" applyFont="1" applyBorder="1" applyAlignment="1">
      <alignment shrinkToFit="1"/>
    </xf>
    <xf numFmtId="37" fontId="71" fillId="0" borderId="0" xfId="25" applyNumberFormat="1" applyFont="1"/>
    <xf numFmtId="37" fontId="71" fillId="0" borderId="0" xfId="25" applyNumberFormat="1" applyFont="1" applyAlignment="1">
      <alignment shrinkToFit="1"/>
    </xf>
    <xf numFmtId="37" fontId="71" fillId="0" borderId="7" xfId="25" applyNumberFormat="1" applyFont="1" applyFill="1" applyBorder="1" applyAlignment="1">
      <alignment shrinkToFit="1"/>
    </xf>
    <xf numFmtId="37" fontId="71" fillId="10" borderId="0" xfId="25" applyNumberFormat="1" applyFont="1" applyFill="1" applyAlignment="1">
      <alignment shrinkToFit="1"/>
    </xf>
    <xf numFmtId="37" fontId="71" fillId="0" borderId="7" xfId="25" applyNumberFormat="1" applyFont="1" applyBorder="1" applyAlignment="1">
      <alignment shrinkToFit="1"/>
    </xf>
    <xf numFmtId="37" fontId="71" fillId="6" borderId="0" xfId="25" applyNumberFormat="1" applyFont="1" applyFill="1"/>
    <xf numFmtId="37" fontId="71" fillId="6" borderId="0" xfId="25" applyNumberFormat="1" applyFont="1" applyFill="1" applyAlignment="1">
      <alignment shrinkToFit="1"/>
    </xf>
    <xf numFmtId="37" fontId="71" fillId="6" borderId="12" xfId="25" applyNumberFormat="1" applyFont="1" applyFill="1" applyBorder="1"/>
    <xf numFmtId="37" fontId="71" fillId="6" borderId="12" xfId="25" applyNumberFormat="1" applyFont="1" applyFill="1" applyBorder="1" applyAlignment="1">
      <alignment shrinkToFit="1"/>
    </xf>
    <xf numFmtId="37" fontId="71" fillId="6" borderId="15" xfId="25" applyNumberFormat="1" applyFont="1" applyFill="1" applyBorder="1" applyAlignment="1">
      <alignment shrinkToFit="1"/>
    </xf>
    <xf numFmtId="3" fontId="71" fillId="6" borderId="0" xfId="25" applyNumberFormat="1" applyFont="1" applyFill="1" applyBorder="1"/>
    <xf numFmtId="3" fontId="71" fillId="6" borderId="0" xfId="25" applyNumberFormat="1" applyFont="1" applyFill="1" applyBorder="1" applyAlignment="1">
      <alignment shrinkToFit="1"/>
    </xf>
    <xf numFmtId="3" fontId="71" fillId="6" borderId="0" xfId="25" applyNumberFormat="1" applyFont="1" applyFill="1"/>
    <xf numFmtId="3" fontId="71" fillId="6" borderId="0" xfId="25" applyNumberFormat="1" applyFont="1" applyFill="1" applyAlignment="1">
      <alignment shrinkToFit="1"/>
    </xf>
    <xf numFmtId="168" fontId="71" fillId="6" borderId="0" xfId="25" applyNumberFormat="1" applyFont="1" applyFill="1" applyAlignment="1">
      <alignment shrinkToFit="1"/>
    </xf>
    <xf numFmtId="0" fontId="71" fillId="0" borderId="0" xfId="25" applyFont="1" applyAlignment="1">
      <alignment shrinkToFit="1"/>
    </xf>
    <xf numFmtId="49" fontId="71" fillId="0" borderId="0" xfId="25" applyNumberFormat="1" applyFont="1" applyAlignment="1">
      <alignment horizontal="center"/>
    </xf>
    <xf numFmtId="177" fontId="71" fillId="0" borderId="0" xfId="25" applyNumberFormat="1" applyFont="1"/>
    <xf numFmtId="49" fontId="71" fillId="0" borderId="2" xfId="25" applyNumberFormat="1" applyFont="1" applyBorder="1"/>
    <xf numFmtId="177" fontId="71" fillId="0" borderId="3" xfId="25" applyNumberFormat="1" applyFont="1" applyBorder="1" applyAlignment="1">
      <alignment horizontal="left"/>
    </xf>
    <xf numFmtId="0" fontId="71" fillId="0" borderId="4" xfId="25" applyFont="1" applyBorder="1"/>
    <xf numFmtId="49" fontId="73" fillId="0" borderId="2" xfId="25" applyNumberFormat="1" applyFont="1" applyBorder="1"/>
    <xf numFmtId="49" fontId="71" fillId="0" borderId="6" xfId="25" applyNumberFormat="1" applyFont="1" applyBorder="1"/>
    <xf numFmtId="0" fontId="71" fillId="0" borderId="0" xfId="25" applyFont="1" applyAlignment="1">
      <alignment horizontal="left"/>
    </xf>
    <xf numFmtId="0" fontId="71" fillId="0" borderId="7" xfId="25" applyFont="1" applyBorder="1"/>
    <xf numFmtId="49" fontId="71" fillId="0" borderId="9" xfId="25" applyNumberFormat="1" applyFont="1" applyBorder="1"/>
    <xf numFmtId="177" fontId="71" fillId="0" borderId="10" xfId="25" applyNumberFormat="1" applyFont="1" applyBorder="1" applyAlignment="1">
      <alignment horizontal="left"/>
    </xf>
    <xf numFmtId="0" fontId="71" fillId="0" borderId="11" xfId="25" applyFont="1" applyBorder="1"/>
    <xf numFmtId="49" fontId="71" fillId="0" borderId="10" xfId="25" applyNumberFormat="1" applyFont="1" applyBorder="1" applyAlignment="1">
      <alignment horizontal="center"/>
    </xf>
    <xf numFmtId="177" fontId="71" fillId="0" borderId="10" xfId="25" applyNumberFormat="1" applyFont="1" applyBorder="1" applyAlignment="1">
      <alignment horizontal="center"/>
    </xf>
    <xf numFmtId="3" fontId="71" fillId="0" borderId="10" xfId="25" applyNumberFormat="1" applyFont="1" applyBorder="1" applyAlignment="1">
      <alignment horizontal="left"/>
    </xf>
    <xf numFmtId="0" fontId="73" fillId="0" borderId="0" xfId="25" applyFont="1"/>
    <xf numFmtId="1" fontId="71" fillId="0" borderId="0" xfId="25" applyNumberFormat="1" applyFont="1" applyAlignment="1">
      <alignment horizontal="center"/>
    </xf>
    <xf numFmtId="49" fontId="71" fillId="6" borderId="0" xfId="25" applyNumberFormat="1" applyFont="1" applyFill="1" applyAlignment="1">
      <alignment horizontal="center"/>
    </xf>
    <xf numFmtId="1" fontId="71" fillId="0" borderId="0" xfId="25" applyNumberFormat="1" applyFont="1" applyFill="1" applyAlignment="1">
      <alignment horizontal="center"/>
    </xf>
    <xf numFmtId="0" fontId="71" fillId="0" borderId="0" xfId="25" applyFont="1" applyFill="1"/>
    <xf numFmtId="3" fontId="71" fillId="0" borderId="0" xfId="25" applyNumberFormat="1" applyFont="1" applyFill="1"/>
    <xf numFmtId="49" fontId="71" fillId="0" borderId="0" xfId="25" applyNumberFormat="1" applyFont="1"/>
  </cellXfs>
  <cellStyles count="31">
    <cellStyle name="Comma" xfId="1" builtinId="3"/>
    <cellStyle name="Comma 2" xfId="20"/>
    <cellStyle name="Comma 3" xfId="22"/>
    <cellStyle name="Comma 4" xfId="26"/>
    <cellStyle name="Comma 5" xfId="28"/>
    <cellStyle name="Currency" xfId="2" builtinId="4"/>
    <cellStyle name="Currency 2" xfId="3"/>
    <cellStyle name="Followed Hyperlink" xfId="4" builtinId="9" customBuiltin="1"/>
    <cellStyle name="Hyperlink" xfId="5" builtinId="8" customBuiltin="1"/>
    <cellStyle name="Manual-Input" xfId="18"/>
    <cellStyle name="Normal" xfId="0" builtinId="0"/>
    <cellStyle name="Normal 2" xfId="17"/>
    <cellStyle name="Normal 2 10 3 8 2" xfId="24"/>
    <cellStyle name="Normal 2 2" xfId="6"/>
    <cellStyle name="Normal 2 2 2" xfId="30"/>
    <cellStyle name="Normal 2 3" xfId="7"/>
    <cellStyle name="Normal 3" xfId="21"/>
    <cellStyle name="Normal 4" xfId="25"/>
    <cellStyle name="Normal 5" xfId="27"/>
    <cellStyle name="Normal 6" xfId="8"/>
    <cellStyle name="Normal_Avista WA ELEC TY2006 Staff Rebuttal 05 capstruc" xfId="19"/>
    <cellStyle name="Normal_DFIT-WaEle_SUM" xfId="9"/>
    <cellStyle name="Normal_IDGas6_97" xfId="10"/>
    <cellStyle name="Normal_PSSum-Elec" xfId="11"/>
    <cellStyle name="Normal_RestateDebtInt1200case" xfId="12"/>
    <cellStyle name="Normal_WAElec6_97" xfId="13"/>
    <cellStyle name="Normal_WAGas6_97" xfId="14"/>
    <cellStyle name="Percent" xfId="15" builtinId="5"/>
    <cellStyle name="Percent 2" xfId="16"/>
    <cellStyle name="Percent 3" xfId="23"/>
    <cellStyle name="Percent 4"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F7E4"/>
      <color rgb="FFD5FFEA"/>
      <color rgb="FFE8F2F4"/>
      <color rgb="FFFFFF66"/>
      <color rgb="FFFFFF99"/>
      <color rgb="FF0033CC"/>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rk/30_ava/3046-9%20-%202018%20GRC/init/I.%20UE_AVA%20Dir%20Evidence-(May17)/3.%20UE_AVA%20WP's%20(May17)/D.%20UE__Andrews%20WPs%20(AVA-May17)/Model%20Adjustments/1.00%20Results%20of%20Operations/12A-2016.12_Avista%20Electric%20Pul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raig\RESULTS%20OF%20OPERATIONS\ROO%2012\98\roo%20databas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rk/30_ava/3046-8%20-%20UE-160228%202016%20GRC/disc/BR1/Attachment%20Bench%20Request%201/Exhibit%20No.%20BGM-13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rk/30_ava/3046-9%20-%202018%20GRC/disc/BR01/UE-170485-UG-170486_Exh.%20BGM-3R_Mullins%20(ICNU-NWIGU)(10.27.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rk/30_ava/3046-9%20-%202018%20GRC/init/I.%20UE_AVA%20Dir%20Evidence-(May17)/3.%20UE_AVA%20WP's%20(May17)/D.%20UE__Andrews%20WPs%20(AVA-May17)/Model%20Adjustments/1.00%20Results%20of%20Operations/12A-2016.12_Avista%20Gas%20North%20Pul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E-CHK"/>
      <sheetName val="E-CHK-UI"/>
      <sheetName val="E-ALL"/>
      <sheetName val="E-OPS"/>
      <sheetName val="E-456"/>
      <sheetName val="E-555"/>
      <sheetName val="E-557"/>
      <sheetName val="E-908"/>
      <sheetName val="E-INT"/>
      <sheetName val="E-FIT"/>
      <sheetName val="E-SCM"/>
      <sheetName val="E-DTE"/>
      <sheetName val="E-OTX"/>
      <sheetName val="E-PLT"/>
      <sheetName val="E-APL"/>
      <sheetName val="E-DEPX"/>
      <sheetName val="E-AMTX"/>
      <sheetName val="E-ADEP"/>
      <sheetName val="E-AAMT"/>
      <sheetName val="C-GPL"/>
      <sheetName val="C-IPL"/>
      <sheetName val="C-DTX"/>
      <sheetName val="C-WKC"/>
      <sheetName val="E-ROR"/>
    </sheetNames>
    <sheetDataSet>
      <sheetData sheetId="0"/>
      <sheetData sheetId="1">
        <row r="2">
          <cell r="H2">
            <v>12</v>
          </cell>
        </row>
        <row r="3">
          <cell r="H3" t="str">
            <v>A</v>
          </cell>
        </row>
        <row r="4">
          <cell r="H4" t="str">
            <v>For Twelve Months Ended December 31, 2016</v>
          </cell>
        </row>
        <row r="5">
          <cell r="H5" t="str">
            <v>Average of Monthly Averages Basis</v>
          </cell>
        </row>
      </sheetData>
      <sheetData sheetId="2"/>
      <sheetData sheetId="3"/>
      <sheetData sheetId="4">
        <row r="7">
          <cell r="D7"/>
          <cell r="E7"/>
          <cell r="G7"/>
          <cell r="H7"/>
          <cell r="I7"/>
          <cell r="J7"/>
        </row>
        <row r="8">
          <cell r="C8">
            <v>1</v>
          </cell>
          <cell r="D8" t="str">
            <v>Input</v>
          </cell>
          <cell r="E8" t="str">
            <v>Production/Transmission  Ratio</v>
          </cell>
          <cell r="F8" t="str">
            <v>01-01-2016 thru 12-31-2016</v>
          </cell>
          <cell r="G8">
            <v>1</v>
          </cell>
          <cell r="H8">
            <v>0.6573</v>
          </cell>
          <cell r="I8">
            <v>0.3427</v>
          </cell>
          <cell r="J8" t="str">
            <v xml:space="preserve"> </v>
          </cell>
        </row>
        <row r="9">
          <cell r="C9"/>
          <cell r="D9"/>
          <cell r="E9"/>
          <cell r="G9"/>
          <cell r="H9"/>
          <cell r="I9"/>
          <cell r="J9"/>
        </row>
        <row r="10">
          <cell r="C10"/>
          <cell r="D10"/>
          <cell r="E10"/>
          <cell r="G10"/>
          <cell r="H10"/>
          <cell r="I10"/>
          <cell r="J10"/>
        </row>
        <row r="11">
          <cell r="D11" t="str">
            <v>Input</v>
          </cell>
          <cell r="E11" t="str">
            <v>Number of Customers - AMA</v>
          </cell>
          <cell r="F11" t="str">
            <v>01-01-2016 thru 12-31-2016</v>
          </cell>
          <cell r="G11">
            <v>374507</v>
          </cell>
          <cell r="H11">
            <v>245916</v>
          </cell>
          <cell r="I11">
            <v>128591</v>
          </cell>
          <cell r="J11"/>
        </row>
        <row r="12">
          <cell r="C12">
            <v>2</v>
          </cell>
          <cell r="E12" t="str">
            <v xml:space="preserve">  Percent</v>
          </cell>
          <cell r="G12">
            <v>1</v>
          </cell>
          <cell r="H12">
            <v>0.65664</v>
          </cell>
          <cell r="I12">
            <v>0.34336</v>
          </cell>
          <cell r="J12"/>
        </row>
        <row r="13">
          <cell r="C13"/>
          <cell r="E13"/>
          <cell r="G13"/>
          <cell r="H13"/>
          <cell r="I13"/>
          <cell r="J13"/>
        </row>
        <row r="14">
          <cell r="C14"/>
          <cell r="D14"/>
          <cell r="E14"/>
          <cell r="G14"/>
          <cell r="H14"/>
          <cell r="I14"/>
          <cell r="J14"/>
        </row>
        <row r="15">
          <cell r="D15" t="str">
            <v>E-OPS</v>
          </cell>
          <cell r="E15" t="str">
            <v>Direct Distribution Operating Expense</v>
          </cell>
          <cell r="F15" t="str">
            <v>01-01-2016 thru 12-31-2016</v>
          </cell>
          <cell r="G15">
            <v>23251240</v>
          </cell>
          <cell r="H15">
            <v>15470596</v>
          </cell>
          <cell r="I15">
            <v>7780644</v>
          </cell>
          <cell r="J15"/>
        </row>
        <row r="16">
          <cell r="C16">
            <v>3</v>
          </cell>
          <cell r="E16" t="str">
            <v xml:space="preserve">  Percent</v>
          </cell>
          <cell r="G16">
            <v>1</v>
          </cell>
          <cell r="H16">
            <v>0.66537000000000002</v>
          </cell>
          <cell r="I16">
            <v>0.33462999999999998</v>
          </cell>
          <cell r="J16"/>
        </row>
        <row r="17">
          <cell r="C17"/>
          <cell r="E17"/>
          <cell r="G17"/>
          <cell r="H17"/>
          <cell r="I17"/>
          <cell r="J17"/>
        </row>
        <row r="18">
          <cell r="C18"/>
          <cell r="D18"/>
          <cell r="E18"/>
          <cell r="G18"/>
          <cell r="H18"/>
          <cell r="I18"/>
          <cell r="J18"/>
        </row>
        <row r="19">
          <cell r="C19"/>
          <cell r="D19" t="str">
            <v>Input</v>
          </cell>
          <cell r="E19" t="str">
            <v>Jurisdictional 4-Factor Ratio</v>
          </cell>
          <cell r="F19" t="str">
            <v>01-01-2016 thru 12-31-2016</v>
          </cell>
          <cell r="G19"/>
          <cell r="H19"/>
          <cell r="I19"/>
          <cell r="J19"/>
        </row>
        <row r="20">
          <cell r="C20"/>
          <cell r="D20"/>
          <cell r="E20" t="str">
            <v xml:space="preserve">   Direct O &amp; M Accts 500 - 598</v>
          </cell>
          <cell r="F20"/>
          <cell r="G20">
            <v>19878625</v>
          </cell>
          <cell r="H20">
            <v>13041456</v>
          </cell>
          <cell r="I20">
            <v>6837169</v>
          </cell>
          <cell r="J20"/>
        </row>
        <row r="21">
          <cell r="C21"/>
          <cell r="D21"/>
          <cell r="E21" t="str">
            <v xml:space="preserve">   Direct O &amp; M Accts 901 - 935</v>
          </cell>
          <cell r="F21"/>
          <cell r="G21">
            <v>27163365</v>
          </cell>
          <cell r="H21">
            <v>19773487</v>
          </cell>
          <cell r="I21">
            <v>7389878</v>
          </cell>
          <cell r="J21"/>
        </row>
        <row r="22">
          <cell r="C22"/>
          <cell r="D22"/>
          <cell r="E22" t="str">
            <v>Total</v>
          </cell>
          <cell r="F22"/>
          <cell r="G22">
            <v>47041990</v>
          </cell>
          <cell r="H22">
            <v>32814943</v>
          </cell>
          <cell r="I22">
            <v>14227047</v>
          </cell>
          <cell r="J22"/>
        </row>
        <row r="23">
          <cell r="C23"/>
          <cell r="D23"/>
          <cell r="E23" t="str">
            <v>Percentage</v>
          </cell>
          <cell r="F23"/>
          <cell r="G23">
            <v>1</v>
          </cell>
          <cell r="H23">
            <v>0.69757000000000002</v>
          </cell>
          <cell r="I23">
            <v>0.30242999999999998</v>
          </cell>
          <cell r="J23"/>
        </row>
        <row r="24">
          <cell r="C24"/>
          <cell r="D24"/>
          <cell r="E24"/>
          <cell r="F24"/>
          <cell r="G24"/>
          <cell r="H24"/>
          <cell r="I24"/>
          <cell r="J24"/>
        </row>
        <row r="25">
          <cell r="C25"/>
          <cell r="D25"/>
          <cell r="E25" t="str">
            <v xml:space="preserve">   Direct Labor Accts 500 - 598</v>
          </cell>
          <cell r="F25"/>
          <cell r="G25">
            <v>13100158</v>
          </cell>
          <cell r="H25">
            <v>8869997</v>
          </cell>
          <cell r="I25">
            <v>4230161</v>
          </cell>
          <cell r="J25"/>
        </row>
        <row r="26">
          <cell r="C26"/>
          <cell r="D26"/>
          <cell r="E26" t="str">
            <v xml:space="preserve">   Direct Labor Accts 901 - 935</v>
          </cell>
          <cell r="F26"/>
          <cell r="G26">
            <v>6332021</v>
          </cell>
          <cell r="H26">
            <v>4979448</v>
          </cell>
          <cell r="I26">
            <v>1352573</v>
          </cell>
          <cell r="J26"/>
        </row>
        <row r="27">
          <cell r="C27"/>
          <cell r="D27"/>
          <cell r="E27" t="str">
            <v>Total</v>
          </cell>
          <cell r="F27"/>
          <cell r="G27">
            <v>19432179</v>
          </cell>
          <cell r="H27">
            <v>13849445</v>
          </cell>
          <cell r="I27">
            <v>5582734</v>
          </cell>
          <cell r="J27"/>
        </row>
        <row r="28">
          <cell r="C28"/>
          <cell r="D28"/>
          <cell r="E28" t="str">
            <v>Percentage</v>
          </cell>
          <cell r="F28"/>
          <cell r="G28">
            <v>1</v>
          </cell>
          <cell r="H28">
            <v>0.71270999999999995</v>
          </cell>
          <cell r="I28">
            <v>0.28728999999999999</v>
          </cell>
          <cell r="J28"/>
        </row>
        <row r="29">
          <cell r="C29"/>
          <cell r="D29"/>
          <cell r="E29"/>
          <cell r="F29"/>
          <cell r="G29"/>
          <cell r="H29"/>
          <cell r="I29"/>
          <cell r="J29"/>
        </row>
        <row r="30">
          <cell r="C30"/>
          <cell r="D30"/>
          <cell r="E30" t="str">
            <v xml:space="preserve">   Number of Customers</v>
          </cell>
          <cell r="F30"/>
          <cell r="G30">
            <v>377285</v>
          </cell>
          <cell r="H30">
            <v>247777</v>
          </cell>
          <cell r="I30">
            <v>129508</v>
          </cell>
          <cell r="J30"/>
        </row>
        <row r="31">
          <cell r="C31"/>
          <cell r="D31"/>
          <cell r="E31" t="str">
            <v>Percentage</v>
          </cell>
          <cell r="F31"/>
          <cell r="G31">
            <v>1</v>
          </cell>
          <cell r="H31">
            <v>0.65673999999999999</v>
          </cell>
          <cell r="I31">
            <v>0.34326000000000001</v>
          </cell>
          <cell r="J31"/>
        </row>
        <row r="32">
          <cell r="C32"/>
          <cell r="D32"/>
          <cell r="E32"/>
          <cell r="F32"/>
          <cell r="G32"/>
          <cell r="H32"/>
          <cell r="I32"/>
          <cell r="J32"/>
        </row>
        <row r="33">
          <cell r="C33"/>
          <cell r="D33"/>
          <cell r="E33" t="str">
            <v xml:space="preserve">   Net Direct Plant</v>
          </cell>
          <cell r="F33"/>
          <cell r="G33">
            <v>1072965542</v>
          </cell>
          <cell r="H33">
            <v>712213744</v>
          </cell>
          <cell r="I33">
            <v>360751798</v>
          </cell>
          <cell r="J33"/>
        </row>
        <row r="34">
          <cell r="C34"/>
          <cell r="D34"/>
          <cell r="E34" t="str">
            <v>Percentage</v>
          </cell>
          <cell r="F34"/>
          <cell r="G34">
            <v>1</v>
          </cell>
          <cell r="H34">
            <v>0.66378000000000004</v>
          </cell>
          <cell r="I34">
            <v>0.33622000000000002</v>
          </cell>
          <cell r="J34"/>
        </row>
        <row r="35">
          <cell r="C35"/>
          <cell r="D35"/>
          <cell r="E35"/>
          <cell r="F35"/>
          <cell r="G35"/>
          <cell r="H35"/>
          <cell r="I35"/>
          <cell r="J35"/>
        </row>
        <row r="36">
          <cell r="C36"/>
          <cell r="D36"/>
          <cell r="E36" t="str">
            <v>Total Percentages</v>
          </cell>
          <cell r="G36">
            <v>4</v>
          </cell>
          <cell r="H36">
            <v>2.7307899999999998</v>
          </cell>
          <cell r="I36">
            <v>1.2692099999999999</v>
          </cell>
          <cell r="J36"/>
        </row>
        <row r="37">
          <cell r="C37">
            <v>4</v>
          </cell>
          <cell r="D37"/>
          <cell r="E37" t="str">
            <v xml:space="preserve">  Percent</v>
          </cell>
          <cell r="G37">
            <v>1</v>
          </cell>
          <cell r="H37">
            <v>0.68269999999999997</v>
          </cell>
          <cell r="I37">
            <v>0.31730000000000003</v>
          </cell>
          <cell r="J37"/>
        </row>
        <row r="38">
          <cell r="C38"/>
          <cell r="D38"/>
          <cell r="E38"/>
          <cell r="G38"/>
          <cell r="H38"/>
          <cell r="I38"/>
          <cell r="J38"/>
        </row>
        <row r="39">
          <cell r="C39"/>
          <cell r="D39"/>
          <cell r="E39"/>
          <cell r="G39"/>
          <cell r="H39"/>
          <cell r="I39"/>
          <cell r="J39"/>
        </row>
        <row r="40">
          <cell r="C40"/>
          <cell r="D40" t="str">
            <v>Input</v>
          </cell>
          <cell r="E40" t="str">
            <v>Elec/Gas North/Oregon 4-Factor</v>
          </cell>
          <cell r="F40" t="str">
            <v>01-01-2015 thru 12-31-2015</v>
          </cell>
          <cell r="G40" t="str">
            <v>Total</v>
          </cell>
          <cell r="H40" t="str">
            <v>Electric</v>
          </cell>
          <cell r="I40" t="str">
            <v>Gas North</v>
          </cell>
          <cell r="J40" t="str">
            <v>Oregon Gas</v>
          </cell>
        </row>
        <row r="41">
          <cell r="C41"/>
          <cell r="D41"/>
          <cell r="E41" t="str">
            <v xml:space="preserve">   Direct O &amp; M Accts 500 - 894</v>
          </cell>
          <cell r="F41"/>
          <cell r="G41">
            <v>68870162</v>
          </cell>
          <cell r="H41">
            <v>57859575</v>
          </cell>
          <cell r="I41">
            <v>7660811</v>
          </cell>
          <cell r="J41">
            <v>3349776</v>
          </cell>
        </row>
        <row r="42">
          <cell r="C42"/>
          <cell r="D42"/>
          <cell r="E42" t="str">
            <v xml:space="preserve">   Direct O &amp; M Accts 901 - 935</v>
          </cell>
          <cell r="F42"/>
          <cell r="G42">
            <v>40470171</v>
          </cell>
          <cell r="H42">
            <v>30725388</v>
          </cell>
          <cell r="I42">
            <v>6803561</v>
          </cell>
          <cell r="J42">
            <v>2941222</v>
          </cell>
        </row>
        <row r="43">
          <cell r="C43"/>
          <cell r="D43"/>
          <cell r="E43" t="str">
            <v xml:space="preserve">   Direct O &amp; M Accts 901 - 905 Utility 9 Only</v>
          </cell>
          <cell r="F43"/>
          <cell r="G43">
            <v>5203836</v>
          </cell>
          <cell r="H43">
            <v>3701516</v>
          </cell>
          <cell r="I43">
            <v>1502320</v>
          </cell>
          <cell r="J43">
            <v>0</v>
          </cell>
        </row>
        <row r="44">
          <cell r="C44"/>
          <cell r="D44"/>
          <cell r="E44" t="str">
            <v xml:space="preserve">   Adjustments</v>
          </cell>
          <cell r="F44"/>
          <cell r="G44">
            <v>0</v>
          </cell>
          <cell r="H44">
            <v>0</v>
          </cell>
          <cell r="I44">
            <v>0</v>
          </cell>
          <cell r="J44">
            <v>0</v>
          </cell>
        </row>
        <row r="45">
          <cell r="C45"/>
          <cell r="D45"/>
          <cell r="E45" t="str">
            <v>Total</v>
          </cell>
          <cell r="F45"/>
          <cell r="G45">
            <v>114544169</v>
          </cell>
          <cell r="H45">
            <v>92286479</v>
          </cell>
          <cell r="I45">
            <v>15966692</v>
          </cell>
          <cell r="J45">
            <v>6290998</v>
          </cell>
        </row>
        <row r="46">
          <cell r="C46"/>
          <cell r="D46"/>
          <cell r="E46" t="str">
            <v>Percentage</v>
          </cell>
          <cell r="F46"/>
          <cell r="G46">
            <v>1</v>
          </cell>
          <cell r="H46">
            <v>0.80569000000000002</v>
          </cell>
          <cell r="I46">
            <v>0.13938999999999999</v>
          </cell>
          <cell r="J46">
            <v>5.4919999999999997E-2</v>
          </cell>
        </row>
        <row r="47">
          <cell r="C47"/>
          <cell r="D47"/>
          <cell r="E47"/>
          <cell r="F47"/>
          <cell r="G47"/>
          <cell r="H47"/>
          <cell r="I47"/>
          <cell r="J47"/>
        </row>
        <row r="48">
          <cell r="C48"/>
          <cell r="D48"/>
          <cell r="E48" t="str">
            <v xml:space="preserve">   Direct Labor Accts 500 - 894</v>
          </cell>
          <cell r="F48"/>
          <cell r="G48">
            <v>71533714</v>
          </cell>
          <cell r="H48">
            <v>54197331</v>
          </cell>
          <cell r="I48">
            <v>12273957</v>
          </cell>
          <cell r="J48">
            <v>5062426</v>
          </cell>
        </row>
        <row r="49">
          <cell r="C49"/>
          <cell r="D49"/>
          <cell r="E49" t="str">
            <v xml:space="preserve">   Direct Labor Accts 901 - 935</v>
          </cell>
          <cell r="F49"/>
          <cell r="G49">
            <v>5276902</v>
          </cell>
          <cell r="H49">
            <v>3297361</v>
          </cell>
          <cell r="I49">
            <v>193627</v>
          </cell>
          <cell r="J49">
            <v>1785914</v>
          </cell>
        </row>
        <row r="50">
          <cell r="C50"/>
          <cell r="D50"/>
          <cell r="E50" t="str">
            <v xml:space="preserve">   Direct Labor Accts 901 - 905 Utility 9 Only</v>
          </cell>
          <cell r="F50"/>
          <cell r="G50">
            <v>10808995</v>
          </cell>
          <cell r="H50">
            <v>7263025</v>
          </cell>
          <cell r="I50">
            <v>3545970</v>
          </cell>
          <cell r="J50">
            <v>0</v>
          </cell>
        </row>
        <row r="51">
          <cell r="C51"/>
          <cell r="D51"/>
          <cell r="E51" t="str">
            <v>Total</v>
          </cell>
          <cell r="F51"/>
          <cell r="G51">
            <v>87619611</v>
          </cell>
          <cell r="H51">
            <v>64757717</v>
          </cell>
          <cell r="I51">
            <v>16013554</v>
          </cell>
          <cell r="J51">
            <v>6848340</v>
          </cell>
        </row>
        <row r="52">
          <cell r="C52"/>
          <cell r="D52"/>
          <cell r="E52" t="str">
            <v>Percentage</v>
          </cell>
          <cell r="F52"/>
          <cell r="G52">
            <v>1</v>
          </cell>
          <cell r="H52">
            <v>0.73907999999999996</v>
          </cell>
          <cell r="I52">
            <v>0.18276000000000001</v>
          </cell>
          <cell r="J52">
            <v>7.8159999999999993E-2</v>
          </cell>
        </row>
        <row r="53">
          <cell r="C53"/>
          <cell r="D53"/>
          <cell r="E53"/>
          <cell r="F53"/>
          <cell r="G53"/>
          <cell r="H53"/>
          <cell r="I53"/>
          <cell r="J53"/>
        </row>
        <row r="54">
          <cell r="C54"/>
          <cell r="D54"/>
          <cell r="E54" t="str">
            <v xml:space="preserve">   Number of Customers at</v>
          </cell>
          <cell r="F54"/>
          <cell r="G54">
            <v>709694</v>
          </cell>
          <cell r="H54">
            <v>374962</v>
          </cell>
          <cell r="I54">
            <v>235378</v>
          </cell>
          <cell r="J54">
            <v>99354</v>
          </cell>
        </row>
        <row r="55">
          <cell r="C55"/>
          <cell r="D55"/>
          <cell r="E55" t="str">
            <v>Percentage</v>
          </cell>
          <cell r="F55"/>
          <cell r="G55">
            <v>1</v>
          </cell>
          <cell r="H55">
            <v>0.52834000000000003</v>
          </cell>
          <cell r="I55">
            <v>0.33166000000000001</v>
          </cell>
          <cell r="J55">
            <v>0.14000000000000001</v>
          </cell>
        </row>
        <row r="56">
          <cell r="C56"/>
          <cell r="D56"/>
          <cell r="E56"/>
          <cell r="F56"/>
          <cell r="G56"/>
          <cell r="H56"/>
          <cell r="I56"/>
          <cell r="J56"/>
        </row>
        <row r="57">
          <cell r="C57"/>
          <cell r="D57"/>
          <cell r="E57" t="str">
            <v xml:space="preserve">   Net Direct Plant</v>
          </cell>
          <cell r="F57"/>
          <cell r="G57">
            <v>2961417554</v>
          </cell>
          <cell r="H57">
            <v>2309776654</v>
          </cell>
          <cell r="I57">
            <v>427886508</v>
          </cell>
          <cell r="J57">
            <v>223754392</v>
          </cell>
        </row>
        <row r="58">
          <cell r="C58"/>
          <cell r="D58"/>
          <cell r="E58" t="str">
            <v>Percentage</v>
          </cell>
          <cell r="F58"/>
          <cell r="G58">
            <v>1</v>
          </cell>
          <cell r="H58">
            <v>0.77995000000000003</v>
          </cell>
          <cell r="I58">
            <v>0.14449000000000001</v>
          </cell>
          <cell r="J58">
            <v>7.5560000000000002E-2</v>
          </cell>
        </row>
        <row r="59">
          <cell r="C59"/>
          <cell r="D59"/>
          <cell r="E59"/>
          <cell r="F59"/>
          <cell r="G59"/>
          <cell r="H59"/>
          <cell r="I59"/>
          <cell r="J59"/>
        </row>
        <row r="60">
          <cell r="C60"/>
          <cell r="D60"/>
          <cell r="E60" t="str">
            <v>Total Percentages</v>
          </cell>
          <cell r="F60"/>
          <cell r="G60">
            <v>4</v>
          </cell>
          <cell r="H60">
            <v>2.8530600000000002</v>
          </cell>
          <cell r="I60">
            <v>0.79830000000000001</v>
          </cell>
          <cell r="J60">
            <v>0.34863</v>
          </cell>
        </row>
        <row r="61">
          <cell r="C61">
            <v>7</v>
          </cell>
          <cell r="D61"/>
          <cell r="E61" t="str">
            <v>Average  (CD AA)</v>
          </cell>
          <cell r="F61"/>
          <cell r="G61">
            <v>1</v>
          </cell>
          <cell r="H61">
            <v>0.71326000000000001</v>
          </cell>
          <cell r="I61">
            <v>0.19958000000000001</v>
          </cell>
          <cell r="J61">
            <v>8.7160000000000001E-2</v>
          </cell>
        </row>
        <row r="62">
          <cell r="C62"/>
          <cell r="D62"/>
          <cell r="E62"/>
          <cell r="F62"/>
          <cell r="G62"/>
          <cell r="H62"/>
          <cell r="I62"/>
          <cell r="J62"/>
        </row>
        <row r="63">
          <cell r="C63"/>
          <cell r="D63" t="str">
            <v>Input</v>
          </cell>
          <cell r="E63" t="str">
            <v>Gas North/Oregon 4-Factor</v>
          </cell>
          <cell r="F63" t="str">
            <v>01-01-2015 thru 12-31-2015</v>
          </cell>
          <cell r="G63" t="str">
            <v>Total</v>
          </cell>
          <cell r="H63" t="str">
            <v>Electric</v>
          </cell>
          <cell r="I63" t="str">
            <v>Gas North</v>
          </cell>
          <cell r="J63" t="str">
            <v>Oregon Gas</v>
          </cell>
        </row>
        <row r="64">
          <cell r="C64"/>
          <cell r="D64"/>
          <cell r="E64" t="str">
            <v xml:space="preserve">   Direct O &amp; M Accts 500 - 894</v>
          </cell>
          <cell r="F64"/>
          <cell r="G64">
            <v>10455835</v>
          </cell>
          <cell r="H64">
            <v>0</v>
          </cell>
          <cell r="I64">
            <v>7274832</v>
          </cell>
          <cell r="J64">
            <v>3181003</v>
          </cell>
        </row>
        <row r="65">
          <cell r="C65"/>
          <cell r="D65"/>
          <cell r="E65" t="str">
            <v xml:space="preserve">   Direct O &amp; M Accts 901 - 935</v>
          </cell>
          <cell r="F65"/>
          <cell r="G65">
            <v>9194411</v>
          </cell>
          <cell r="H65">
            <v>0</v>
          </cell>
          <cell r="I65">
            <v>6419305</v>
          </cell>
          <cell r="J65">
            <v>2775106</v>
          </cell>
        </row>
        <row r="66">
          <cell r="C66"/>
          <cell r="D66"/>
          <cell r="E66" t="str">
            <v xml:space="preserve">   Direct O &amp; M Accts 901 - 905 Utility 9 Only</v>
          </cell>
          <cell r="F66"/>
          <cell r="G66">
            <v>1502320</v>
          </cell>
          <cell r="H66">
            <v>0</v>
          </cell>
          <cell r="I66">
            <v>1502320</v>
          </cell>
          <cell r="J66">
            <v>0</v>
          </cell>
        </row>
        <row r="67">
          <cell r="C67"/>
          <cell r="D67"/>
          <cell r="E67" t="str">
            <v>Total</v>
          </cell>
          <cell r="F67"/>
          <cell r="G67">
            <v>21152566</v>
          </cell>
          <cell r="H67">
            <v>0</v>
          </cell>
          <cell r="I67">
            <v>15196457</v>
          </cell>
          <cell r="J67">
            <v>5956109</v>
          </cell>
        </row>
        <row r="68">
          <cell r="C68"/>
          <cell r="D68"/>
          <cell r="E68" t="str">
            <v>Percentage</v>
          </cell>
          <cell r="F68"/>
          <cell r="G68">
            <v>1</v>
          </cell>
          <cell r="H68">
            <v>0</v>
          </cell>
          <cell r="I68">
            <v>0.71841999999999995</v>
          </cell>
          <cell r="J68">
            <v>0.28158</v>
          </cell>
        </row>
        <row r="69">
          <cell r="C69"/>
          <cell r="D69"/>
          <cell r="E69"/>
          <cell r="F69"/>
          <cell r="G69"/>
          <cell r="H69"/>
          <cell r="I69"/>
          <cell r="J69"/>
        </row>
        <row r="70">
          <cell r="C70"/>
          <cell r="D70"/>
          <cell r="E70" t="str">
            <v xml:space="preserve">   Direct Labor Accts 500 - 894</v>
          </cell>
          <cell r="F70"/>
          <cell r="G70">
            <v>12747846</v>
          </cell>
          <cell r="H70">
            <v>0</v>
          </cell>
          <cell r="I70">
            <v>9025326</v>
          </cell>
          <cell r="J70">
            <v>3722520</v>
          </cell>
        </row>
        <row r="71">
          <cell r="C71"/>
          <cell r="D71"/>
          <cell r="E71" t="str">
            <v xml:space="preserve">   Direct Labor Accts 901 - 935</v>
          </cell>
          <cell r="F71"/>
          <cell r="G71">
            <v>1617630</v>
          </cell>
          <cell r="H71">
            <v>0</v>
          </cell>
          <cell r="I71">
            <v>158227</v>
          </cell>
          <cell r="J71">
            <v>1459403</v>
          </cell>
        </row>
        <row r="72">
          <cell r="C72"/>
          <cell r="D72"/>
          <cell r="E72" t="str">
            <v xml:space="preserve">   Direct Labor Accts 901 - 905 Utility 9 Only</v>
          </cell>
          <cell r="F72"/>
          <cell r="G72">
            <v>3545970</v>
          </cell>
          <cell r="H72">
            <v>0</v>
          </cell>
          <cell r="I72">
            <v>3545970</v>
          </cell>
          <cell r="J72">
            <v>0</v>
          </cell>
        </row>
        <row r="73">
          <cell r="C73"/>
          <cell r="D73"/>
          <cell r="E73" t="str">
            <v>Total</v>
          </cell>
          <cell r="F73"/>
          <cell r="G73">
            <v>17911446</v>
          </cell>
          <cell r="H73">
            <v>0</v>
          </cell>
          <cell r="I73">
            <v>12729523</v>
          </cell>
          <cell r="J73">
            <v>5181923</v>
          </cell>
        </row>
        <row r="74">
          <cell r="C74"/>
          <cell r="D74"/>
          <cell r="E74" t="str">
            <v>Percentage</v>
          </cell>
          <cell r="F74"/>
          <cell r="G74">
            <v>1</v>
          </cell>
          <cell r="H74">
            <v>0</v>
          </cell>
          <cell r="I74">
            <v>0.71069000000000004</v>
          </cell>
          <cell r="J74">
            <v>0.28931000000000001</v>
          </cell>
        </row>
        <row r="75">
          <cell r="C75"/>
          <cell r="D75"/>
          <cell r="E75"/>
          <cell r="F75"/>
          <cell r="G75"/>
          <cell r="H75"/>
          <cell r="I75"/>
          <cell r="J75"/>
        </row>
        <row r="76">
          <cell r="C76"/>
          <cell r="D76"/>
          <cell r="E76" t="str">
            <v xml:space="preserve">   Number of Customers at</v>
          </cell>
          <cell r="F76"/>
          <cell r="G76">
            <v>334732</v>
          </cell>
          <cell r="H76">
            <v>0</v>
          </cell>
          <cell r="I76">
            <v>235378</v>
          </cell>
          <cell r="J76">
            <v>99354</v>
          </cell>
        </row>
        <row r="77">
          <cell r="C77"/>
          <cell r="D77"/>
          <cell r="E77" t="str">
            <v>Percentage</v>
          </cell>
          <cell r="F77"/>
          <cell r="G77">
            <v>1</v>
          </cell>
          <cell r="H77">
            <v>0</v>
          </cell>
          <cell r="I77">
            <v>0.70318000000000003</v>
          </cell>
          <cell r="J77">
            <v>0.29681999999999997</v>
          </cell>
        </row>
        <row r="78">
          <cell r="C78"/>
          <cell r="D78"/>
          <cell r="E78"/>
          <cell r="F78"/>
          <cell r="G78"/>
          <cell r="H78"/>
          <cell r="I78"/>
          <cell r="J78"/>
        </row>
        <row r="79">
          <cell r="C79"/>
          <cell r="D79"/>
          <cell r="E79" t="str">
            <v xml:space="preserve">   Net Direct Plant</v>
          </cell>
          <cell r="F79"/>
          <cell r="G79">
            <v>642075757</v>
          </cell>
          <cell r="H79">
            <v>0</v>
          </cell>
          <cell r="I79">
            <v>419325758</v>
          </cell>
          <cell r="J79">
            <v>222749999</v>
          </cell>
        </row>
        <row r="80">
          <cell r="C80"/>
          <cell r="D80"/>
          <cell r="E80" t="str">
            <v>Percentage</v>
          </cell>
          <cell r="F80"/>
          <cell r="G80">
            <v>1</v>
          </cell>
          <cell r="H80">
            <v>0</v>
          </cell>
          <cell r="I80">
            <v>0.65307999999999999</v>
          </cell>
          <cell r="J80">
            <v>0.34692000000000001</v>
          </cell>
        </row>
        <row r="81">
          <cell r="C81"/>
          <cell r="D81"/>
          <cell r="E81"/>
          <cell r="F81"/>
          <cell r="G81"/>
          <cell r="H81"/>
          <cell r="I81"/>
          <cell r="J81"/>
        </row>
        <row r="82">
          <cell r="C82"/>
          <cell r="D82"/>
          <cell r="E82" t="str">
            <v>Total Percentages</v>
          </cell>
          <cell r="F82"/>
          <cell r="G82">
            <v>4</v>
          </cell>
          <cell r="H82">
            <v>0</v>
          </cell>
          <cell r="I82">
            <v>2.78538</v>
          </cell>
          <cell r="J82">
            <v>1.21462</v>
          </cell>
        </row>
        <row r="83">
          <cell r="C83">
            <v>8</v>
          </cell>
          <cell r="D83"/>
          <cell r="E83" t="str">
            <v>Average  (GD AA)</v>
          </cell>
          <cell r="F83"/>
          <cell r="G83">
            <v>1</v>
          </cell>
          <cell r="H83">
            <v>0</v>
          </cell>
          <cell r="I83">
            <v>0.69633999999999996</v>
          </cell>
          <cell r="J83">
            <v>0.30365999999999999</v>
          </cell>
        </row>
        <row r="84">
          <cell r="C84"/>
          <cell r="D84"/>
          <cell r="E84"/>
          <cell r="F84"/>
          <cell r="G84"/>
          <cell r="H84"/>
          <cell r="I84"/>
          <cell r="J84"/>
        </row>
        <row r="85">
          <cell r="C85"/>
          <cell r="D85"/>
          <cell r="E85"/>
          <cell r="G85"/>
          <cell r="H85"/>
          <cell r="I85"/>
          <cell r="J85"/>
        </row>
        <row r="86">
          <cell r="C86"/>
          <cell r="D86" t="str">
            <v>Input</v>
          </cell>
          <cell r="E86" t="str">
            <v>Elec/Gas North 4-Factor</v>
          </cell>
          <cell r="F86" t="str">
            <v>01-01-2015 thru 12-31-2015</v>
          </cell>
          <cell r="G86" t="str">
            <v>Total</v>
          </cell>
          <cell r="H86" t="str">
            <v>Electric</v>
          </cell>
          <cell r="I86" t="str">
            <v>Gas North</v>
          </cell>
          <cell r="J86" t="str">
            <v>Oregon Gas</v>
          </cell>
        </row>
        <row r="87">
          <cell r="C87"/>
          <cell r="D87"/>
          <cell r="E87" t="str">
            <v xml:space="preserve">   Direct O &amp; M Accts 500 - 894</v>
          </cell>
          <cell r="F87"/>
          <cell r="G87">
            <v>65517641</v>
          </cell>
          <cell r="H87">
            <v>57859575</v>
          </cell>
          <cell r="I87">
            <v>7658066</v>
          </cell>
          <cell r="J87">
            <v>0</v>
          </cell>
        </row>
        <row r="88">
          <cell r="C88"/>
          <cell r="D88"/>
          <cell r="E88" t="str">
            <v xml:space="preserve">   Direct O &amp; M Accts 901 - 935</v>
          </cell>
          <cell r="F88"/>
          <cell r="G88">
            <v>37524901</v>
          </cell>
          <cell r="H88">
            <v>30725388</v>
          </cell>
          <cell r="I88">
            <v>6799513</v>
          </cell>
          <cell r="J88">
            <v>0</v>
          </cell>
        </row>
        <row r="89">
          <cell r="C89"/>
          <cell r="D89"/>
          <cell r="E89" t="str">
            <v xml:space="preserve">    Adjustments</v>
          </cell>
          <cell r="F89"/>
          <cell r="G89">
            <v>0</v>
          </cell>
          <cell r="H89">
            <v>0</v>
          </cell>
          <cell r="I89">
            <v>0</v>
          </cell>
          <cell r="J89">
            <v>0</v>
          </cell>
        </row>
        <row r="90">
          <cell r="C90"/>
          <cell r="D90"/>
          <cell r="E90" t="str">
            <v>Total</v>
          </cell>
          <cell r="F90"/>
          <cell r="G90">
            <v>103042542</v>
          </cell>
          <cell r="H90">
            <v>88584963</v>
          </cell>
          <cell r="I90">
            <v>14457579</v>
          </cell>
          <cell r="J90">
            <v>0</v>
          </cell>
        </row>
        <row r="91">
          <cell r="C91"/>
          <cell r="D91"/>
          <cell r="E91" t="str">
            <v>Percentage</v>
          </cell>
          <cell r="F91"/>
          <cell r="G91">
            <v>1</v>
          </cell>
          <cell r="H91">
            <v>0.85968999999999995</v>
          </cell>
          <cell r="I91">
            <v>0.14030999999999999</v>
          </cell>
          <cell r="J91">
            <v>0</v>
          </cell>
        </row>
        <row r="92">
          <cell r="C92"/>
          <cell r="D92"/>
          <cell r="E92"/>
          <cell r="F92"/>
          <cell r="G92"/>
          <cell r="H92"/>
          <cell r="I92"/>
          <cell r="J92"/>
        </row>
        <row r="93">
          <cell r="C93"/>
          <cell r="D93"/>
          <cell r="E93" t="str">
            <v xml:space="preserve">   Direct Labor Accts 500 - 894</v>
          </cell>
          <cell r="F93"/>
          <cell r="G93">
            <v>66392511</v>
          </cell>
          <cell r="H93">
            <v>54197331</v>
          </cell>
          <cell r="I93">
            <v>12195180</v>
          </cell>
          <cell r="J93">
            <v>0</v>
          </cell>
        </row>
        <row r="94">
          <cell r="C94"/>
          <cell r="D94"/>
          <cell r="E94" t="str">
            <v xml:space="preserve">   Direct Labor Accts 901 - 935</v>
          </cell>
          <cell r="F94"/>
          <cell r="G94">
            <v>3705603</v>
          </cell>
          <cell r="H94">
            <v>3297361</v>
          </cell>
          <cell r="I94">
            <v>408242</v>
          </cell>
          <cell r="J94">
            <v>0</v>
          </cell>
        </row>
        <row r="95">
          <cell r="C95"/>
          <cell r="D95"/>
          <cell r="E95" t="str">
            <v>Total</v>
          </cell>
          <cell r="F95"/>
          <cell r="G95">
            <v>70098114</v>
          </cell>
          <cell r="H95">
            <v>57494692</v>
          </cell>
          <cell r="I95">
            <v>12603422</v>
          </cell>
          <cell r="J95">
            <v>0</v>
          </cell>
        </row>
        <row r="96">
          <cell r="C96"/>
          <cell r="D96"/>
          <cell r="E96" t="str">
            <v>Percentage</v>
          </cell>
          <cell r="F96"/>
          <cell r="G96">
            <v>1</v>
          </cell>
          <cell r="H96">
            <v>0.82020000000000004</v>
          </cell>
          <cell r="I96">
            <v>0.17979999999999999</v>
          </cell>
          <cell r="J96">
            <v>0</v>
          </cell>
        </row>
        <row r="97">
          <cell r="C97"/>
          <cell r="D97"/>
          <cell r="E97"/>
          <cell r="F97"/>
          <cell r="G97"/>
          <cell r="H97"/>
          <cell r="I97"/>
          <cell r="J97"/>
        </row>
        <row r="98">
          <cell r="C98"/>
          <cell r="D98"/>
          <cell r="E98" t="str">
            <v xml:space="preserve">   Number of Customers at</v>
          </cell>
          <cell r="F98"/>
          <cell r="G98">
            <v>610340</v>
          </cell>
          <cell r="H98">
            <v>374962</v>
          </cell>
          <cell r="I98">
            <v>235378</v>
          </cell>
          <cell r="J98">
            <v>0</v>
          </cell>
        </row>
        <row r="99">
          <cell r="C99"/>
          <cell r="D99"/>
          <cell r="E99" t="str">
            <v>Percentage</v>
          </cell>
          <cell r="F99"/>
          <cell r="G99">
            <v>1</v>
          </cell>
          <cell r="H99">
            <v>0.61434999999999995</v>
          </cell>
          <cell r="I99">
            <v>0.38564999999999999</v>
          </cell>
          <cell r="J99">
            <v>0</v>
          </cell>
        </row>
        <row r="100">
          <cell r="C100"/>
          <cell r="D100"/>
          <cell r="E100"/>
          <cell r="F100"/>
          <cell r="G100"/>
          <cell r="H100"/>
          <cell r="I100"/>
          <cell r="J100"/>
        </row>
        <row r="101">
          <cell r="C101"/>
          <cell r="D101"/>
          <cell r="E101" t="str">
            <v xml:space="preserve">   Net Direct Plant</v>
          </cell>
          <cell r="F101"/>
          <cell r="G101">
            <v>2706279542</v>
          </cell>
          <cell r="H101">
            <v>2286953784</v>
          </cell>
          <cell r="I101">
            <v>419325758</v>
          </cell>
          <cell r="J101">
            <v>0</v>
          </cell>
        </row>
        <row r="102">
          <cell r="C102"/>
          <cell r="D102"/>
          <cell r="E102" t="str">
            <v>Percentage</v>
          </cell>
          <cell r="F102"/>
          <cell r="G102">
            <v>1</v>
          </cell>
          <cell r="H102">
            <v>0.84504999999999997</v>
          </cell>
          <cell r="I102">
            <v>0.15495</v>
          </cell>
          <cell r="J102">
            <v>0</v>
          </cell>
        </row>
        <row r="103">
          <cell r="C103"/>
          <cell r="D103"/>
          <cell r="E103"/>
          <cell r="F103"/>
          <cell r="G103"/>
          <cell r="H103"/>
          <cell r="I103"/>
          <cell r="J103"/>
        </row>
        <row r="104">
          <cell r="C104"/>
          <cell r="D104"/>
          <cell r="E104" t="str">
            <v>Total Percentages</v>
          </cell>
          <cell r="F104"/>
          <cell r="G104">
            <v>4</v>
          </cell>
          <cell r="H104">
            <v>3.1393</v>
          </cell>
          <cell r="I104">
            <v>0.86070000000000002</v>
          </cell>
          <cell r="J104">
            <v>0</v>
          </cell>
        </row>
        <row r="105">
          <cell r="C105">
            <v>9</v>
          </cell>
          <cell r="D105"/>
          <cell r="E105" t="str">
            <v>Average  (CD AN/ID/WA)</v>
          </cell>
          <cell r="F105"/>
          <cell r="G105">
            <v>1</v>
          </cell>
          <cell r="H105">
            <v>0.78481999999999996</v>
          </cell>
          <cell r="I105">
            <v>0.21518000000000001</v>
          </cell>
          <cell r="J105">
            <v>0</v>
          </cell>
        </row>
        <row r="106">
          <cell r="C106"/>
          <cell r="D106"/>
          <cell r="E106"/>
          <cell r="F106"/>
          <cell r="G106"/>
          <cell r="H106"/>
          <cell r="I106"/>
          <cell r="J106"/>
        </row>
        <row r="107">
          <cell r="C107"/>
          <cell r="D107"/>
          <cell r="E107"/>
          <cell r="G107"/>
          <cell r="H107"/>
          <cell r="I107"/>
          <cell r="J107"/>
        </row>
        <row r="108">
          <cell r="D108" t="str">
            <v>E-PLT</v>
          </cell>
          <cell r="E108" t="str">
            <v>Net Electric Distribution Plant - AMA</v>
          </cell>
          <cell r="F108" t="str">
            <v>12-01-2015 thru 12-31-2016</v>
          </cell>
          <cell r="G108">
            <v>1023558708</v>
          </cell>
          <cell r="H108">
            <v>675072411</v>
          </cell>
          <cell r="I108">
            <v>348486297</v>
          </cell>
          <cell r="J108"/>
        </row>
        <row r="109">
          <cell r="C109">
            <v>10</v>
          </cell>
          <cell r="D109"/>
          <cell r="E109" t="str">
            <v xml:space="preserve">  Percent</v>
          </cell>
          <cell r="G109">
            <v>1</v>
          </cell>
          <cell r="H109">
            <v>0.65952999999999995</v>
          </cell>
          <cell r="I109">
            <v>0.34046999999999999</v>
          </cell>
          <cell r="J109"/>
        </row>
        <row r="110">
          <cell r="C110"/>
          <cell r="D110"/>
          <cell r="E110"/>
          <cell r="G110"/>
          <cell r="H110"/>
          <cell r="I110"/>
          <cell r="J110"/>
        </row>
        <row r="111">
          <cell r="C111"/>
          <cell r="D111"/>
          <cell r="E111"/>
          <cell r="G111"/>
          <cell r="H111"/>
          <cell r="I111"/>
          <cell r="J111"/>
        </row>
        <row r="112">
          <cell r="D112"/>
          <cell r="E112" t="str">
            <v>Book Depreciation</v>
          </cell>
          <cell r="F112" t="str">
            <v>01-01-2016 thru 12-31-2016</v>
          </cell>
          <cell r="G112">
            <v>101849867</v>
          </cell>
          <cell r="H112">
            <v>66335712</v>
          </cell>
          <cell r="I112">
            <v>35514155</v>
          </cell>
          <cell r="J112"/>
        </row>
        <row r="113">
          <cell r="C113">
            <v>11</v>
          </cell>
          <cell r="E113" t="str">
            <v xml:space="preserve">  Percent</v>
          </cell>
          <cell r="G113">
            <v>1</v>
          </cell>
          <cell r="H113">
            <v>0.65130999999999994</v>
          </cell>
          <cell r="I113">
            <v>0.34869</v>
          </cell>
          <cell r="J113"/>
        </row>
        <row r="114">
          <cell r="C114"/>
          <cell r="E114"/>
          <cell r="G114"/>
          <cell r="H114"/>
          <cell r="I114"/>
          <cell r="J114"/>
        </row>
        <row r="115">
          <cell r="C115"/>
          <cell r="D115"/>
          <cell r="E115"/>
          <cell r="G115"/>
          <cell r="H115"/>
          <cell r="I115"/>
          <cell r="J115"/>
        </row>
        <row r="116">
          <cell r="D116"/>
          <cell r="E116" t="str">
            <v>Net Electric Plant (before DFIT) - AMA</v>
          </cell>
          <cell r="F116" t="str">
            <v>12-01-2015 thru 12-31-2016</v>
          </cell>
          <cell r="G116">
            <v>2619856983</v>
          </cell>
          <cell r="H116">
            <v>1729585131</v>
          </cell>
          <cell r="I116">
            <v>890271852</v>
          </cell>
          <cell r="J116"/>
        </row>
        <row r="117">
          <cell r="C117">
            <v>12</v>
          </cell>
          <cell r="D117"/>
          <cell r="E117" t="str">
            <v xml:space="preserve">  Percent</v>
          </cell>
          <cell r="G117">
            <v>1</v>
          </cell>
          <cell r="H117">
            <v>0.66017999999999999</v>
          </cell>
          <cell r="I117">
            <v>0.33982000000000001</v>
          </cell>
          <cell r="J117"/>
        </row>
        <row r="118">
          <cell r="C118"/>
          <cell r="D118"/>
          <cell r="E118"/>
          <cell r="G118"/>
          <cell r="H118"/>
          <cell r="I118"/>
          <cell r="J118"/>
        </row>
        <row r="119">
          <cell r="C119"/>
          <cell r="D119"/>
          <cell r="E119"/>
          <cell r="G119"/>
          <cell r="H119"/>
          <cell r="I119"/>
          <cell r="J119"/>
        </row>
        <row r="120">
          <cell r="D120" t="str">
            <v>E-PLT</v>
          </cell>
          <cell r="E120" t="str">
            <v>Net Electric General Plant - AMA</v>
          </cell>
          <cell r="F120" t="str">
            <v>12-01-2015 thru 12-31-2016</v>
          </cell>
          <cell r="G120">
            <v>230327259</v>
          </cell>
          <cell r="H120">
            <v>153460246</v>
          </cell>
          <cell r="I120">
            <v>76867013</v>
          </cell>
          <cell r="J120"/>
        </row>
        <row r="121">
          <cell r="C121">
            <v>13</v>
          </cell>
          <cell r="D121"/>
          <cell r="E121" t="str">
            <v xml:space="preserve">  Percent</v>
          </cell>
          <cell r="G121">
            <v>1</v>
          </cell>
          <cell r="H121">
            <v>0.66627000000000003</v>
          </cell>
          <cell r="I121">
            <v>0.33373000000000003</v>
          </cell>
          <cell r="J121"/>
        </row>
        <row r="122">
          <cell r="C122"/>
          <cell r="D122"/>
          <cell r="E122"/>
          <cell r="G122"/>
          <cell r="H122"/>
          <cell r="I122"/>
          <cell r="J122"/>
        </row>
        <row r="123">
          <cell r="C123"/>
          <cell r="D123"/>
          <cell r="E123" t="str">
            <v>Net Allocated Schedule M's - AMA</v>
          </cell>
          <cell r="F123" t="str">
            <v>01-01-2016 thru 12-31-2016</v>
          </cell>
          <cell r="G123">
            <v>-258361891</v>
          </cell>
          <cell r="H123">
            <v>-167289500</v>
          </cell>
          <cell r="I123">
            <v>-91072391</v>
          </cell>
          <cell r="J123"/>
        </row>
        <row r="124">
          <cell r="C124">
            <v>14</v>
          </cell>
          <cell r="D124"/>
          <cell r="E124" t="str">
            <v xml:space="preserve">  Percent</v>
          </cell>
          <cell r="G124">
            <v>1</v>
          </cell>
          <cell r="H124">
            <v>0.64749999999999996</v>
          </cell>
          <cell r="I124">
            <v>0.35249999999999998</v>
          </cell>
          <cell r="J124"/>
        </row>
        <row r="125">
          <cell r="C125"/>
          <cell r="D125"/>
          <cell r="E125"/>
          <cell r="G125"/>
          <cell r="H125"/>
          <cell r="I125"/>
          <cell r="J125"/>
        </row>
        <row r="126">
          <cell r="C126"/>
          <cell r="D126"/>
          <cell r="E126"/>
          <cell r="G126"/>
          <cell r="H126"/>
          <cell r="I126"/>
          <cell r="J126"/>
        </row>
        <row r="127">
          <cell r="C127"/>
          <cell r="D127"/>
          <cell r="E127"/>
          <cell r="G127"/>
          <cell r="H127"/>
          <cell r="I127"/>
          <cell r="J127"/>
        </row>
        <row r="128">
          <cell r="C128">
            <v>99</v>
          </cell>
          <cell r="D128" t="str">
            <v>Input</v>
          </cell>
          <cell r="E128" t="str">
            <v>Not Allocated</v>
          </cell>
          <cell r="G128">
            <v>0</v>
          </cell>
          <cell r="H128">
            <v>0</v>
          </cell>
          <cell r="I128">
            <v>0</v>
          </cell>
          <cell r="J128"/>
        </row>
        <row r="129">
          <cell r="C129"/>
          <cell r="D129"/>
          <cell r="E129" t="str">
            <v>**** The following is obsolete as of 201111 and will not be printed. ***</v>
          </cell>
          <cell r="G129"/>
          <cell r="H129"/>
          <cell r="I129"/>
          <cell r="J129"/>
        </row>
        <row r="130">
          <cell r="C130"/>
          <cell r="D130"/>
          <cell r="E130" t="str">
            <v>Situs Plant by Functional Group:</v>
          </cell>
          <cell r="G130"/>
          <cell r="H130"/>
          <cell r="I130"/>
          <cell r="J130"/>
        </row>
        <row r="131">
          <cell r="C131"/>
          <cell r="D131"/>
          <cell r="E131" t="str">
            <v>(Used to functionalize R&amp;P Property Tax for COS)</v>
          </cell>
          <cell r="G131"/>
          <cell r="H131"/>
          <cell r="I131"/>
          <cell r="J131"/>
        </row>
        <row r="132">
          <cell r="C132"/>
          <cell r="D132"/>
          <cell r="G132" t="str">
            <v>Washington</v>
          </cell>
          <cell r="H132" t="str">
            <v>Idaho</v>
          </cell>
          <cell r="I132" t="str">
            <v>Montana</v>
          </cell>
          <cell r="J132" t="str">
            <v>Oregon</v>
          </cell>
        </row>
        <row r="133">
          <cell r="C133"/>
          <cell r="D133"/>
          <cell r="E133" t="str">
            <v>Balance Date</v>
          </cell>
          <cell r="F133"/>
          <cell r="G133"/>
          <cell r="H133"/>
          <cell r="I133"/>
          <cell r="J133"/>
        </row>
        <row r="134">
          <cell r="C134"/>
          <cell r="D134" t="str">
            <v>Input</v>
          </cell>
          <cell r="E134" t="str">
            <v>Production</v>
          </cell>
          <cell r="G134">
            <v>0</v>
          </cell>
          <cell r="H134">
            <v>0</v>
          </cell>
          <cell r="I134">
            <v>0</v>
          </cell>
          <cell r="J134">
            <v>0</v>
          </cell>
        </row>
        <row r="135">
          <cell r="C135"/>
          <cell r="D135" t="str">
            <v>Input</v>
          </cell>
          <cell r="E135" t="str">
            <v>Transmission</v>
          </cell>
          <cell r="G135">
            <v>0</v>
          </cell>
          <cell r="H135">
            <v>0</v>
          </cell>
          <cell r="I135">
            <v>0</v>
          </cell>
          <cell r="J135">
            <v>0</v>
          </cell>
        </row>
        <row r="136">
          <cell r="C136"/>
          <cell r="D136" t="str">
            <v>Input</v>
          </cell>
          <cell r="E136" t="str">
            <v>Distribution</v>
          </cell>
          <cell r="G136">
            <v>0</v>
          </cell>
          <cell r="H136">
            <v>0</v>
          </cell>
          <cell r="I136">
            <v>0</v>
          </cell>
          <cell r="J136"/>
        </row>
        <row r="137">
          <cell r="C137"/>
          <cell r="D137" t="str">
            <v>Input</v>
          </cell>
          <cell r="E137" t="str">
            <v>General</v>
          </cell>
          <cell r="G137">
            <v>0</v>
          </cell>
          <cell r="H137">
            <v>0</v>
          </cell>
          <cell r="I137"/>
          <cell r="J137"/>
        </row>
        <row r="138">
          <cell r="C138"/>
          <cell r="D138"/>
          <cell r="E138" t="str">
            <v xml:space="preserve">  TOTAL</v>
          </cell>
          <cell r="G138">
            <v>0</v>
          </cell>
          <cell r="H138">
            <v>0</v>
          </cell>
          <cell r="I138">
            <v>0</v>
          </cell>
          <cell r="J138">
            <v>0</v>
          </cell>
        </row>
      </sheetData>
      <sheetData sheetId="5">
        <row r="27">
          <cell r="O27">
            <v>677111810</v>
          </cell>
        </row>
      </sheetData>
      <sheetData sheetId="6"/>
      <sheetData sheetId="7"/>
      <sheetData sheetId="8"/>
      <sheetData sheetId="9"/>
      <sheetData sheetId="10">
        <row r="15">
          <cell r="G15">
            <v>39301995</v>
          </cell>
        </row>
      </sheetData>
      <sheetData sheetId="11"/>
      <sheetData sheetId="12"/>
      <sheetData sheetId="13"/>
      <sheetData sheetId="14">
        <row r="23">
          <cell r="M23">
            <v>60161435</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o database"/>
    </sheetNames>
    <definedNames>
      <definedName name="_xlnm.Database" refersTo="='roo database'!$A$7:$M$1952"/>
    </definedNames>
    <sheetDataSet>
      <sheetData sheetId="0">
        <row r="7">
          <cell r="A7" t="str">
            <v>RecType</v>
          </cell>
          <cell r="B7" t="str">
            <v>Utility</v>
          </cell>
          <cell r="C7" t="str">
            <v>Main</v>
          </cell>
          <cell r="D7" t="str">
            <v>Sub</v>
          </cell>
          <cell r="E7" t="str">
            <v>WO</v>
          </cell>
          <cell r="F7" t="str">
            <v>Loc</v>
          </cell>
          <cell r="G7" t="str">
            <v>Key</v>
          </cell>
          <cell r="H7" t="str">
            <v>Tamt</v>
          </cell>
          <cell r="I7" t="str">
            <v>Aamt</v>
          </cell>
          <cell r="J7" t="str">
            <v>DWamt</v>
          </cell>
          <cell r="K7" t="str">
            <v>DIamt</v>
          </cell>
          <cell r="L7" t="str">
            <v>DFamt</v>
          </cell>
        </row>
        <row r="8">
          <cell r="A8">
            <v>1</v>
          </cell>
          <cell r="B8">
            <v>0</v>
          </cell>
          <cell r="C8">
            <v>400</v>
          </cell>
          <cell r="D8" t="str">
            <v xml:space="preserve">  </v>
          </cell>
          <cell r="E8" t="str">
            <v xml:space="preserve">    </v>
          </cell>
          <cell r="F8" t="str">
            <v xml:space="preserve">   </v>
          </cell>
          <cell r="G8">
            <v>10400</v>
          </cell>
          <cell r="H8">
            <v>-268562</v>
          </cell>
          <cell r="I8">
            <v>0</v>
          </cell>
          <cell r="J8">
            <v>-132576</v>
          </cell>
          <cell r="K8">
            <v>-135986</v>
          </cell>
          <cell r="L8">
            <v>0</v>
          </cell>
        </row>
        <row r="9">
          <cell r="A9">
            <v>2</v>
          </cell>
          <cell r="B9">
            <v>0</v>
          </cell>
          <cell r="C9">
            <v>400</v>
          </cell>
          <cell r="D9" t="str">
            <v xml:space="preserve">  </v>
          </cell>
          <cell r="E9" t="str">
            <v xml:space="preserve">    </v>
          </cell>
          <cell r="F9" t="str">
            <v xml:space="preserve">   </v>
          </cell>
          <cell r="G9">
            <v>20400</v>
          </cell>
          <cell r="H9">
            <v>-1687885</v>
          </cell>
          <cell r="I9">
            <v>0</v>
          </cell>
          <cell r="J9">
            <v>-1048336</v>
          </cell>
          <cell r="K9">
            <v>-639549</v>
          </cell>
          <cell r="L9">
            <v>0</v>
          </cell>
        </row>
        <row r="10">
          <cell r="A10">
            <v>1</v>
          </cell>
          <cell r="B10">
            <v>0</v>
          </cell>
          <cell r="C10">
            <v>405</v>
          </cell>
          <cell r="D10" t="str">
            <v xml:space="preserve">  </v>
          </cell>
          <cell r="E10" t="str">
            <v xml:space="preserve">    </v>
          </cell>
          <cell r="F10" t="str">
            <v xml:space="preserve">   </v>
          </cell>
          <cell r="G10">
            <v>10405</v>
          </cell>
          <cell r="H10">
            <v>561566</v>
          </cell>
          <cell r="I10">
            <v>0</v>
          </cell>
          <cell r="J10">
            <v>210994</v>
          </cell>
          <cell r="K10">
            <v>350572</v>
          </cell>
          <cell r="L10">
            <v>0</v>
          </cell>
        </row>
        <row r="11">
          <cell r="A11">
            <v>2</v>
          </cell>
          <cell r="B11">
            <v>0</v>
          </cell>
          <cell r="C11">
            <v>405</v>
          </cell>
          <cell r="D11" t="str">
            <v xml:space="preserve">  </v>
          </cell>
          <cell r="E11" t="str">
            <v xml:space="preserve">    </v>
          </cell>
          <cell r="F11" t="str">
            <v xml:space="preserve">   </v>
          </cell>
          <cell r="G11">
            <v>20405</v>
          </cell>
          <cell r="H11">
            <v>6591834</v>
          </cell>
          <cell r="I11">
            <v>0</v>
          </cell>
          <cell r="J11">
            <v>2531928</v>
          </cell>
          <cell r="K11">
            <v>4059906</v>
          </cell>
          <cell r="L11">
            <v>0</v>
          </cell>
        </row>
        <row r="12">
          <cell r="A12">
            <v>1</v>
          </cell>
          <cell r="B12">
            <v>0</v>
          </cell>
          <cell r="C12">
            <v>406</v>
          </cell>
          <cell r="D12" t="str">
            <v xml:space="preserve">  </v>
          </cell>
          <cell r="E12" t="str">
            <v xml:space="preserve">    </v>
          </cell>
          <cell r="F12" t="str">
            <v xml:space="preserve">   </v>
          </cell>
          <cell r="G12">
            <v>10406</v>
          </cell>
          <cell r="H12">
            <v>8254</v>
          </cell>
          <cell r="I12">
            <v>0</v>
          </cell>
          <cell r="J12">
            <v>2645</v>
          </cell>
          <cell r="K12">
            <v>5609</v>
          </cell>
          <cell r="L12">
            <v>0</v>
          </cell>
        </row>
        <row r="13">
          <cell r="A13">
            <v>2</v>
          </cell>
          <cell r="B13">
            <v>0</v>
          </cell>
          <cell r="C13">
            <v>406</v>
          </cell>
          <cell r="D13" t="str">
            <v xml:space="preserve">  </v>
          </cell>
          <cell r="E13" t="str">
            <v xml:space="preserve">    </v>
          </cell>
          <cell r="F13" t="str">
            <v xml:space="preserve">   </v>
          </cell>
          <cell r="G13">
            <v>20406</v>
          </cell>
          <cell r="H13">
            <v>99048</v>
          </cell>
          <cell r="I13">
            <v>0</v>
          </cell>
          <cell r="J13">
            <v>31740</v>
          </cell>
          <cell r="K13">
            <v>67308</v>
          </cell>
          <cell r="L13">
            <v>0</v>
          </cell>
        </row>
        <row r="14">
          <cell r="A14">
            <v>1</v>
          </cell>
          <cell r="B14">
            <v>0</v>
          </cell>
          <cell r="C14">
            <v>440</v>
          </cell>
          <cell r="D14" t="str">
            <v xml:space="preserve">  </v>
          </cell>
          <cell r="E14" t="str">
            <v xml:space="preserve">    </v>
          </cell>
          <cell r="F14" t="str">
            <v xml:space="preserve">   </v>
          </cell>
          <cell r="G14">
            <v>10440</v>
          </cell>
          <cell r="H14">
            <v>-16443297.189999999</v>
          </cell>
          <cell r="I14">
            <v>0</v>
          </cell>
          <cell r="J14">
            <v>-11333256.33</v>
          </cell>
          <cell r="K14">
            <v>-5110040.8600000003</v>
          </cell>
          <cell r="L14">
            <v>0</v>
          </cell>
        </row>
        <row r="15">
          <cell r="A15">
            <v>2</v>
          </cell>
          <cell r="B15">
            <v>0</v>
          </cell>
          <cell r="C15">
            <v>440</v>
          </cell>
          <cell r="D15" t="str">
            <v xml:space="preserve">  </v>
          </cell>
          <cell r="E15" t="str">
            <v xml:space="preserve">    </v>
          </cell>
          <cell r="F15" t="str">
            <v xml:space="preserve">   </v>
          </cell>
          <cell r="G15">
            <v>20440</v>
          </cell>
          <cell r="H15">
            <v>-156399388.72999999</v>
          </cell>
          <cell r="I15">
            <v>0</v>
          </cell>
          <cell r="J15">
            <v>-108444310.06</v>
          </cell>
          <cell r="K15">
            <v>-47955078.670000002</v>
          </cell>
          <cell r="L15">
            <v>0</v>
          </cell>
        </row>
        <row r="16">
          <cell r="A16">
            <v>1</v>
          </cell>
          <cell r="B16">
            <v>0</v>
          </cell>
          <cell r="C16">
            <v>444</v>
          </cell>
          <cell r="D16" t="str">
            <v xml:space="preserve">  </v>
          </cell>
          <cell r="E16" t="str">
            <v xml:space="preserve">    </v>
          </cell>
          <cell r="F16" t="str">
            <v xml:space="preserve">   </v>
          </cell>
          <cell r="G16">
            <v>10444</v>
          </cell>
          <cell r="H16">
            <v>-291330.40000000002</v>
          </cell>
          <cell r="I16">
            <v>0</v>
          </cell>
          <cell r="J16">
            <v>-209112.63</v>
          </cell>
          <cell r="K16">
            <v>-82217.77</v>
          </cell>
          <cell r="L16">
            <v>0</v>
          </cell>
        </row>
        <row r="17">
          <cell r="A17">
            <v>2</v>
          </cell>
          <cell r="B17">
            <v>0</v>
          </cell>
          <cell r="C17">
            <v>444</v>
          </cell>
          <cell r="D17" t="str">
            <v xml:space="preserve">  </v>
          </cell>
          <cell r="E17" t="str">
            <v xml:space="preserve">    </v>
          </cell>
          <cell r="F17" t="str">
            <v xml:space="preserve">   </v>
          </cell>
          <cell r="G17">
            <v>20444</v>
          </cell>
          <cell r="H17">
            <v>-3387424.28</v>
          </cell>
          <cell r="I17">
            <v>0</v>
          </cell>
          <cell r="J17">
            <v>-2430130.85</v>
          </cell>
          <cell r="K17">
            <v>-957293.43</v>
          </cell>
          <cell r="L17">
            <v>0</v>
          </cell>
        </row>
        <row r="18">
          <cell r="A18">
            <v>1</v>
          </cell>
          <cell r="B18">
            <v>0</v>
          </cell>
          <cell r="C18">
            <v>447</v>
          </cell>
          <cell r="D18" t="str">
            <v xml:space="preserve">  </v>
          </cell>
          <cell r="E18" t="str">
            <v xml:space="preserve">    </v>
          </cell>
          <cell r="F18" t="str">
            <v xml:space="preserve">   </v>
          </cell>
          <cell r="G18">
            <v>10447</v>
          </cell>
          <cell r="H18">
            <v>-46328276.350000001</v>
          </cell>
          <cell r="I18">
            <v>-46328276.350000001</v>
          </cell>
          <cell r="J18">
            <v>0</v>
          </cell>
          <cell r="K18">
            <v>0</v>
          </cell>
          <cell r="L18">
            <v>0</v>
          </cell>
        </row>
        <row r="19">
          <cell r="A19">
            <v>2</v>
          </cell>
          <cell r="B19">
            <v>0</v>
          </cell>
          <cell r="C19">
            <v>447</v>
          </cell>
          <cell r="D19" t="str">
            <v xml:space="preserve">  </v>
          </cell>
          <cell r="E19" t="str">
            <v xml:space="preserve">    </v>
          </cell>
          <cell r="F19" t="str">
            <v xml:space="preserve">   </v>
          </cell>
          <cell r="G19">
            <v>20447</v>
          </cell>
          <cell r="H19">
            <v>-457340917.98000002</v>
          </cell>
          <cell r="I19">
            <v>-457340917.98000002</v>
          </cell>
          <cell r="J19">
            <v>0</v>
          </cell>
          <cell r="K19">
            <v>0</v>
          </cell>
          <cell r="L19">
            <v>0</v>
          </cell>
        </row>
        <row r="20">
          <cell r="A20">
            <v>1</v>
          </cell>
          <cell r="B20">
            <v>0</v>
          </cell>
          <cell r="C20">
            <v>448</v>
          </cell>
          <cell r="D20" t="str">
            <v xml:space="preserve">  </v>
          </cell>
          <cell r="E20" t="str">
            <v xml:space="preserve">    </v>
          </cell>
          <cell r="F20" t="str">
            <v xml:space="preserve">   </v>
          </cell>
          <cell r="G20">
            <v>10448</v>
          </cell>
          <cell r="H20">
            <v>-68609.88</v>
          </cell>
          <cell r="I20">
            <v>0</v>
          </cell>
          <cell r="J20">
            <v>-59222.25</v>
          </cell>
          <cell r="K20">
            <v>-9387.6299999999992</v>
          </cell>
          <cell r="L20">
            <v>0</v>
          </cell>
        </row>
        <row r="21">
          <cell r="A21">
            <v>2</v>
          </cell>
          <cell r="B21">
            <v>0</v>
          </cell>
          <cell r="C21">
            <v>448</v>
          </cell>
          <cell r="D21" t="str">
            <v xml:space="preserve">  </v>
          </cell>
          <cell r="E21" t="str">
            <v xml:space="preserve">    </v>
          </cell>
          <cell r="F21" t="str">
            <v xml:space="preserve">   </v>
          </cell>
          <cell r="G21">
            <v>20448</v>
          </cell>
          <cell r="H21">
            <v>-713870.76</v>
          </cell>
          <cell r="I21">
            <v>0</v>
          </cell>
          <cell r="J21">
            <v>-639734.32999999996</v>
          </cell>
          <cell r="K21">
            <v>-74136.429999999993</v>
          </cell>
          <cell r="L21">
            <v>0</v>
          </cell>
        </row>
        <row r="22">
          <cell r="A22">
            <v>1</v>
          </cell>
          <cell r="B22">
            <v>0</v>
          </cell>
          <cell r="C22">
            <v>451</v>
          </cell>
          <cell r="D22" t="str">
            <v xml:space="preserve">  </v>
          </cell>
          <cell r="E22" t="str">
            <v xml:space="preserve">    </v>
          </cell>
          <cell r="F22" t="str">
            <v xml:space="preserve">   </v>
          </cell>
          <cell r="G22">
            <v>10451</v>
          </cell>
          <cell r="H22">
            <v>-99203.78</v>
          </cell>
          <cell r="I22">
            <v>0</v>
          </cell>
          <cell r="J22">
            <v>-70713.600000000006</v>
          </cell>
          <cell r="K22">
            <v>-28490.18</v>
          </cell>
          <cell r="L22">
            <v>0</v>
          </cell>
        </row>
        <row r="23">
          <cell r="A23">
            <v>2</v>
          </cell>
          <cell r="B23">
            <v>0</v>
          </cell>
          <cell r="C23">
            <v>451</v>
          </cell>
          <cell r="D23" t="str">
            <v xml:space="preserve">  </v>
          </cell>
          <cell r="E23" t="str">
            <v xml:space="preserve">    </v>
          </cell>
          <cell r="F23" t="str">
            <v xml:space="preserve">   </v>
          </cell>
          <cell r="G23">
            <v>20451</v>
          </cell>
          <cell r="H23">
            <v>-1807615.23</v>
          </cell>
          <cell r="I23">
            <v>0</v>
          </cell>
          <cell r="J23">
            <v>-1295944.6599999999</v>
          </cell>
          <cell r="K23">
            <v>-511670.57</v>
          </cell>
          <cell r="L23">
            <v>0</v>
          </cell>
        </row>
        <row r="24">
          <cell r="A24">
            <v>1</v>
          </cell>
          <cell r="B24">
            <v>0</v>
          </cell>
          <cell r="C24">
            <v>453</v>
          </cell>
          <cell r="D24" t="str">
            <v xml:space="preserve">  </v>
          </cell>
          <cell r="E24" t="str">
            <v xml:space="preserve">    </v>
          </cell>
          <cell r="F24" t="str">
            <v xml:space="preserve">   </v>
          </cell>
          <cell r="G24">
            <v>10453</v>
          </cell>
          <cell r="H24">
            <v>-74869.36</v>
          </cell>
          <cell r="I24">
            <v>-74869.36</v>
          </cell>
          <cell r="J24">
            <v>0</v>
          </cell>
          <cell r="K24">
            <v>0</v>
          </cell>
          <cell r="L24">
            <v>0</v>
          </cell>
        </row>
        <row r="25">
          <cell r="A25">
            <v>2</v>
          </cell>
          <cell r="B25">
            <v>0</v>
          </cell>
          <cell r="C25">
            <v>453</v>
          </cell>
          <cell r="D25" t="str">
            <v xml:space="preserve">  </v>
          </cell>
          <cell r="E25" t="str">
            <v xml:space="preserve">    </v>
          </cell>
          <cell r="F25" t="str">
            <v xml:space="preserve">   </v>
          </cell>
          <cell r="G25">
            <v>20453</v>
          </cell>
          <cell r="H25">
            <v>-448426.22</v>
          </cell>
          <cell r="I25">
            <v>-448426.22</v>
          </cell>
          <cell r="J25">
            <v>0</v>
          </cell>
          <cell r="K25">
            <v>0</v>
          </cell>
          <cell r="L25">
            <v>0</v>
          </cell>
        </row>
        <row r="26">
          <cell r="A26">
            <v>1</v>
          </cell>
          <cell r="B26">
            <v>0</v>
          </cell>
          <cell r="C26">
            <v>454</v>
          </cell>
          <cell r="D26" t="str">
            <v xml:space="preserve">  </v>
          </cell>
          <cell r="E26" t="str">
            <v xml:space="preserve">    </v>
          </cell>
          <cell r="F26" t="str">
            <v xml:space="preserve">   </v>
          </cell>
          <cell r="G26">
            <v>10454</v>
          </cell>
          <cell r="H26">
            <v>-801790.55</v>
          </cell>
          <cell r="I26">
            <v>-86767.35</v>
          </cell>
          <cell r="J26">
            <v>-410060</v>
          </cell>
          <cell r="K26">
            <v>-304963.20000000001</v>
          </cell>
          <cell r="L26">
            <v>0</v>
          </cell>
        </row>
        <row r="27">
          <cell r="A27">
            <v>2</v>
          </cell>
          <cell r="B27">
            <v>0</v>
          </cell>
          <cell r="C27">
            <v>454</v>
          </cell>
          <cell r="D27" t="str">
            <v xml:space="preserve">  </v>
          </cell>
          <cell r="E27" t="str">
            <v xml:space="preserve">    </v>
          </cell>
          <cell r="F27" t="str">
            <v xml:space="preserve">   </v>
          </cell>
          <cell r="G27">
            <v>20454</v>
          </cell>
          <cell r="H27">
            <v>-2039709.16</v>
          </cell>
          <cell r="I27">
            <v>-638322.59</v>
          </cell>
          <cell r="J27">
            <v>-961242.87</v>
          </cell>
          <cell r="K27">
            <v>-440143.7</v>
          </cell>
          <cell r="L27">
            <v>0</v>
          </cell>
        </row>
        <row r="28">
          <cell r="A28">
            <v>1</v>
          </cell>
          <cell r="B28">
            <v>0</v>
          </cell>
          <cell r="C28">
            <v>500</v>
          </cell>
          <cell r="D28" t="str">
            <v xml:space="preserve">  </v>
          </cell>
          <cell r="E28" t="str">
            <v xml:space="preserve">    </v>
          </cell>
          <cell r="F28" t="str">
            <v xml:space="preserve">   </v>
          </cell>
          <cell r="G28">
            <v>10500</v>
          </cell>
          <cell r="H28">
            <v>62864.02</v>
          </cell>
          <cell r="I28">
            <v>62864.02</v>
          </cell>
          <cell r="J28">
            <v>0</v>
          </cell>
          <cell r="K28">
            <v>0</v>
          </cell>
          <cell r="L28">
            <v>0</v>
          </cell>
        </row>
        <row r="29">
          <cell r="A29">
            <v>2</v>
          </cell>
          <cell r="B29">
            <v>0</v>
          </cell>
          <cell r="C29">
            <v>500</v>
          </cell>
          <cell r="D29" t="str">
            <v xml:space="preserve">  </v>
          </cell>
          <cell r="E29" t="str">
            <v xml:space="preserve">    </v>
          </cell>
          <cell r="F29" t="str">
            <v xml:space="preserve">   </v>
          </cell>
          <cell r="G29">
            <v>20500</v>
          </cell>
          <cell r="H29">
            <v>684356.75</v>
          </cell>
          <cell r="I29">
            <v>684356.75</v>
          </cell>
          <cell r="J29">
            <v>0</v>
          </cell>
          <cell r="K29">
            <v>0</v>
          </cell>
          <cell r="L29">
            <v>0</v>
          </cell>
        </row>
        <row r="30">
          <cell r="A30">
            <v>1</v>
          </cell>
          <cell r="B30">
            <v>0</v>
          </cell>
          <cell r="C30">
            <v>501</v>
          </cell>
          <cell r="D30" t="str">
            <v xml:space="preserve">  </v>
          </cell>
          <cell r="E30" t="str">
            <v xml:space="preserve">    </v>
          </cell>
          <cell r="F30" t="str">
            <v xml:space="preserve">   </v>
          </cell>
          <cell r="G30">
            <v>10501</v>
          </cell>
          <cell r="H30">
            <v>4159147.75</v>
          </cell>
          <cell r="I30">
            <v>4159147.75</v>
          </cell>
          <cell r="J30">
            <v>0</v>
          </cell>
          <cell r="K30">
            <v>0</v>
          </cell>
          <cell r="L30">
            <v>0</v>
          </cell>
        </row>
        <row r="31">
          <cell r="A31">
            <v>2</v>
          </cell>
          <cell r="B31">
            <v>0</v>
          </cell>
          <cell r="C31">
            <v>501</v>
          </cell>
          <cell r="D31" t="str">
            <v xml:space="preserve">  </v>
          </cell>
          <cell r="E31" t="str">
            <v xml:space="preserve">    </v>
          </cell>
          <cell r="F31" t="str">
            <v xml:space="preserve">   </v>
          </cell>
          <cell r="G31">
            <v>20501</v>
          </cell>
          <cell r="H31">
            <v>36889838.32</v>
          </cell>
          <cell r="I31">
            <v>36889838.32</v>
          </cell>
          <cell r="J31">
            <v>0</v>
          </cell>
          <cell r="K31">
            <v>0</v>
          </cell>
          <cell r="L31">
            <v>0</v>
          </cell>
        </row>
        <row r="32">
          <cell r="A32">
            <v>1</v>
          </cell>
          <cell r="B32">
            <v>0</v>
          </cell>
          <cell r="C32">
            <v>502</v>
          </cell>
          <cell r="D32" t="str">
            <v xml:space="preserve">  </v>
          </cell>
          <cell r="E32" t="str">
            <v xml:space="preserve">    </v>
          </cell>
          <cell r="F32" t="str">
            <v xml:space="preserve">   </v>
          </cell>
          <cell r="G32">
            <v>10502</v>
          </cell>
          <cell r="H32">
            <v>135565.85</v>
          </cell>
          <cell r="I32">
            <v>135565.85</v>
          </cell>
          <cell r="J32">
            <v>0</v>
          </cell>
          <cell r="K32">
            <v>0</v>
          </cell>
          <cell r="L32">
            <v>0</v>
          </cell>
        </row>
        <row r="33">
          <cell r="A33">
            <v>2</v>
          </cell>
          <cell r="B33">
            <v>0</v>
          </cell>
          <cell r="C33">
            <v>502</v>
          </cell>
          <cell r="D33" t="str">
            <v xml:space="preserve">  </v>
          </cell>
          <cell r="E33" t="str">
            <v xml:space="preserve">    </v>
          </cell>
          <cell r="F33" t="str">
            <v xml:space="preserve">   </v>
          </cell>
          <cell r="G33">
            <v>20502</v>
          </cell>
          <cell r="H33">
            <v>1592806.88</v>
          </cell>
          <cell r="I33">
            <v>1592806.88</v>
          </cell>
          <cell r="J33">
            <v>0</v>
          </cell>
          <cell r="K33">
            <v>0</v>
          </cell>
          <cell r="L33">
            <v>0</v>
          </cell>
        </row>
        <row r="34">
          <cell r="A34">
            <v>1</v>
          </cell>
          <cell r="B34">
            <v>0</v>
          </cell>
          <cell r="C34">
            <v>503</v>
          </cell>
          <cell r="D34" t="str">
            <v xml:space="preserve">  </v>
          </cell>
          <cell r="E34" t="str">
            <v xml:space="preserve">    </v>
          </cell>
          <cell r="F34" t="str">
            <v xml:space="preserve">   </v>
          </cell>
          <cell r="G34">
            <v>10503</v>
          </cell>
          <cell r="H34">
            <v>0</v>
          </cell>
          <cell r="I34">
            <v>0</v>
          </cell>
          <cell r="J34">
            <v>0</v>
          </cell>
          <cell r="K34">
            <v>0</v>
          </cell>
          <cell r="L34">
            <v>0</v>
          </cell>
        </row>
        <row r="35">
          <cell r="A35">
            <v>2</v>
          </cell>
          <cell r="B35">
            <v>0</v>
          </cell>
          <cell r="C35">
            <v>503</v>
          </cell>
          <cell r="D35" t="str">
            <v xml:space="preserve">  </v>
          </cell>
          <cell r="E35" t="str">
            <v xml:space="preserve">    </v>
          </cell>
          <cell r="F35" t="str">
            <v xml:space="preserve">   </v>
          </cell>
          <cell r="G35">
            <v>20503</v>
          </cell>
          <cell r="H35">
            <v>-205.82</v>
          </cell>
          <cell r="I35">
            <v>-205.82</v>
          </cell>
          <cell r="J35">
            <v>0</v>
          </cell>
          <cell r="K35">
            <v>0</v>
          </cell>
          <cell r="L35">
            <v>0</v>
          </cell>
        </row>
        <row r="36">
          <cell r="A36">
            <v>1</v>
          </cell>
          <cell r="B36">
            <v>0</v>
          </cell>
          <cell r="C36">
            <v>505</v>
          </cell>
          <cell r="D36" t="str">
            <v xml:space="preserve">  </v>
          </cell>
          <cell r="E36" t="str">
            <v xml:space="preserve">    </v>
          </cell>
          <cell r="F36" t="str">
            <v xml:space="preserve">   </v>
          </cell>
          <cell r="G36">
            <v>10505</v>
          </cell>
          <cell r="H36">
            <v>110991.78</v>
          </cell>
          <cell r="I36">
            <v>110991.78</v>
          </cell>
          <cell r="J36">
            <v>0</v>
          </cell>
          <cell r="K36">
            <v>0</v>
          </cell>
          <cell r="L36">
            <v>0</v>
          </cell>
        </row>
        <row r="37">
          <cell r="A37">
            <v>2</v>
          </cell>
          <cell r="B37">
            <v>0</v>
          </cell>
          <cell r="C37">
            <v>505</v>
          </cell>
          <cell r="D37" t="str">
            <v xml:space="preserve">  </v>
          </cell>
          <cell r="E37" t="str">
            <v xml:space="preserve">    </v>
          </cell>
          <cell r="F37" t="str">
            <v xml:space="preserve">   </v>
          </cell>
          <cell r="G37">
            <v>20505</v>
          </cell>
          <cell r="H37">
            <v>1158945.78</v>
          </cell>
          <cell r="I37">
            <v>1158945.78</v>
          </cell>
          <cell r="J37">
            <v>0</v>
          </cell>
          <cell r="K37">
            <v>0</v>
          </cell>
          <cell r="L37">
            <v>0</v>
          </cell>
        </row>
        <row r="38">
          <cell r="A38">
            <v>1</v>
          </cell>
          <cell r="B38">
            <v>0</v>
          </cell>
          <cell r="C38">
            <v>506</v>
          </cell>
          <cell r="D38" t="str">
            <v xml:space="preserve">  </v>
          </cell>
          <cell r="E38" t="str">
            <v xml:space="preserve">    </v>
          </cell>
          <cell r="F38" t="str">
            <v xml:space="preserve">   </v>
          </cell>
          <cell r="G38">
            <v>10506</v>
          </cell>
          <cell r="H38">
            <v>222699.84</v>
          </cell>
          <cell r="I38">
            <v>222699.84</v>
          </cell>
          <cell r="J38">
            <v>0</v>
          </cell>
          <cell r="K38">
            <v>0</v>
          </cell>
          <cell r="L38">
            <v>0</v>
          </cell>
        </row>
        <row r="39">
          <cell r="A39">
            <v>2</v>
          </cell>
          <cell r="B39">
            <v>0</v>
          </cell>
          <cell r="C39">
            <v>506</v>
          </cell>
          <cell r="D39" t="str">
            <v xml:space="preserve">  </v>
          </cell>
          <cell r="E39" t="str">
            <v xml:space="preserve">    </v>
          </cell>
          <cell r="F39" t="str">
            <v xml:space="preserve">   </v>
          </cell>
          <cell r="G39">
            <v>20506</v>
          </cell>
          <cell r="H39">
            <v>2029663.84</v>
          </cell>
          <cell r="I39">
            <v>2029663.84</v>
          </cell>
          <cell r="J39">
            <v>0</v>
          </cell>
          <cell r="K39">
            <v>0</v>
          </cell>
          <cell r="L39">
            <v>0</v>
          </cell>
        </row>
        <row r="40">
          <cell r="A40">
            <v>1</v>
          </cell>
          <cell r="B40">
            <v>0</v>
          </cell>
          <cell r="C40">
            <v>507</v>
          </cell>
          <cell r="D40" t="str">
            <v xml:space="preserve">  </v>
          </cell>
          <cell r="E40" t="str">
            <v xml:space="preserve">    </v>
          </cell>
          <cell r="F40" t="str">
            <v xml:space="preserve">   </v>
          </cell>
          <cell r="G40">
            <v>10507</v>
          </cell>
          <cell r="H40">
            <v>0</v>
          </cell>
          <cell r="I40">
            <v>0</v>
          </cell>
          <cell r="J40">
            <v>0</v>
          </cell>
          <cell r="K40">
            <v>0</v>
          </cell>
          <cell r="L40">
            <v>0</v>
          </cell>
        </row>
        <row r="41">
          <cell r="A41">
            <v>2</v>
          </cell>
          <cell r="B41">
            <v>0</v>
          </cell>
          <cell r="C41">
            <v>507</v>
          </cell>
          <cell r="D41" t="str">
            <v xml:space="preserve">  </v>
          </cell>
          <cell r="E41" t="str">
            <v xml:space="preserve">    </v>
          </cell>
          <cell r="F41" t="str">
            <v xml:space="preserve">   </v>
          </cell>
          <cell r="G41">
            <v>20507</v>
          </cell>
          <cell r="H41">
            <v>0</v>
          </cell>
          <cell r="I41">
            <v>0</v>
          </cell>
          <cell r="J41">
            <v>0</v>
          </cell>
          <cell r="K41">
            <v>0</v>
          </cell>
          <cell r="L41">
            <v>0</v>
          </cell>
        </row>
        <row r="42">
          <cell r="A42">
            <v>1</v>
          </cell>
          <cell r="B42">
            <v>0</v>
          </cell>
          <cell r="C42">
            <v>510</v>
          </cell>
          <cell r="D42" t="str">
            <v xml:space="preserve">  </v>
          </cell>
          <cell r="E42" t="str">
            <v xml:space="preserve">    </v>
          </cell>
          <cell r="F42" t="str">
            <v xml:space="preserve">   </v>
          </cell>
          <cell r="G42">
            <v>10510</v>
          </cell>
          <cell r="H42">
            <v>79463.73</v>
          </cell>
          <cell r="I42">
            <v>79463.73</v>
          </cell>
          <cell r="J42">
            <v>0</v>
          </cell>
          <cell r="K42">
            <v>0</v>
          </cell>
          <cell r="L42">
            <v>0</v>
          </cell>
        </row>
        <row r="43">
          <cell r="A43">
            <v>2</v>
          </cell>
          <cell r="B43">
            <v>0</v>
          </cell>
          <cell r="C43">
            <v>510</v>
          </cell>
          <cell r="D43" t="str">
            <v xml:space="preserve">  </v>
          </cell>
          <cell r="E43" t="str">
            <v xml:space="preserve">    </v>
          </cell>
          <cell r="F43" t="str">
            <v xml:space="preserve">   </v>
          </cell>
          <cell r="G43">
            <v>20510</v>
          </cell>
          <cell r="H43">
            <v>656085.86</v>
          </cell>
          <cell r="I43">
            <v>656085.86</v>
          </cell>
          <cell r="J43">
            <v>0</v>
          </cell>
          <cell r="K43">
            <v>0</v>
          </cell>
          <cell r="L43">
            <v>0</v>
          </cell>
        </row>
        <row r="44">
          <cell r="A44">
            <v>1</v>
          </cell>
          <cell r="B44">
            <v>0</v>
          </cell>
          <cell r="C44">
            <v>511</v>
          </cell>
          <cell r="D44" t="str">
            <v xml:space="preserve">  </v>
          </cell>
          <cell r="E44" t="str">
            <v xml:space="preserve">    </v>
          </cell>
          <cell r="F44" t="str">
            <v xml:space="preserve">   </v>
          </cell>
          <cell r="G44">
            <v>10511</v>
          </cell>
          <cell r="H44">
            <v>54215.02</v>
          </cell>
          <cell r="I44">
            <v>54215.02</v>
          </cell>
          <cell r="J44">
            <v>0</v>
          </cell>
          <cell r="K44">
            <v>0</v>
          </cell>
          <cell r="L44">
            <v>0</v>
          </cell>
        </row>
        <row r="45">
          <cell r="A45">
            <v>2</v>
          </cell>
          <cell r="B45">
            <v>0</v>
          </cell>
          <cell r="C45">
            <v>511</v>
          </cell>
          <cell r="D45" t="str">
            <v xml:space="preserve">  </v>
          </cell>
          <cell r="E45" t="str">
            <v xml:space="preserve">    </v>
          </cell>
          <cell r="F45" t="str">
            <v xml:space="preserve">   </v>
          </cell>
          <cell r="G45">
            <v>20511</v>
          </cell>
          <cell r="H45">
            <v>504651.11</v>
          </cell>
          <cell r="I45">
            <v>504651.11</v>
          </cell>
          <cell r="J45">
            <v>0</v>
          </cell>
          <cell r="K45">
            <v>0</v>
          </cell>
          <cell r="L45">
            <v>0</v>
          </cell>
        </row>
        <row r="46">
          <cell r="A46">
            <v>1</v>
          </cell>
          <cell r="B46">
            <v>0</v>
          </cell>
          <cell r="C46">
            <v>512</v>
          </cell>
          <cell r="D46" t="str">
            <v xml:space="preserve">  </v>
          </cell>
          <cell r="E46" t="str">
            <v xml:space="preserve">    </v>
          </cell>
          <cell r="F46" t="str">
            <v xml:space="preserve">   </v>
          </cell>
          <cell r="G46">
            <v>10512</v>
          </cell>
          <cell r="H46">
            <v>480808.42</v>
          </cell>
          <cell r="I46">
            <v>480808.42</v>
          </cell>
          <cell r="J46">
            <v>0</v>
          </cell>
          <cell r="K46">
            <v>0</v>
          </cell>
          <cell r="L46">
            <v>0</v>
          </cell>
        </row>
        <row r="47">
          <cell r="A47">
            <v>2</v>
          </cell>
          <cell r="B47">
            <v>0</v>
          </cell>
          <cell r="C47">
            <v>512</v>
          </cell>
          <cell r="D47" t="str">
            <v xml:space="preserve">  </v>
          </cell>
          <cell r="E47" t="str">
            <v xml:space="preserve">    </v>
          </cell>
          <cell r="F47" t="str">
            <v xml:space="preserve">   </v>
          </cell>
          <cell r="G47">
            <v>20512</v>
          </cell>
          <cell r="H47">
            <v>3840190.12</v>
          </cell>
          <cell r="I47">
            <v>3840190.12</v>
          </cell>
          <cell r="J47">
            <v>0</v>
          </cell>
          <cell r="K47">
            <v>0</v>
          </cell>
          <cell r="L47">
            <v>0</v>
          </cell>
        </row>
        <row r="48">
          <cell r="A48">
            <v>1</v>
          </cell>
          <cell r="B48">
            <v>0</v>
          </cell>
          <cell r="C48">
            <v>513</v>
          </cell>
          <cell r="D48" t="str">
            <v xml:space="preserve">  </v>
          </cell>
          <cell r="E48" t="str">
            <v xml:space="preserve">    </v>
          </cell>
          <cell r="F48" t="str">
            <v xml:space="preserve">   </v>
          </cell>
          <cell r="G48">
            <v>10513</v>
          </cell>
          <cell r="H48">
            <v>47535.199999999997</v>
          </cell>
          <cell r="I48">
            <v>47535.199999999997</v>
          </cell>
          <cell r="J48">
            <v>0</v>
          </cell>
          <cell r="K48">
            <v>0</v>
          </cell>
          <cell r="L48">
            <v>0</v>
          </cell>
        </row>
        <row r="49">
          <cell r="A49">
            <v>2</v>
          </cell>
          <cell r="B49">
            <v>0</v>
          </cell>
          <cell r="C49">
            <v>513</v>
          </cell>
          <cell r="D49" t="str">
            <v xml:space="preserve">  </v>
          </cell>
          <cell r="E49" t="str">
            <v xml:space="preserve">    </v>
          </cell>
          <cell r="F49" t="str">
            <v xml:space="preserve">   </v>
          </cell>
          <cell r="G49">
            <v>20513</v>
          </cell>
          <cell r="H49">
            <v>674530.89</v>
          </cell>
          <cell r="I49">
            <v>674530.89</v>
          </cell>
          <cell r="J49">
            <v>0</v>
          </cell>
          <cell r="K49">
            <v>0</v>
          </cell>
          <cell r="L49">
            <v>0</v>
          </cell>
        </row>
        <row r="50">
          <cell r="A50">
            <v>1</v>
          </cell>
          <cell r="B50">
            <v>0</v>
          </cell>
          <cell r="C50">
            <v>514</v>
          </cell>
          <cell r="D50" t="str">
            <v xml:space="preserve">  </v>
          </cell>
          <cell r="E50" t="str">
            <v xml:space="preserve">    </v>
          </cell>
          <cell r="F50" t="str">
            <v xml:space="preserve">   </v>
          </cell>
          <cell r="G50">
            <v>10514</v>
          </cell>
          <cell r="H50">
            <v>62258.51</v>
          </cell>
          <cell r="I50">
            <v>62258.51</v>
          </cell>
          <cell r="J50">
            <v>0</v>
          </cell>
          <cell r="K50">
            <v>0</v>
          </cell>
          <cell r="L50">
            <v>0</v>
          </cell>
        </row>
        <row r="51">
          <cell r="A51">
            <v>2</v>
          </cell>
          <cell r="B51">
            <v>0</v>
          </cell>
          <cell r="C51">
            <v>514</v>
          </cell>
          <cell r="D51" t="str">
            <v xml:space="preserve">  </v>
          </cell>
          <cell r="E51" t="str">
            <v xml:space="preserve">    </v>
          </cell>
          <cell r="F51" t="str">
            <v xml:space="preserve">   </v>
          </cell>
          <cell r="G51">
            <v>20514</v>
          </cell>
          <cell r="H51">
            <v>592804.17000000004</v>
          </cell>
          <cell r="I51">
            <v>592804.17000000004</v>
          </cell>
          <cell r="J51">
            <v>0</v>
          </cell>
          <cell r="K51">
            <v>0</v>
          </cell>
          <cell r="L51">
            <v>0</v>
          </cell>
        </row>
        <row r="52">
          <cell r="A52">
            <v>1</v>
          </cell>
          <cell r="B52">
            <v>0</v>
          </cell>
          <cell r="C52">
            <v>535</v>
          </cell>
          <cell r="D52" t="str">
            <v xml:space="preserve">  </v>
          </cell>
          <cell r="E52" t="str">
            <v xml:space="preserve">    </v>
          </cell>
          <cell r="F52" t="str">
            <v xml:space="preserve">   </v>
          </cell>
          <cell r="G52">
            <v>10535</v>
          </cell>
          <cell r="H52">
            <v>73871.66</v>
          </cell>
          <cell r="I52">
            <v>73871.66</v>
          </cell>
          <cell r="J52">
            <v>0</v>
          </cell>
          <cell r="K52">
            <v>0</v>
          </cell>
          <cell r="L52">
            <v>0</v>
          </cell>
        </row>
        <row r="53">
          <cell r="A53">
            <v>2</v>
          </cell>
          <cell r="B53">
            <v>0</v>
          </cell>
          <cell r="C53">
            <v>535</v>
          </cell>
          <cell r="D53" t="str">
            <v xml:space="preserve">  </v>
          </cell>
          <cell r="E53" t="str">
            <v xml:space="preserve">    </v>
          </cell>
          <cell r="F53" t="str">
            <v xml:space="preserve">   </v>
          </cell>
          <cell r="G53">
            <v>20535</v>
          </cell>
          <cell r="H53">
            <v>1265384.21</v>
          </cell>
          <cell r="I53">
            <v>1265384.21</v>
          </cell>
          <cell r="J53">
            <v>0</v>
          </cell>
          <cell r="K53">
            <v>0</v>
          </cell>
          <cell r="L53">
            <v>0</v>
          </cell>
        </row>
        <row r="54">
          <cell r="A54">
            <v>1</v>
          </cell>
          <cell r="B54">
            <v>0</v>
          </cell>
          <cell r="C54">
            <v>536</v>
          </cell>
          <cell r="D54" t="str">
            <v xml:space="preserve">  </v>
          </cell>
          <cell r="E54" t="str">
            <v xml:space="preserve">    </v>
          </cell>
          <cell r="F54" t="str">
            <v xml:space="preserve">   </v>
          </cell>
          <cell r="G54">
            <v>10536</v>
          </cell>
          <cell r="H54">
            <v>53801.97</v>
          </cell>
          <cell r="I54">
            <v>53801.97</v>
          </cell>
          <cell r="J54">
            <v>0</v>
          </cell>
          <cell r="K54">
            <v>0</v>
          </cell>
          <cell r="L54">
            <v>0</v>
          </cell>
        </row>
        <row r="55">
          <cell r="A55">
            <v>2</v>
          </cell>
          <cell r="B55">
            <v>0</v>
          </cell>
          <cell r="C55">
            <v>536</v>
          </cell>
          <cell r="D55" t="str">
            <v xml:space="preserve">  </v>
          </cell>
          <cell r="E55" t="str">
            <v xml:space="preserve">    </v>
          </cell>
          <cell r="F55" t="str">
            <v xml:space="preserve">   </v>
          </cell>
          <cell r="G55">
            <v>20536</v>
          </cell>
          <cell r="H55">
            <v>653503.19999999995</v>
          </cell>
          <cell r="I55">
            <v>653503.19999999995</v>
          </cell>
          <cell r="J55">
            <v>0</v>
          </cell>
          <cell r="K55">
            <v>0</v>
          </cell>
          <cell r="L55">
            <v>0</v>
          </cell>
        </row>
        <row r="56">
          <cell r="A56">
            <v>1</v>
          </cell>
          <cell r="B56">
            <v>0</v>
          </cell>
          <cell r="C56">
            <v>537</v>
          </cell>
          <cell r="D56" t="str">
            <v xml:space="preserve">  </v>
          </cell>
          <cell r="E56" t="str">
            <v xml:space="preserve">    </v>
          </cell>
          <cell r="F56" t="str">
            <v xml:space="preserve">   </v>
          </cell>
          <cell r="G56">
            <v>10537</v>
          </cell>
          <cell r="H56">
            <v>26866.17</v>
          </cell>
          <cell r="I56">
            <v>26866.17</v>
          </cell>
          <cell r="J56">
            <v>0</v>
          </cell>
          <cell r="K56">
            <v>0</v>
          </cell>
          <cell r="L56">
            <v>0</v>
          </cell>
        </row>
        <row r="57">
          <cell r="A57">
            <v>2</v>
          </cell>
          <cell r="B57">
            <v>0</v>
          </cell>
          <cell r="C57">
            <v>537</v>
          </cell>
          <cell r="D57" t="str">
            <v xml:space="preserve">  </v>
          </cell>
          <cell r="E57" t="str">
            <v xml:space="preserve">    </v>
          </cell>
          <cell r="F57" t="str">
            <v xml:space="preserve">   </v>
          </cell>
          <cell r="G57">
            <v>20537</v>
          </cell>
          <cell r="H57">
            <v>288062.42</v>
          </cell>
          <cell r="I57">
            <v>288062.42</v>
          </cell>
          <cell r="J57">
            <v>0</v>
          </cell>
          <cell r="K57">
            <v>0</v>
          </cell>
          <cell r="L57">
            <v>0</v>
          </cell>
        </row>
        <row r="58">
          <cell r="A58">
            <v>1</v>
          </cell>
          <cell r="B58">
            <v>0</v>
          </cell>
          <cell r="C58">
            <v>538</v>
          </cell>
          <cell r="D58" t="str">
            <v xml:space="preserve">  </v>
          </cell>
          <cell r="E58" t="str">
            <v xml:space="preserve">    </v>
          </cell>
          <cell r="F58" t="str">
            <v xml:space="preserve">   </v>
          </cell>
          <cell r="G58">
            <v>10538</v>
          </cell>
          <cell r="H58">
            <v>186290.15</v>
          </cell>
          <cell r="I58">
            <v>186290.15</v>
          </cell>
          <cell r="J58">
            <v>0</v>
          </cell>
          <cell r="K58">
            <v>0</v>
          </cell>
          <cell r="L58">
            <v>0</v>
          </cell>
        </row>
        <row r="59">
          <cell r="A59">
            <v>2</v>
          </cell>
          <cell r="B59">
            <v>0</v>
          </cell>
          <cell r="C59">
            <v>538</v>
          </cell>
          <cell r="D59" t="str">
            <v xml:space="preserve">  </v>
          </cell>
          <cell r="E59" t="str">
            <v xml:space="preserve">    </v>
          </cell>
          <cell r="F59" t="str">
            <v xml:space="preserve">   </v>
          </cell>
          <cell r="G59">
            <v>20538</v>
          </cell>
          <cell r="H59">
            <v>2911145.71</v>
          </cell>
          <cell r="I59">
            <v>2911145.71</v>
          </cell>
          <cell r="J59">
            <v>0</v>
          </cell>
          <cell r="K59">
            <v>0</v>
          </cell>
          <cell r="L59">
            <v>0</v>
          </cell>
        </row>
        <row r="60">
          <cell r="A60">
            <v>1</v>
          </cell>
          <cell r="B60">
            <v>0</v>
          </cell>
          <cell r="C60">
            <v>539</v>
          </cell>
          <cell r="D60" t="str">
            <v xml:space="preserve">  </v>
          </cell>
          <cell r="E60" t="str">
            <v xml:space="preserve">    </v>
          </cell>
          <cell r="F60" t="str">
            <v xml:space="preserve">   </v>
          </cell>
          <cell r="G60">
            <v>10539</v>
          </cell>
          <cell r="H60">
            <v>159189.51</v>
          </cell>
          <cell r="I60">
            <v>159189.51</v>
          </cell>
          <cell r="J60">
            <v>0</v>
          </cell>
          <cell r="K60">
            <v>0</v>
          </cell>
          <cell r="L60">
            <v>0</v>
          </cell>
        </row>
        <row r="61">
          <cell r="A61">
            <v>2</v>
          </cell>
          <cell r="B61">
            <v>0</v>
          </cell>
          <cell r="C61">
            <v>539</v>
          </cell>
          <cell r="D61" t="str">
            <v xml:space="preserve">  </v>
          </cell>
          <cell r="E61" t="str">
            <v xml:space="preserve">    </v>
          </cell>
          <cell r="F61" t="str">
            <v xml:space="preserve">   </v>
          </cell>
          <cell r="G61">
            <v>20539</v>
          </cell>
          <cell r="H61">
            <v>573554.77</v>
          </cell>
          <cell r="I61">
            <v>573554.77</v>
          </cell>
          <cell r="J61">
            <v>0</v>
          </cell>
          <cell r="K61">
            <v>0</v>
          </cell>
          <cell r="L61">
            <v>0</v>
          </cell>
        </row>
        <row r="62">
          <cell r="A62">
            <v>1</v>
          </cell>
          <cell r="B62">
            <v>0</v>
          </cell>
          <cell r="C62">
            <v>540</v>
          </cell>
          <cell r="D62" t="str">
            <v xml:space="preserve">  </v>
          </cell>
          <cell r="E62" t="str">
            <v xml:space="preserve">    </v>
          </cell>
          <cell r="F62" t="str">
            <v xml:space="preserve">   </v>
          </cell>
          <cell r="G62">
            <v>10540</v>
          </cell>
          <cell r="H62">
            <v>0</v>
          </cell>
          <cell r="I62">
            <v>0</v>
          </cell>
          <cell r="J62">
            <v>0</v>
          </cell>
          <cell r="K62">
            <v>0</v>
          </cell>
          <cell r="L62">
            <v>0</v>
          </cell>
        </row>
        <row r="63">
          <cell r="A63">
            <v>2</v>
          </cell>
          <cell r="B63">
            <v>0</v>
          </cell>
          <cell r="C63">
            <v>540</v>
          </cell>
          <cell r="D63" t="str">
            <v xml:space="preserve">  </v>
          </cell>
          <cell r="E63" t="str">
            <v xml:space="preserve">    </v>
          </cell>
          <cell r="F63" t="str">
            <v xml:space="preserve">   </v>
          </cell>
          <cell r="G63">
            <v>20540</v>
          </cell>
          <cell r="H63">
            <v>528256.22</v>
          </cell>
          <cell r="I63">
            <v>528256.22</v>
          </cell>
          <cell r="J63">
            <v>0</v>
          </cell>
          <cell r="K63">
            <v>0</v>
          </cell>
          <cell r="L63">
            <v>0</v>
          </cell>
        </row>
        <row r="64">
          <cell r="A64">
            <v>1</v>
          </cell>
          <cell r="B64">
            <v>0</v>
          </cell>
          <cell r="C64">
            <v>541</v>
          </cell>
          <cell r="D64" t="str">
            <v xml:space="preserve">  </v>
          </cell>
          <cell r="E64" t="str">
            <v xml:space="preserve">    </v>
          </cell>
          <cell r="F64" t="str">
            <v xml:space="preserve">   </v>
          </cell>
          <cell r="G64">
            <v>10541</v>
          </cell>
          <cell r="H64">
            <v>10998.85</v>
          </cell>
          <cell r="I64">
            <v>10998.85</v>
          </cell>
          <cell r="J64">
            <v>0</v>
          </cell>
          <cell r="K64">
            <v>0</v>
          </cell>
          <cell r="L64">
            <v>0</v>
          </cell>
        </row>
        <row r="65">
          <cell r="A65">
            <v>2</v>
          </cell>
          <cell r="B65">
            <v>0</v>
          </cell>
          <cell r="C65">
            <v>541</v>
          </cell>
          <cell r="D65" t="str">
            <v xml:space="preserve">  </v>
          </cell>
          <cell r="E65" t="str">
            <v xml:space="preserve">    </v>
          </cell>
          <cell r="F65" t="str">
            <v xml:space="preserve">   </v>
          </cell>
          <cell r="G65">
            <v>20541</v>
          </cell>
          <cell r="H65">
            <v>332245.28000000003</v>
          </cell>
          <cell r="I65">
            <v>332245.28000000003</v>
          </cell>
          <cell r="J65">
            <v>0</v>
          </cell>
          <cell r="K65">
            <v>0</v>
          </cell>
          <cell r="L65">
            <v>0</v>
          </cell>
        </row>
        <row r="66">
          <cell r="A66">
            <v>1</v>
          </cell>
          <cell r="B66">
            <v>0</v>
          </cell>
          <cell r="C66">
            <v>542</v>
          </cell>
          <cell r="D66" t="str">
            <v xml:space="preserve">  </v>
          </cell>
          <cell r="E66" t="str">
            <v xml:space="preserve">    </v>
          </cell>
          <cell r="F66" t="str">
            <v xml:space="preserve">   </v>
          </cell>
          <cell r="G66">
            <v>10542</v>
          </cell>
          <cell r="H66">
            <v>49825.42</v>
          </cell>
          <cell r="I66">
            <v>49825.42</v>
          </cell>
          <cell r="J66">
            <v>0</v>
          </cell>
          <cell r="K66">
            <v>0</v>
          </cell>
          <cell r="L66">
            <v>0</v>
          </cell>
        </row>
        <row r="67">
          <cell r="A67">
            <v>2</v>
          </cell>
          <cell r="B67">
            <v>0</v>
          </cell>
          <cell r="C67">
            <v>542</v>
          </cell>
          <cell r="D67" t="str">
            <v xml:space="preserve">  </v>
          </cell>
          <cell r="E67" t="str">
            <v xml:space="preserve">    </v>
          </cell>
          <cell r="F67" t="str">
            <v xml:space="preserve">   </v>
          </cell>
          <cell r="G67">
            <v>20542</v>
          </cell>
          <cell r="H67">
            <v>494165.51</v>
          </cell>
          <cell r="I67">
            <v>494165.51</v>
          </cell>
          <cell r="J67">
            <v>0</v>
          </cell>
          <cell r="K67">
            <v>0</v>
          </cell>
          <cell r="L67">
            <v>0</v>
          </cell>
        </row>
        <row r="68">
          <cell r="A68">
            <v>1</v>
          </cell>
          <cell r="B68">
            <v>0</v>
          </cell>
          <cell r="C68">
            <v>543</v>
          </cell>
          <cell r="D68" t="str">
            <v xml:space="preserve">  </v>
          </cell>
          <cell r="E68" t="str">
            <v xml:space="preserve">    </v>
          </cell>
          <cell r="F68" t="str">
            <v xml:space="preserve">   </v>
          </cell>
          <cell r="G68">
            <v>10543</v>
          </cell>
          <cell r="H68">
            <v>51721.440000000002</v>
          </cell>
          <cell r="I68">
            <v>51721.440000000002</v>
          </cell>
          <cell r="J68">
            <v>0</v>
          </cell>
          <cell r="K68">
            <v>0</v>
          </cell>
          <cell r="L68">
            <v>0</v>
          </cell>
        </row>
        <row r="69">
          <cell r="A69">
            <v>2</v>
          </cell>
          <cell r="B69">
            <v>0</v>
          </cell>
          <cell r="C69">
            <v>543</v>
          </cell>
          <cell r="D69" t="str">
            <v xml:space="preserve">  </v>
          </cell>
          <cell r="E69" t="str">
            <v xml:space="preserve">    </v>
          </cell>
          <cell r="F69" t="str">
            <v xml:space="preserve">   </v>
          </cell>
          <cell r="G69">
            <v>20543</v>
          </cell>
          <cell r="H69">
            <v>1231669.26</v>
          </cell>
          <cell r="I69">
            <v>1231669.26</v>
          </cell>
          <cell r="J69">
            <v>0</v>
          </cell>
          <cell r="K69">
            <v>0</v>
          </cell>
          <cell r="L69">
            <v>0</v>
          </cell>
        </row>
        <row r="70">
          <cell r="A70">
            <v>1</v>
          </cell>
          <cell r="B70">
            <v>0</v>
          </cell>
          <cell r="C70">
            <v>544</v>
          </cell>
          <cell r="D70" t="str">
            <v xml:space="preserve">  </v>
          </cell>
          <cell r="E70" t="str">
            <v xml:space="preserve">    </v>
          </cell>
          <cell r="F70" t="str">
            <v xml:space="preserve">   </v>
          </cell>
          <cell r="G70">
            <v>10544</v>
          </cell>
          <cell r="H70">
            <v>48974.11</v>
          </cell>
          <cell r="I70">
            <v>48974.11</v>
          </cell>
          <cell r="J70">
            <v>0</v>
          </cell>
          <cell r="K70">
            <v>0</v>
          </cell>
          <cell r="L70">
            <v>0</v>
          </cell>
        </row>
        <row r="71">
          <cell r="A71">
            <v>2</v>
          </cell>
          <cell r="B71">
            <v>0</v>
          </cell>
          <cell r="C71">
            <v>544</v>
          </cell>
          <cell r="D71" t="str">
            <v xml:space="preserve">  </v>
          </cell>
          <cell r="E71" t="str">
            <v xml:space="preserve">    </v>
          </cell>
          <cell r="F71" t="str">
            <v xml:space="preserve">   </v>
          </cell>
          <cell r="G71">
            <v>20544</v>
          </cell>
          <cell r="H71">
            <v>1170819.6299999999</v>
          </cell>
          <cell r="I71">
            <v>1170819.6299999999</v>
          </cell>
          <cell r="J71">
            <v>0</v>
          </cell>
          <cell r="K71">
            <v>0</v>
          </cell>
          <cell r="L71">
            <v>0</v>
          </cell>
        </row>
        <row r="72">
          <cell r="A72">
            <v>1</v>
          </cell>
          <cell r="B72">
            <v>0</v>
          </cell>
          <cell r="C72">
            <v>545</v>
          </cell>
          <cell r="D72" t="str">
            <v xml:space="preserve">  </v>
          </cell>
          <cell r="E72" t="str">
            <v xml:space="preserve">    </v>
          </cell>
          <cell r="F72" t="str">
            <v xml:space="preserve">   </v>
          </cell>
          <cell r="G72">
            <v>10545</v>
          </cell>
          <cell r="H72">
            <v>56222.83</v>
          </cell>
          <cell r="I72">
            <v>56222.83</v>
          </cell>
          <cell r="J72">
            <v>0</v>
          </cell>
          <cell r="K72">
            <v>0</v>
          </cell>
          <cell r="L72">
            <v>0</v>
          </cell>
        </row>
        <row r="73">
          <cell r="A73">
            <v>2</v>
          </cell>
          <cell r="B73">
            <v>0</v>
          </cell>
          <cell r="C73">
            <v>545</v>
          </cell>
          <cell r="D73" t="str">
            <v xml:space="preserve">  </v>
          </cell>
          <cell r="E73" t="str">
            <v xml:space="preserve">    </v>
          </cell>
          <cell r="F73" t="str">
            <v xml:space="preserve">   </v>
          </cell>
          <cell r="G73">
            <v>20545</v>
          </cell>
          <cell r="H73">
            <v>102639.05</v>
          </cell>
          <cell r="I73">
            <v>102639.05</v>
          </cell>
          <cell r="J73">
            <v>0</v>
          </cell>
          <cell r="K73">
            <v>0</v>
          </cell>
          <cell r="L73">
            <v>0</v>
          </cell>
        </row>
        <row r="74">
          <cell r="A74">
            <v>1</v>
          </cell>
          <cell r="B74">
            <v>0</v>
          </cell>
          <cell r="C74">
            <v>547</v>
          </cell>
          <cell r="D74" t="str">
            <v xml:space="preserve">  </v>
          </cell>
          <cell r="E74" t="str">
            <v xml:space="preserve">    </v>
          </cell>
          <cell r="F74" t="str">
            <v xml:space="preserve">   </v>
          </cell>
          <cell r="G74">
            <v>10547</v>
          </cell>
          <cell r="H74">
            <v>778692.02</v>
          </cell>
          <cell r="I74">
            <v>778692.02</v>
          </cell>
          <cell r="J74">
            <v>0</v>
          </cell>
          <cell r="K74">
            <v>0</v>
          </cell>
          <cell r="L74">
            <v>0</v>
          </cell>
        </row>
        <row r="75">
          <cell r="A75">
            <v>2</v>
          </cell>
          <cell r="B75">
            <v>0</v>
          </cell>
          <cell r="C75">
            <v>547</v>
          </cell>
          <cell r="D75" t="str">
            <v xml:space="preserve">  </v>
          </cell>
          <cell r="E75" t="str">
            <v xml:space="preserve">    </v>
          </cell>
          <cell r="F75" t="str">
            <v xml:space="preserve">   </v>
          </cell>
          <cell r="G75">
            <v>20547</v>
          </cell>
          <cell r="H75">
            <v>7391346.2199999997</v>
          </cell>
          <cell r="I75">
            <v>7391346.2199999997</v>
          </cell>
          <cell r="J75">
            <v>0</v>
          </cell>
          <cell r="K75">
            <v>0</v>
          </cell>
          <cell r="L75">
            <v>0</v>
          </cell>
        </row>
        <row r="76">
          <cell r="A76">
            <v>1</v>
          </cell>
          <cell r="B76">
            <v>0</v>
          </cell>
          <cell r="C76">
            <v>548</v>
          </cell>
          <cell r="D76" t="str">
            <v xml:space="preserve">  </v>
          </cell>
          <cell r="E76" t="str">
            <v xml:space="preserve">    </v>
          </cell>
          <cell r="F76" t="str">
            <v xml:space="preserve">   </v>
          </cell>
          <cell r="G76">
            <v>10548</v>
          </cell>
          <cell r="H76">
            <v>18870.16</v>
          </cell>
          <cell r="I76">
            <v>18870.16</v>
          </cell>
          <cell r="J76">
            <v>0</v>
          </cell>
          <cell r="K76">
            <v>0</v>
          </cell>
          <cell r="L76">
            <v>0</v>
          </cell>
        </row>
        <row r="77">
          <cell r="A77">
            <v>2</v>
          </cell>
          <cell r="B77">
            <v>0</v>
          </cell>
          <cell r="C77">
            <v>548</v>
          </cell>
          <cell r="D77" t="str">
            <v xml:space="preserve">  </v>
          </cell>
          <cell r="E77" t="str">
            <v xml:space="preserve">    </v>
          </cell>
          <cell r="F77" t="str">
            <v xml:space="preserve">   </v>
          </cell>
          <cell r="G77">
            <v>20548</v>
          </cell>
          <cell r="H77">
            <v>223987.46</v>
          </cell>
          <cell r="I77">
            <v>223987.46</v>
          </cell>
          <cell r="J77">
            <v>0</v>
          </cell>
          <cell r="K77">
            <v>0</v>
          </cell>
          <cell r="L77">
            <v>0</v>
          </cell>
        </row>
        <row r="78">
          <cell r="A78">
            <v>1</v>
          </cell>
          <cell r="B78">
            <v>0</v>
          </cell>
          <cell r="C78">
            <v>549</v>
          </cell>
          <cell r="D78" t="str">
            <v xml:space="preserve">  </v>
          </cell>
          <cell r="E78" t="str">
            <v xml:space="preserve">    </v>
          </cell>
          <cell r="F78" t="str">
            <v xml:space="preserve">   </v>
          </cell>
          <cell r="G78">
            <v>10549</v>
          </cell>
          <cell r="H78">
            <v>38368.46</v>
          </cell>
          <cell r="I78">
            <v>38368.46</v>
          </cell>
          <cell r="J78">
            <v>0</v>
          </cell>
          <cell r="K78">
            <v>0</v>
          </cell>
          <cell r="L78">
            <v>0</v>
          </cell>
        </row>
        <row r="79">
          <cell r="A79">
            <v>2</v>
          </cell>
          <cell r="B79">
            <v>0</v>
          </cell>
          <cell r="C79">
            <v>549</v>
          </cell>
          <cell r="D79" t="str">
            <v xml:space="preserve">  </v>
          </cell>
          <cell r="E79" t="str">
            <v xml:space="preserve">    </v>
          </cell>
          <cell r="F79" t="str">
            <v xml:space="preserve">   </v>
          </cell>
          <cell r="G79">
            <v>20549</v>
          </cell>
          <cell r="H79">
            <v>258749.16</v>
          </cell>
          <cell r="I79">
            <v>258749.16</v>
          </cell>
          <cell r="J79">
            <v>0</v>
          </cell>
          <cell r="K79">
            <v>0</v>
          </cell>
          <cell r="L79">
            <v>0</v>
          </cell>
        </row>
        <row r="80">
          <cell r="A80">
            <v>1</v>
          </cell>
          <cell r="B80">
            <v>0</v>
          </cell>
          <cell r="C80">
            <v>550</v>
          </cell>
          <cell r="D80" t="str">
            <v xml:space="preserve">  </v>
          </cell>
          <cell r="E80" t="str">
            <v xml:space="preserve">    </v>
          </cell>
          <cell r="F80" t="str">
            <v xml:space="preserve">   </v>
          </cell>
          <cell r="G80">
            <v>10550</v>
          </cell>
          <cell r="H80">
            <v>486030.47</v>
          </cell>
          <cell r="I80">
            <v>486030.47</v>
          </cell>
          <cell r="J80">
            <v>0</v>
          </cell>
          <cell r="K80">
            <v>0</v>
          </cell>
          <cell r="L80">
            <v>0</v>
          </cell>
        </row>
        <row r="81">
          <cell r="A81">
            <v>2</v>
          </cell>
          <cell r="B81">
            <v>0</v>
          </cell>
          <cell r="C81">
            <v>550</v>
          </cell>
          <cell r="D81" t="str">
            <v xml:space="preserve">  </v>
          </cell>
          <cell r="E81" t="str">
            <v xml:space="preserve">    </v>
          </cell>
          <cell r="F81" t="str">
            <v xml:space="preserve">   </v>
          </cell>
          <cell r="G81">
            <v>20550</v>
          </cell>
          <cell r="H81">
            <v>5668613.6399999997</v>
          </cell>
          <cell r="I81">
            <v>5668613.6399999997</v>
          </cell>
          <cell r="J81">
            <v>0</v>
          </cell>
          <cell r="K81">
            <v>0</v>
          </cell>
          <cell r="L81">
            <v>0</v>
          </cell>
        </row>
        <row r="82">
          <cell r="A82">
            <v>1</v>
          </cell>
          <cell r="B82">
            <v>0</v>
          </cell>
          <cell r="C82">
            <v>551</v>
          </cell>
          <cell r="D82" t="str">
            <v xml:space="preserve">  </v>
          </cell>
          <cell r="E82" t="str">
            <v xml:space="preserve">    </v>
          </cell>
          <cell r="F82" t="str">
            <v xml:space="preserve">   </v>
          </cell>
          <cell r="G82">
            <v>10551</v>
          </cell>
          <cell r="H82">
            <v>4673.34</v>
          </cell>
          <cell r="I82">
            <v>4673.34</v>
          </cell>
          <cell r="J82">
            <v>0</v>
          </cell>
          <cell r="K82">
            <v>0</v>
          </cell>
          <cell r="L82">
            <v>0</v>
          </cell>
        </row>
        <row r="83">
          <cell r="A83">
            <v>2</v>
          </cell>
          <cell r="B83">
            <v>0</v>
          </cell>
          <cell r="C83">
            <v>551</v>
          </cell>
          <cell r="D83" t="str">
            <v xml:space="preserve">  </v>
          </cell>
          <cell r="E83" t="str">
            <v xml:space="preserve">    </v>
          </cell>
          <cell r="F83" t="str">
            <v xml:space="preserve">   </v>
          </cell>
          <cell r="G83">
            <v>20551</v>
          </cell>
          <cell r="H83">
            <v>69604.95</v>
          </cell>
          <cell r="I83">
            <v>69604.95</v>
          </cell>
          <cell r="J83">
            <v>0</v>
          </cell>
          <cell r="K83">
            <v>0</v>
          </cell>
          <cell r="L83">
            <v>0</v>
          </cell>
        </row>
        <row r="84">
          <cell r="A84">
            <v>1</v>
          </cell>
          <cell r="B84">
            <v>0</v>
          </cell>
          <cell r="C84">
            <v>552</v>
          </cell>
          <cell r="D84" t="str">
            <v xml:space="preserve">  </v>
          </cell>
          <cell r="E84" t="str">
            <v xml:space="preserve">    </v>
          </cell>
          <cell r="F84" t="str">
            <v xml:space="preserve">   </v>
          </cell>
          <cell r="G84">
            <v>10552</v>
          </cell>
          <cell r="H84">
            <v>75</v>
          </cell>
          <cell r="I84">
            <v>75</v>
          </cell>
          <cell r="J84">
            <v>0</v>
          </cell>
          <cell r="K84">
            <v>0</v>
          </cell>
          <cell r="L84">
            <v>0</v>
          </cell>
        </row>
        <row r="85">
          <cell r="A85">
            <v>2</v>
          </cell>
          <cell r="B85">
            <v>0</v>
          </cell>
          <cell r="C85">
            <v>552</v>
          </cell>
          <cell r="D85" t="str">
            <v xml:space="preserve">  </v>
          </cell>
          <cell r="E85" t="str">
            <v xml:space="preserve">    </v>
          </cell>
          <cell r="F85" t="str">
            <v xml:space="preserve">   </v>
          </cell>
          <cell r="G85">
            <v>20552</v>
          </cell>
          <cell r="H85">
            <v>1692.1</v>
          </cell>
          <cell r="I85">
            <v>1692.1</v>
          </cell>
          <cell r="J85">
            <v>0</v>
          </cell>
          <cell r="K85">
            <v>0</v>
          </cell>
          <cell r="L85">
            <v>0</v>
          </cell>
        </row>
        <row r="86">
          <cell r="A86">
            <v>1</v>
          </cell>
          <cell r="B86">
            <v>0</v>
          </cell>
          <cell r="C86">
            <v>553</v>
          </cell>
          <cell r="D86" t="str">
            <v xml:space="preserve">  </v>
          </cell>
          <cell r="E86" t="str">
            <v xml:space="preserve">    </v>
          </cell>
          <cell r="F86" t="str">
            <v xml:space="preserve">   </v>
          </cell>
          <cell r="G86">
            <v>10553</v>
          </cell>
          <cell r="H86">
            <v>45137.09</v>
          </cell>
          <cell r="I86">
            <v>45137.09</v>
          </cell>
          <cell r="J86">
            <v>0</v>
          </cell>
          <cell r="K86">
            <v>0</v>
          </cell>
          <cell r="L86">
            <v>0</v>
          </cell>
        </row>
        <row r="87">
          <cell r="A87">
            <v>2</v>
          </cell>
          <cell r="B87">
            <v>0</v>
          </cell>
          <cell r="C87">
            <v>553</v>
          </cell>
          <cell r="D87" t="str">
            <v xml:space="preserve">  </v>
          </cell>
          <cell r="E87" t="str">
            <v xml:space="preserve">    </v>
          </cell>
          <cell r="F87" t="str">
            <v xml:space="preserve">   </v>
          </cell>
          <cell r="G87">
            <v>20553</v>
          </cell>
          <cell r="H87">
            <v>583205.34</v>
          </cell>
          <cell r="I87">
            <v>583205.34</v>
          </cell>
          <cell r="J87">
            <v>0</v>
          </cell>
          <cell r="K87">
            <v>0</v>
          </cell>
          <cell r="L87">
            <v>0</v>
          </cell>
        </row>
        <row r="88">
          <cell r="A88">
            <v>1</v>
          </cell>
          <cell r="B88">
            <v>0</v>
          </cell>
          <cell r="C88">
            <v>554</v>
          </cell>
          <cell r="D88" t="str">
            <v xml:space="preserve">  </v>
          </cell>
          <cell r="E88" t="str">
            <v xml:space="preserve">    </v>
          </cell>
          <cell r="F88" t="str">
            <v xml:space="preserve">   </v>
          </cell>
          <cell r="G88">
            <v>10554</v>
          </cell>
          <cell r="H88">
            <v>5055.87</v>
          </cell>
          <cell r="I88">
            <v>5055.87</v>
          </cell>
          <cell r="J88">
            <v>0</v>
          </cell>
          <cell r="K88">
            <v>0</v>
          </cell>
          <cell r="L88">
            <v>0</v>
          </cell>
        </row>
        <row r="89">
          <cell r="A89">
            <v>2</v>
          </cell>
          <cell r="B89">
            <v>0</v>
          </cell>
          <cell r="C89">
            <v>554</v>
          </cell>
          <cell r="D89" t="str">
            <v xml:space="preserve">  </v>
          </cell>
          <cell r="E89" t="str">
            <v xml:space="preserve">    </v>
          </cell>
          <cell r="F89" t="str">
            <v xml:space="preserve">   </v>
          </cell>
          <cell r="G89">
            <v>20554</v>
          </cell>
          <cell r="H89">
            <v>21462.99</v>
          </cell>
          <cell r="I89">
            <v>21462.99</v>
          </cell>
          <cell r="J89">
            <v>0</v>
          </cell>
          <cell r="K89">
            <v>0</v>
          </cell>
          <cell r="L89">
            <v>0</v>
          </cell>
        </row>
        <row r="90">
          <cell r="A90">
            <v>1</v>
          </cell>
          <cell r="B90">
            <v>0</v>
          </cell>
          <cell r="C90">
            <v>555</v>
          </cell>
          <cell r="D90" t="str">
            <v xml:space="preserve">  </v>
          </cell>
          <cell r="E90" t="str">
            <v xml:space="preserve">    </v>
          </cell>
          <cell r="F90" t="str">
            <v xml:space="preserve">   </v>
          </cell>
          <cell r="G90">
            <v>10555</v>
          </cell>
          <cell r="H90">
            <v>51666888.43</v>
          </cell>
          <cell r="I90">
            <v>51666888.43</v>
          </cell>
          <cell r="J90">
            <v>0</v>
          </cell>
          <cell r="K90">
            <v>0</v>
          </cell>
          <cell r="L90">
            <v>0</v>
          </cell>
        </row>
        <row r="91">
          <cell r="A91">
            <v>2</v>
          </cell>
          <cell r="B91">
            <v>0</v>
          </cell>
          <cell r="C91">
            <v>555</v>
          </cell>
          <cell r="D91" t="str">
            <v xml:space="preserve">  </v>
          </cell>
          <cell r="E91" t="str">
            <v xml:space="preserve">    </v>
          </cell>
          <cell r="F91" t="str">
            <v xml:space="preserve">   </v>
          </cell>
          <cell r="G91">
            <v>20555</v>
          </cell>
          <cell r="H91">
            <v>470604443.04000002</v>
          </cell>
          <cell r="I91">
            <v>470563045.04000002</v>
          </cell>
          <cell r="J91">
            <v>41398</v>
          </cell>
          <cell r="K91">
            <v>0</v>
          </cell>
          <cell r="L91">
            <v>0</v>
          </cell>
        </row>
        <row r="92">
          <cell r="A92">
            <v>1</v>
          </cell>
          <cell r="B92">
            <v>0</v>
          </cell>
          <cell r="C92">
            <v>556</v>
          </cell>
          <cell r="D92" t="str">
            <v xml:space="preserve">  </v>
          </cell>
          <cell r="E92" t="str">
            <v xml:space="preserve">    </v>
          </cell>
          <cell r="F92" t="str">
            <v xml:space="preserve">   </v>
          </cell>
          <cell r="G92">
            <v>10556</v>
          </cell>
          <cell r="H92">
            <v>45505.77</v>
          </cell>
          <cell r="I92">
            <v>45505.77</v>
          </cell>
          <cell r="J92">
            <v>0</v>
          </cell>
          <cell r="K92">
            <v>0</v>
          </cell>
          <cell r="L92">
            <v>0</v>
          </cell>
        </row>
        <row r="93">
          <cell r="A93">
            <v>2</v>
          </cell>
          <cell r="B93">
            <v>0</v>
          </cell>
          <cell r="C93">
            <v>556</v>
          </cell>
          <cell r="D93" t="str">
            <v xml:space="preserve">  </v>
          </cell>
          <cell r="E93" t="str">
            <v xml:space="preserve">    </v>
          </cell>
          <cell r="F93" t="str">
            <v xml:space="preserve">   </v>
          </cell>
          <cell r="G93">
            <v>20556</v>
          </cell>
          <cell r="H93">
            <v>734961.84</v>
          </cell>
          <cell r="I93">
            <v>734961.84</v>
          </cell>
          <cell r="J93">
            <v>0</v>
          </cell>
          <cell r="K93">
            <v>0</v>
          </cell>
          <cell r="L93">
            <v>0</v>
          </cell>
        </row>
        <row r="94">
          <cell r="A94">
            <v>1</v>
          </cell>
          <cell r="B94">
            <v>0</v>
          </cell>
          <cell r="C94">
            <v>557</v>
          </cell>
          <cell r="D94" t="str">
            <v xml:space="preserve">  </v>
          </cell>
          <cell r="E94" t="str">
            <v xml:space="preserve">    </v>
          </cell>
          <cell r="F94" t="str">
            <v xml:space="preserve">   </v>
          </cell>
          <cell r="G94">
            <v>10557</v>
          </cell>
          <cell r="H94">
            <v>252611.34</v>
          </cell>
          <cell r="I94">
            <v>938509.34</v>
          </cell>
          <cell r="J94">
            <v>0</v>
          </cell>
          <cell r="K94">
            <v>-685898</v>
          </cell>
          <cell r="L94">
            <v>0</v>
          </cell>
        </row>
        <row r="95">
          <cell r="A95">
            <v>2</v>
          </cell>
          <cell r="B95">
            <v>0</v>
          </cell>
          <cell r="C95">
            <v>557</v>
          </cell>
          <cell r="D95" t="str">
            <v xml:space="preserve">  </v>
          </cell>
          <cell r="E95" t="str">
            <v xml:space="preserve">    </v>
          </cell>
          <cell r="F95" t="str">
            <v xml:space="preserve">   </v>
          </cell>
          <cell r="G95">
            <v>20557</v>
          </cell>
          <cell r="H95">
            <v>2121301.58</v>
          </cell>
          <cell r="I95">
            <v>4964358.58</v>
          </cell>
          <cell r="J95">
            <v>0</v>
          </cell>
          <cell r="K95">
            <v>-2843057</v>
          </cell>
          <cell r="L95">
            <v>0</v>
          </cell>
        </row>
        <row r="96">
          <cell r="A96">
            <v>1</v>
          </cell>
          <cell r="B96">
            <v>0</v>
          </cell>
          <cell r="C96">
            <v>560</v>
          </cell>
          <cell r="D96" t="str">
            <v xml:space="preserve">  </v>
          </cell>
          <cell r="E96" t="str">
            <v xml:space="preserve">    </v>
          </cell>
          <cell r="F96" t="str">
            <v xml:space="preserve">   </v>
          </cell>
          <cell r="G96">
            <v>10560</v>
          </cell>
          <cell r="H96">
            <v>74584.25</v>
          </cell>
          <cell r="I96">
            <v>74584.25</v>
          </cell>
          <cell r="J96">
            <v>0</v>
          </cell>
          <cell r="K96">
            <v>0</v>
          </cell>
          <cell r="L96">
            <v>0</v>
          </cell>
        </row>
        <row r="97">
          <cell r="A97">
            <v>2</v>
          </cell>
          <cell r="B97">
            <v>0</v>
          </cell>
          <cell r="C97">
            <v>560</v>
          </cell>
          <cell r="D97" t="str">
            <v xml:space="preserve">  </v>
          </cell>
          <cell r="E97" t="str">
            <v xml:space="preserve">    </v>
          </cell>
          <cell r="F97" t="str">
            <v xml:space="preserve">   </v>
          </cell>
          <cell r="G97">
            <v>20560</v>
          </cell>
          <cell r="H97">
            <v>1043995.54</v>
          </cell>
          <cell r="I97">
            <v>1043995.54</v>
          </cell>
          <cell r="J97">
            <v>0</v>
          </cell>
          <cell r="K97">
            <v>0</v>
          </cell>
          <cell r="L97">
            <v>0</v>
          </cell>
        </row>
        <row r="98">
          <cell r="A98">
            <v>1</v>
          </cell>
          <cell r="B98">
            <v>0</v>
          </cell>
          <cell r="C98">
            <v>561</v>
          </cell>
          <cell r="D98" t="str">
            <v xml:space="preserve">  </v>
          </cell>
          <cell r="E98" t="str">
            <v xml:space="preserve">    </v>
          </cell>
          <cell r="F98" t="str">
            <v xml:space="preserve">   </v>
          </cell>
          <cell r="G98">
            <v>10561</v>
          </cell>
          <cell r="H98">
            <v>72190.06</v>
          </cell>
          <cell r="I98">
            <v>72190.06</v>
          </cell>
          <cell r="J98">
            <v>0</v>
          </cell>
          <cell r="K98">
            <v>0</v>
          </cell>
          <cell r="L98">
            <v>0</v>
          </cell>
        </row>
        <row r="99">
          <cell r="A99">
            <v>2</v>
          </cell>
          <cell r="B99">
            <v>0</v>
          </cell>
          <cell r="C99">
            <v>561</v>
          </cell>
          <cell r="D99" t="str">
            <v xml:space="preserve">  </v>
          </cell>
          <cell r="E99" t="str">
            <v xml:space="preserve">    </v>
          </cell>
          <cell r="F99" t="str">
            <v xml:space="preserve">   </v>
          </cell>
          <cell r="G99">
            <v>20561</v>
          </cell>
          <cell r="H99">
            <v>853246.14</v>
          </cell>
          <cell r="I99">
            <v>853246.14</v>
          </cell>
          <cell r="J99">
            <v>0</v>
          </cell>
          <cell r="K99">
            <v>0</v>
          </cell>
          <cell r="L99">
            <v>0</v>
          </cell>
        </row>
        <row r="100">
          <cell r="A100">
            <v>1</v>
          </cell>
          <cell r="B100">
            <v>0</v>
          </cell>
          <cell r="C100">
            <v>562</v>
          </cell>
          <cell r="D100" t="str">
            <v xml:space="preserve">  </v>
          </cell>
          <cell r="E100" t="str">
            <v xml:space="preserve">    </v>
          </cell>
          <cell r="F100" t="str">
            <v xml:space="preserve">   </v>
          </cell>
          <cell r="G100">
            <v>10562</v>
          </cell>
          <cell r="H100">
            <v>25073.25</v>
          </cell>
          <cell r="I100">
            <v>25073.25</v>
          </cell>
          <cell r="J100">
            <v>0</v>
          </cell>
          <cell r="K100">
            <v>0</v>
          </cell>
          <cell r="L100">
            <v>0</v>
          </cell>
        </row>
        <row r="101">
          <cell r="A101">
            <v>2</v>
          </cell>
          <cell r="B101">
            <v>0</v>
          </cell>
          <cell r="C101">
            <v>562</v>
          </cell>
          <cell r="D101" t="str">
            <v xml:space="preserve">  </v>
          </cell>
          <cell r="E101" t="str">
            <v xml:space="preserve">    </v>
          </cell>
          <cell r="F101" t="str">
            <v xml:space="preserve">   </v>
          </cell>
          <cell r="G101">
            <v>20562</v>
          </cell>
          <cell r="H101">
            <v>290310.93</v>
          </cell>
          <cell r="I101">
            <v>290310.93</v>
          </cell>
          <cell r="J101">
            <v>0</v>
          </cell>
          <cell r="K101">
            <v>0</v>
          </cell>
          <cell r="L101">
            <v>0</v>
          </cell>
        </row>
        <row r="102">
          <cell r="A102">
            <v>1</v>
          </cell>
          <cell r="B102">
            <v>0</v>
          </cell>
          <cell r="C102">
            <v>563</v>
          </cell>
          <cell r="D102" t="str">
            <v xml:space="preserve">  </v>
          </cell>
          <cell r="E102" t="str">
            <v xml:space="preserve">    </v>
          </cell>
          <cell r="F102" t="str">
            <v xml:space="preserve">   </v>
          </cell>
          <cell r="G102">
            <v>10563</v>
          </cell>
          <cell r="H102">
            <v>19378.71</v>
          </cell>
          <cell r="I102">
            <v>19378.71</v>
          </cell>
          <cell r="J102">
            <v>0</v>
          </cell>
          <cell r="K102">
            <v>0</v>
          </cell>
          <cell r="L102">
            <v>0</v>
          </cell>
        </row>
        <row r="103">
          <cell r="A103">
            <v>2</v>
          </cell>
          <cell r="B103">
            <v>0</v>
          </cell>
          <cell r="C103">
            <v>563</v>
          </cell>
          <cell r="D103" t="str">
            <v xml:space="preserve">  </v>
          </cell>
          <cell r="E103" t="str">
            <v xml:space="preserve">    </v>
          </cell>
          <cell r="F103" t="str">
            <v xml:space="preserve">   </v>
          </cell>
          <cell r="G103">
            <v>20563</v>
          </cell>
          <cell r="H103">
            <v>154069.44</v>
          </cell>
          <cell r="I103">
            <v>154069.44</v>
          </cell>
          <cell r="J103">
            <v>0</v>
          </cell>
          <cell r="K103">
            <v>0</v>
          </cell>
          <cell r="L103">
            <v>0</v>
          </cell>
        </row>
        <row r="104">
          <cell r="A104">
            <v>1</v>
          </cell>
          <cell r="B104">
            <v>0</v>
          </cell>
          <cell r="C104">
            <v>564</v>
          </cell>
          <cell r="D104" t="str">
            <v xml:space="preserve">  </v>
          </cell>
          <cell r="E104" t="str">
            <v xml:space="preserve">    </v>
          </cell>
          <cell r="F104" t="str">
            <v xml:space="preserve">   </v>
          </cell>
          <cell r="G104">
            <v>10564</v>
          </cell>
          <cell r="H104">
            <v>0</v>
          </cell>
          <cell r="I104">
            <v>0</v>
          </cell>
          <cell r="J104">
            <v>0</v>
          </cell>
          <cell r="K104">
            <v>0</v>
          </cell>
          <cell r="L104">
            <v>0</v>
          </cell>
        </row>
        <row r="105">
          <cell r="A105">
            <v>2</v>
          </cell>
          <cell r="B105">
            <v>0</v>
          </cell>
          <cell r="C105">
            <v>564</v>
          </cell>
          <cell r="D105" t="str">
            <v xml:space="preserve">  </v>
          </cell>
          <cell r="E105" t="str">
            <v xml:space="preserve">    </v>
          </cell>
          <cell r="F105" t="str">
            <v xml:space="preserve">   </v>
          </cell>
          <cell r="G105">
            <v>20564</v>
          </cell>
          <cell r="H105">
            <v>4475.1099999999997</v>
          </cell>
          <cell r="I105">
            <v>4475.1099999999997</v>
          </cell>
          <cell r="J105">
            <v>0</v>
          </cell>
          <cell r="K105">
            <v>0</v>
          </cell>
          <cell r="L105">
            <v>0</v>
          </cell>
        </row>
        <row r="106">
          <cell r="A106">
            <v>1</v>
          </cell>
          <cell r="B106">
            <v>0</v>
          </cell>
          <cell r="C106">
            <v>565</v>
          </cell>
          <cell r="D106" t="str">
            <v xml:space="preserve">  </v>
          </cell>
          <cell r="E106" t="str">
            <v xml:space="preserve">    </v>
          </cell>
          <cell r="F106" t="str">
            <v xml:space="preserve">   </v>
          </cell>
          <cell r="G106">
            <v>10565</v>
          </cell>
          <cell r="H106">
            <v>1046387.11</v>
          </cell>
          <cell r="I106">
            <v>1046387.11</v>
          </cell>
          <cell r="J106">
            <v>0</v>
          </cell>
          <cell r="K106">
            <v>0</v>
          </cell>
          <cell r="L106">
            <v>0</v>
          </cell>
        </row>
        <row r="107">
          <cell r="A107">
            <v>2</v>
          </cell>
          <cell r="B107">
            <v>0</v>
          </cell>
          <cell r="C107">
            <v>565</v>
          </cell>
          <cell r="D107" t="str">
            <v xml:space="preserve">  </v>
          </cell>
          <cell r="E107" t="str">
            <v xml:space="preserve">    </v>
          </cell>
          <cell r="F107" t="str">
            <v xml:space="preserve">   </v>
          </cell>
          <cell r="G107">
            <v>20565</v>
          </cell>
          <cell r="H107">
            <v>13340001.050000001</v>
          </cell>
          <cell r="I107">
            <v>13340001.050000001</v>
          </cell>
          <cell r="J107">
            <v>0</v>
          </cell>
          <cell r="K107">
            <v>0</v>
          </cell>
          <cell r="L107">
            <v>0</v>
          </cell>
        </row>
        <row r="108">
          <cell r="A108">
            <v>1</v>
          </cell>
          <cell r="B108">
            <v>0</v>
          </cell>
          <cell r="C108">
            <v>566</v>
          </cell>
          <cell r="D108" t="str">
            <v xml:space="preserve">  </v>
          </cell>
          <cell r="E108" t="str">
            <v xml:space="preserve">    </v>
          </cell>
          <cell r="F108" t="str">
            <v xml:space="preserve">   </v>
          </cell>
          <cell r="G108">
            <v>10566</v>
          </cell>
          <cell r="H108">
            <v>64432.66</v>
          </cell>
          <cell r="I108">
            <v>64432.66</v>
          </cell>
          <cell r="J108">
            <v>0</v>
          </cell>
          <cell r="K108">
            <v>0</v>
          </cell>
          <cell r="L108">
            <v>0</v>
          </cell>
        </row>
        <row r="109">
          <cell r="A109">
            <v>2</v>
          </cell>
          <cell r="B109">
            <v>0</v>
          </cell>
          <cell r="C109">
            <v>566</v>
          </cell>
          <cell r="D109" t="str">
            <v xml:space="preserve">  </v>
          </cell>
          <cell r="E109" t="str">
            <v xml:space="preserve">    </v>
          </cell>
          <cell r="F109" t="str">
            <v xml:space="preserve">   </v>
          </cell>
          <cell r="G109">
            <v>20566</v>
          </cell>
          <cell r="H109">
            <v>248863</v>
          </cell>
          <cell r="I109">
            <v>248863</v>
          </cell>
          <cell r="J109">
            <v>0</v>
          </cell>
          <cell r="K109">
            <v>0</v>
          </cell>
          <cell r="L109">
            <v>0</v>
          </cell>
        </row>
        <row r="110">
          <cell r="A110">
            <v>1</v>
          </cell>
          <cell r="B110">
            <v>0</v>
          </cell>
          <cell r="C110">
            <v>567</v>
          </cell>
          <cell r="D110" t="str">
            <v xml:space="preserve">  </v>
          </cell>
          <cell r="E110" t="str">
            <v xml:space="preserve">    </v>
          </cell>
          <cell r="F110" t="str">
            <v xml:space="preserve">   </v>
          </cell>
          <cell r="G110">
            <v>10567</v>
          </cell>
          <cell r="H110">
            <v>8675.48</v>
          </cell>
          <cell r="I110">
            <v>8675.48</v>
          </cell>
          <cell r="J110">
            <v>0</v>
          </cell>
          <cell r="K110">
            <v>0</v>
          </cell>
          <cell r="L110">
            <v>0</v>
          </cell>
        </row>
        <row r="111">
          <cell r="A111">
            <v>2</v>
          </cell>
          <cell r="B111">
            <v>0</v>
          </cell>
          <cell r="C111">
            <v>567</v>
          </cell>
          <cell r="D111" t="str">
            <v xml:space="preserve">  </v>
          </cell>
          <cell r="E111" t="str">
            <v xml:space="preserve">    </v>
          </cell>
          <cell r="F111" t="str">
            <v xml:space="preserve">   </v>
          </cell>
          <cell r="G111">
            <v>20567</v>
          </cell>
          <cell r="H111">
            <v>102028.66</v>
          </cell>
          <cell r="I111">
            <v>102028.66</v>
          </cell>
          <cell r="J111">
            <v>0</v>
          </cell>
          <cell r="K111">
            <v>0</v>
          </cell>
          <cell r="L111">
            <v>0</v>
          </cell>
        </row>
        <row r="112">
          <cell r="A112">
            <v>1</v>
          </cell>
          <cell r="B112">
            <v>0</v>
          </cell>
          <cell r="C112">
            <v>568</v>
          </cell>
          <cell r="D112" t="str">
            <v xml:space="preserve">  </v>
          </cell>
          <cell r="E112" t="str">
            <v xml:space="preserve">    </v>
          </cell>
          <cell r="F112" t="str">
            <v xml:space="preserve">   </v>
          </cell>
          <cell r="G112">
            <v>10568</v>
          </cell>
          <cell r="H112">
            <v>16059.39</v>
          </cell>
          <cell r="I112">
            <v>16059.39</v>
          </cell>
          <cell r="J112">
            <v>0</v>
          </cell>
          <cell r="K112">
            <v>0</v>
          </cell>
          <cell r="L112">
            <v>0</v>
          </cell>
        </row>
        <row r="113">
          <cell r="A113">
            <v>2</v>
          </cell>
          <cell r="B113">
            <v>0</v>
          </cell>
          <cell r="C113">
            <v>568</v>
          </cell>
          <cell r="D113" t="str">
            <v xml:space="preserve">  </v>
          </cell>
          <cell r="E113" t="str">
            <v xml:space="preserve">    </v>
          </cell>
          <cell r="F113" t="str">
            <v xml:space="preserve">   </v>
          </cell>
          <cell r="G113">
            <v>20568</v>
          </cell>
          <cell r="H113">
            <v>131293.65</v>
          </cell>
          <cell r="I113">
            <v>131293.65</v>
          </cell>
          <cell r="J113">
            <v>0</v>
          </cell>
          <cell r="K113">
            <v>0</v>
          </cell>
          <cell r="L113">
            <v>0</v>
          </cell>
        </row>
        <row r="114">
          <cell r="A114">
            <v>1</v>
          </cell>
          <cell r="B114">
            <v>0</v>
          </cell>
          <cell r="C114">
            <v>569</v>
          </cell>
          <cell r="D114" t="str">
            <v xml:space="preserve">  </v>
          </cell>
          <cell r="E114" t="str">
            <v xml:space="preserve">    </v>
          </cell>
          <cell r="F114" t="str">
            <v xml:space="preserve">   </v>
          </cell>
          <cell r="G114">
            <v>10569</v>
          </cell>
          <cell r="H114">
            <v>19875.509999999998</v>
          </cell>
          <cell r="I114">
            <v>19875.509999999998</v>
          </cell>
          <cell r="J114">
            <v>0</v>
          </cell>
          <cell r="K114">
            <v>0</v>
          </cell>
          <cell r="L114">
            <v>0</v>
          </cell>
        </row>
        <row r="115">
          <cell r="A115">
            <v>2</v>
          </cell>
          <cell r="B115">
            <v>0</v>
          </cell>
          <cell r="C115">
            <v>569</v>
          </cell>
          <cell r="D115" t="str">
            <v xml:space="preserve">  </v>
          </cell>
          <cell r="E115" t="str">
            <v xml:space="preserve">    </v>
          </cell>
          <cell r="F115" t="str">
            <v xml:space="preserve">   </v>
          </cell>
          <cell r="G115">
            <v>20569</v>
          </cell>
          <cell r="H115">
            <v>27440.37</v>
          </cell>
          <cell r="I115">
            <v>27440.37</v>
          </cell>
          <cell r="J115">
            <v>0</v>
          </cell>
          <cell r="K115">
            <v>0</v>
          </cell>
          <cell r="L115">
            <v>0</v>
          </cell>
        </row>
        <row r="116">
          <cell r="A116">
            <v>1</v>
          </cell>
          <cell r="B116">
            <v>0</v>
          </cell>
          <cell r="C116">
            <v>570</v>
          </cell>
          <cell r="D116" t="str">
            <v xml:space="preserve">  </v>
          </cell>
          <cell r="E116" t="str">
            <v xml:space="preserve">    </v>
          </cell>
          <cell r="F116" t="str">
            <v xml:space="preserve">   </v>
          </cell>
          <cell r="G116">
            <v>10570</v>
          </cell>
          <cell r="H116">
            <v>253937.46</v>
          </cell>
          <cell r="I116">
            <v>253937.46</v>
          </cell>
          <cell r="J116">
            <v>0</v>
          </cell>
          <cell r="K116">
            <v>0</v>
          </cell>
          <cell r="L116">
            <v>0</v>
          </cell>
        </row>
        <row r="117">
          <cell r="A117">
            <v>2</v>
          </cell>
          <cell r="B117">
            <v>0</v>
          </cell>
          <cell r="C117">
            <v>570</v>
          </cell>
          <cell r="D117" t="str">
            <v xml:space="preserve">  </v>
          </cell>
          <cell r="E117" t="str">
            <v xml:space="preserve">    </v>
          </cell>
          <cell r="F117" t="str">
            <v xml:space="preserve">   </v>
          </cell>
          <cell r="G117">
            <v>20570</v>
          </cell>
          <cell r="H117">
            <v>830692.3</v>
          </cell>
          <cell r="I117">
            <v>830692.3</v>
          </cell>
          <cell r="J117">
            <v>0</v>
          </cell>
          <cell r="K117">
            <v>0</v>
          </cell>
          <cell r="L117">
            <v>0</v>
          </cell>
        </row>
        <row r="118">
          <cell r="A118">
            <v>1</v>
          </cell>
          <cell r="B118">
            <v>0</v>
          </cell>
          <cell r="C118">
            <v>571</v>
          </cell>
          <cell r="D118" t="str">
            <v xml:space="preserve">  </v>
          </cell>
          <cell r="E118" t="str">
            <v xml:space="preserve">    </v>
          </cell>
          <cell r="F118" t="str">
            <v xml:space="preserve">   </v>
          </cell>
          <cell r="G118">
            <v>10571</v>
          </cell>
          <cell r="H118">
            <v>305961.34000000003</v>
          </cell>
          <cell r="I118">
            <v>305961.34000000003</v>
          </cell>
          <cell r="J118">
            <v>0</v>
          </cell>
          <cell r="K118">
            <v>0</v>
          </cell>
          <cell r="L118">
            <v>0</v>
          </cell>
        </row>
        <row r="119">
          <cell r="A119">
            <v>2</v>
          </cell>
          <cell r="B119">
            <v>0</v>
          </cell>
          <cell r="C119">
            <v>571</v>
          </cell>
          <cell r="D119" t="str">
            <v xml:space="preserve">  </v>
          </cell>
          <cell r="E119" t="str">
            <v xml:space="preserve">    </v>
          </cell>
          <cell r="F119" t="str">
            <v xml:space="preserve">   </v>
          </cell>
          <cell r="G119">
            <v>20571</v>
          </cell>
          <cell r="H119">
            <v>1178179.22</v>
          </cell>
          <cell r="I119">
            <v>1178179.22</v>
          </cell>
          <cell r="J119">
            <v>0</v>
          </cell>
          <cell r="K119">
            <v>0</v>
          </cell>
          <cell r="L119">
            <v>0</v>
          </cell>
        </row>
        <row r="120">
          <cell r="A120">
            <v>1</v>
          </cell>
          <cell r="B120">
            <v>0</v>
          </cell>
          <cell r="C120">
            <v>572</v>
          </cell>
          <cell r="D120" t="str">
            <v xml:space="preserve">  </v>
          </cell>
          <cell r="E120" t="str">
            <v xml:space="preserve">    </v>
          </cell>
          <cell r="F120" t="str">
            <v xml:space="preserve">   </v>
          </cell>
          <cell r="G120">
            <v>10572</v>
          </cell>
          <cell r="H120">
            <v>462.48</v>
          </cell>
          <cell r="I120">
            <v>462.48</v>
          </cell>
          <cell r="J120">
            <v>0</v>
          </cell>
          <cell r="K120">
            <v>0</v>
          </cell>
          <cell r="L120">
            <v>0</v>
          </cell>
        </row>
        <row r="121">
          <cell r="A121">
            <v>2</v>
          </cell>
          <cell r="B121">
            <v>0</v>
          </cell>
          <cell r="C121">
            <v>572</v>
          </cell>
          <cell r="D121" t="str">
            <v xml:space="preserve">  </v>
          </cell>
          <cell r="E121" t="str">
            <v xml:space="preserve">    </v>
          </cell>
          <cell r="F121" t="str">
            <v xml:space="preserve">   </v>
          </cell>
          <cell r="G121">
            <v>20572</v>
          </cell>
          <cell r="H121">
            <v>4543.05</v>
          </cell>
          <cell r="I121">
            <v>4543.05</v>
          </cell>
          <cell r="J121">
            <v>0</v>
          </cell>
          <cell r="K121">
            <v>0</v>
          </cell>
          <cell r="L121">
            <v>0</v>
          </cell>
        </row>
        <row r="122">
          <cell r="A122">
            <v>1</v>
          </cell>
          <cell r="B122">
            <v>0</v>
          </cell>
          <cell r="C122">
            <v>573</v>
          </cell>
          <cell r="D122" t="str">
            <v xml:space="preserve">  </v>
          </cell>
          <cell r="E122" t="str">
            <v xml:space="preserve">    </v>
          </cell>
          <cell r="F122" t="str">
            <v xml:space="preserve">   </v>
          </cell>
          <cell r="G122">
            <v>10573</v>
          </cell>
          <cell r="H122">
            <v>1115.5</v>
          </cell>
          <cell r="I122">
            <v>1115.5</v>
          </cell>
          <cell r="J122">
            <v>0</v>
          </cell>
          <cell r="K122">
            <v>0</v>
          </cell>
          <cell r="L122">
            <v>0</v>
          </cell>
        </row>
        <row r="123">
          <cell r="A123">
            <v>2</v>
          </cell>
          <cell r="B123">
            <v>0</v>
          </cell>
          <cell r="C123">
            <v>573</v>
          </cell>
          <cell r="D123" t="str">
            <v xml:space="preserve">  </v>
          </cell>
          <cell r="E123" t="str">
            <v xml:space="preserve">    </v>
          </cell>
          <cell r="F123" t="str">
            <v xml:space="preserve">   </v>
          </cell>
          <cell r="G123">
            <v>20573</v>
          </cell>
          <cell r="H123">
            <v>12056.28</v>
          </cell>
          <cell r="I123">
            <v>12056.28</v>
          </cell>
          <cell r="J123">
            <v>0</v>
          </cell>
          <cell r="K123">
            <v>0</v>
          </cell>
          <cell r="L123">
            <v>0</v>
          </cell>
        </row>
        <row r="124">
          <cell r="A124">
            <v>1</v>
          </cell>
          <cell r="B124">
            <v>0</v>
          </cell>
          <cell r="C124">
            <v>580</v>
          </cell>
          <cell r="D124" t="str">
            <v xml:space="preserve">  </v>
          </cell>
          <cell r="E124" t="str">
            <v xml:space="preserve">    </v>
          </cell>
          <cell r="F124" t="str">
            <v xml:space="preserve">   </v>
          </cell>
          <cell r="G124">
            <v>10580</v>
          </cell>
          <cell r="H124">
            <v>25379.08</v>
          </cell>
          <cell r="I124">
            <v>19380.07</v>
          </cell>
          <cell r="J124">
            <v>5018.9399999999996</v>
          </cell>
          <cell r="K124">
            <v>980.07</v>
          </cell>
          <cell r="L124">
            <v>0</v>
          </cell>
        </row>
        <row r="125">
          <cell r="A125">
            <v>2</v>
          </cell>
          <cell r="B125">
            <v>0</v>
          </cell>
          <cell r="C125">
            <v>580</v>
          </cell>
          <cell r="D125" t="str">
            <v xml:space="preserve">  </v>
          </cell>
          <cell r="E125" t="str">
            <v xml:space="preserve">    </v>
          </cell>
          <cell r="F125" t="str">
            <v xml:space="preserve">   </v>
          </cell>
          <cell r="G125">
            <v>20580</v>
          </cell>
          <cell r="H125">
            <v>282055.08</v>
          </cell>
          <cell r="I125">
            <v>133978.42000000001</v>
          </cell>
          <cell r="J125">
            <v>135513.91</v>
          </cell>
          <cell r="K125">
            <v>12562.75</v>
          </cell>
          <cell r="L125">
            <v>0</v>
          </cell>
        </row>
        <row r="126">
          <cell r="A126">
            <v>1</v>
          </cell>
          <cell r="B126">
            <v>0</v>
          </cell>
          <cell r="C126">
            <v>581</v>
          </cell>
          <cell r="D126" t="str">
            <v xml:space="preserve">  </v>
          </cell>
          <cell r="E126" t="str">
            <v xml:space="preserve">    </v>
          </cell>
          <cell r="F126" t="str">
            <v xml:space="preserve">   </v>
          </cell>
          <cell r="G126">
            <v>10581</v>
          </cell>
          <cell r="H126">
            <v>4438.7700000000004</v>
          </cell>
          <cell r="I126">
            <v>425.09</v>
          </cell>
          <cell r="J126">
            <v>2859.41</v>
          </cell>
          <cell r="K126">
            <v>1154.27</v>
          </cell>
          <cell r="L126">
            <v>0</v>
          </cell>
        </row>
        <row r="127">
          <cell r="A127">
            <v>2</v>
          </cell>
          <cell r="B127">
            <v>0</v>
          </cell>
          <cell r="C127">
            <v>581</v>
          </cell>
          <cell r="D127" t="str">
            <v xml:space="preserve">  </v>
          </cell>
          <cell r="E127" t="str">
            <v xml:space="preserve">    </v>
          </cell>
          <cell r="F127" t="str">
            <v xml:space="preserve">   </v>
          </cell>
          <cell r="G127">
            <v>20581</v>
          </cell>
          <cell r="H127">
            <v>58550.32</v>
          </cell>
          <cell r="I127">
            <v>10402.02</v>
          </cell>
          <cell r="J127">
            <v>33863.74</v>
          </cell>
          <cell r="K127">
            <v>14284.56</v>
          </cell>
          <cell r="L127">
            <v>0</v>
          </cell>
        </row>
        <row r="128">
          <cell r="A128">
            <v>1</v>
          </cell>
          <cell r="B128">
            <v>0</v>
          </cell>
          <cell r="C128">
            <v>582</v>
          </cell>
          <cell r="D128" t="str">
            <v xml:space="preserve">  </v>
          </cell>
          <cell r="E128" t="str">
            <v xml:space="preserve">    </v>
          </cell>
          <cell r="F128" t="str">
            <v xml:space="preserve">   </v>
          </cell>
          <cell r="G128">
            <v>10582</v>
          </cell>
          <cell r="H128">
            <v>32462.400000000001</v>
          </cell>
          <cell r="I128">
            <v>191.25</v>
          </cell>
          <cell r="J128">
            <v>24395.17</v>
          </cell>
          <cell r="K128">
            <v>7875.98</v>
          </cell>
          <cell r="L128">
            <v>0</v>
          </cell>
        </row>
        <row r="129">
          <cell r="A129">
            <v>2</v>
          </cell>
          <cell r="B129">
            <v>0</v>
          </cell>
          <cell r="C129">
            <v>582</v>
          </cell>
          <cell r="D129" t="str">
            <v xml:space="preserve">  </v>
          </cell>
          <cell r="E129" t="str">
            <v xml:space="preserve">    </v>
          </cell>
          <cell r="F129" t="str">
            <v xml:space="preserve">   </v>
          </cell>
          <cell r="G129">
            <v>20582</v>
          </cell>
          <cell r="H129">
            <v>453936.05</v>
          </cell>
          <cell r="I129">
            <v>11580.71</v>
          </cell>
          <cell r="J129">
            <v>297464.33</v>
          </cell>
          <cell r="K129">
            <v>144891.01</v>
          </cell>
          <cell r="L129">
            <v>0</v>
          </cell>
        </row>
        <row r="130">
          <cell r="A130">
            <v>1</v>
          </cell>
          <cell r="B130">
            <v>0</v>
          </cell>
          <cell r="C130">
            <v>583</v>
          </cell>
          <cell r="D130" t="str">
            <v xml:space="preserve">  </v>
          </cell>
          <cell r="E130" t="str">
            <v xml:space="preserve">    </v>
          </cell>
          <cell r="F130" t="str">
            <v xml:space="preserve">   </v>
          </cell>
          <cell r="G130">
            <v>10583</v>
          </cell>
          <cell r="H130">
            <v>83364.2</v>
          </cell>
          <cell r="I130">
            <v>0</v>
          </cell>
          <cell r="J130">
            <v>64677.279999999999</v>
          </cell>
          <cell r="K130">
            <v>18686.919999999998</v>
          </cell>
          <cell r="L130">
            <v>0</v>
          </cell>
        </row>
        <row r="131">
          <cell r="A131">
            <v>2</v>
          </cell>
          <cell r="B131">
            <v>0</v>
          </cell>
          <cell r="C131">
            <v>583</v>
          </cell>
          <cell r="D131" t="str">
            <v xml:space="preserve">  </v>
          </cell>
          <cell r="E131" t="str">
            <v xml:space="preserve">    </v>
          </cell>
          <cell r="F131" t="str">
            <v xml:space="preserve">   </v>
          </cell>
          <cell r="G131">
            <v>20583</v>
          </cell>
          <cell r="H131">
            <v>989091.45</v>
          </cell>
          <cell r="I131">
            <v>-18.87</v>
          </cell>
          <cell r="J131">
            <v>763964.18</v>
          </cell>
          <cell r="K131">
            <v>225146.14</v>
          </cell>
          <cell r="L131">
            <v>0</v>
          </cell>
        </row>
        <row r="132">
          <cell r="A132">
            <v>1</v>
          </cell>
          <cell r="B132">
            <v>0</v>
          </cell>
          <cell r="C132">
            <v>584</v>
          </cell>
          <cell r="D132" t="str">
            <v xml:space="preserve">  </v>
          </cell>
          <cell r="E132" t="str">
            <v xml:space="preserve">    </v>
          </cell>
          <cell r="F132" t="str">
            <v xml:space="preserve">   </v>
          </cell>
          <cell r="G132">
            <v>10584</v>
          </cell>
          <cell r="H132">
            <v>109381.69</v>
          </cell>
          <cell r="I132">
            <v>787.92</v>
          </cell>
          <cell r="J132">
            <v>67007.75</v>
          </cell>
          <cell r="K132">
            <v>41586.019999999997</v>
          </cell>
          <cell r="L132">
            <v>0</v>
          </cell>
        </row>
        <row r="133">
          <cell r="A133">
            <v>2</v>
          </cell>
          <cell r="B133">
            <v>0</v>
          </cell>
          <cell r="C133">
            <v>584</v>
          </cell>
          <cell r="D133" t="str">
            <v xml:space="preserve">  </v>
          </cell>
          <cell r="E133" t="str">
            <v xml:space="preserve">    </v>
          </cell>
          <cell r="F133" t="str">
            <v xml:space="preserve">   </v>
          </cell>
          <cell r="G133">
            <v>20584</v>
          </cell>
          <cell r="H133">
            <v>1471231.11</v>
          </cell>
          <cell r="I133">
            <v>7767.2</v>
          </cell>
          <cell r="J133">
            <v>889206.87</v>
          </cell>
          <cell r="K133">
            <v>574257.04</v>
          </cell>
          <cell r="L133">
            <v>0</v>
          </cell>
        </row>
        <row r="134">
          <cell r="A134">
            <v>1</v>
          </cell>
          <cell r="B134">
            <v>0</v>
          </cell>
          <cell r="C134">
            <v>585</v>
          </cell>
          <cell r="D134" t="str">
            <v xml:space="preserve">  </v>
          </cell>
          <cell r="E134" t="str">
            <v xml:space="preserve">    </v>
          </cell>
          <cell r="F134" t="str">
            <v xml:space="preserve">   </v>
          </cell>
          <cell r="G134">
            <v>10585</v>
          </cell>
          <cell r="H134">
            <v>27690.67</v>
          </cell>
          <cell r="I134">
            <v>0</v>
          </cell>
          <cell r="J134">
            <v>19118.79</v>
          </cell>
          <cell r="K134">
            <v>8571.8799999999992</v>
          </cell>
          <cell r="L134">
            <v>0</v>
          </cell>
        </row>
        <row r="135">
          <cell r="A135">
            <v>2</v>
          </cell>
          <cell r="B135">
            <v>0</v>
          </cell>
          <cell r="C135">
            <v>585</v>
          </cell>
          <cell r="D135" t="str">
            <v xml:space="preserve">  </v>
          </cell>
          <cell r="E135" t="str">
            <v xml:space="preserve">    </v>
          </cell>
          <cell r="F135" t="str">
            <v xml:space="preserve">   </v>
          </cell>
          <cell r="G135">
            <v>20585</v>
          </cell>
          <cell r="H135">
            <v>240661.99</v>
          </cell>
          <cell r="I135">
            <v>109.87</v>
          </cell>
          <cell r="J135">
            <v>178211.7</v>
          </cell>
          <cell r="K135">
            <v>62340.42</v>
          </cell>
          <cell r="L135">
            <v>0</v>
          </cell>
        </row>
        <row r="136">
          <cell r="A136">
            <v>1</v>
          </cell>
          <cell r="B136">
            <v>0</v>
          </cell>
          <cell r="C136">
            <v>586</v>
          </cell>
          <cell r="D136" t="str">
            <v xml:space="preserve">  </v>
          </cell>
          <cell r="E136" t="str">
            <v xml:space="preserve">    </v>
          </cell>
          <cell r="F136" t="str">
            <v xml:space="preserve">   </v>
          </cell>
          <cell r="G136">
            <v>10586</v>
          </cell>
          <cell r="H136">
            <v>68641.53</v>
          </cell>
          <cell r="I136">
            <v>55557.599999999999</v>
          </cell>
          <cell r="J136">
            <v>-5661.62</v>
          </cell>
          <cell r="K136">
            <v>18745.55</v>
          </cell>
          <cell r="L136">
            <v>0</v>
          </cell>
        </row>
        <row r="137">
          <cell r="A137">
            <v>2</v>
          </cell>
          <cell r="B137">
            <v>0</v>
          </cell>
          <cell r="C137">
            <v>586</v>
          </cell>
          <cell r="D137" t="str">
            <v xml:space="preserve">  </v>
          </cell>
          <cell r="E137" t="str">
            <v xml:space="preserve">    </v>
          </cell>
          <cell r="F137" t="str">
            <v xml:space="preserve">   </v>
          </cell>
          <cell r="G137">
            <v>20586</v>
          </cell>
          <cell r="H137">
            <v>634007.52</v>
          </cell>
          <cell r="I137">
            <v>210577.91</v>
          </cell>
          <cell r="J137">
            <v>321558.71000000002</v>
          </cell>
          <cell r="K137">
            <v>101870.9</v>
          </cell>
          <cell r="L137">
            <v>0</v>
          </cell>
        </row>
        <row r="138">
          <cell r="A138">
            <v>1</v>
          </cell>
          <cell r="B138">
            <v>0</v>
          </cell>
          <cell r="C138">
            <v>587</v>
          </cell>
          <cell r="D138" t="str">
            <v xml:space="preserve">  </v>
          </cell>
          <cell r="E138" t="str">
            <v xml:space="preserve">    </v>
          </cell>
          <cell r="F138" t="str">
            <v xml:space="preserve">   </v>
          </cell>
          <cell r="G138">
            <v>10587</v>
          </cell>
          <cell r="H138">
            <v>52126.879999999997</v>
          </cell>
          <cell r="I138">
            <v>37035.019999999997</v>
          </cell>
          <cell r="J138">
            <v>5466.45</v>
          </cell>
          <cell r="K138">
            <v>9625.41</v>
          </cell>
          <cell r="L138">
            <v>0</v>
          </cell>
        </row>
        <row r="139">
          <cell r="A139">
            <v>2</v>
          </cell>
          <cell r="B139">
            <v>0</v>
          </cell>
          <cell r="C139">
            <v>587</v>
          </cell>
          <cell r="D139" t="str">
            <v xml:space="preserve">  </v>
          </cell>
          <cell r="E139" t="str">
            <v xml:space="preserve">    </v>
          </cell>
          <cell r="F139" t="str">
            <v xml:space="preserve">   </v>
          </cell>
          <cell r="G139">
            <v>20587</v>
          </cell>
          <cell r="H139">
            <v>574147.47</v>
          </cell>
          <cell r="I139">
            <v>328800.15000000002</v>
          </cell>
          <cell r="J139">
            <v>113071.17</v>
          </cell>
          <cell r="K139">
            <v>132276.15</v>
          </cell>
          <cell r="L139">
            <v>0</v>
          </cell>
        </row>
        <row r="140">
          <cell r="A140">
            <v>1</v>
          </cell>
          <cell r="B140">
            <v>0</v>
          </cell>
          <cell r="C140">
            <v>588</v>
          </cell>
          <cell r="D140" t="str">
            <v xml:space="preserve">  </v>
          </cell>
          <cell r="E140" t="str">
            <v xml:space="preserve">    </v>
          </cell>
          <cell r="F140" t="str">
            <v xml:space="preserve">   </v>
          </cell>
          <cell r="G140">
            <v>10588</v>
          </cell>
          <cell r="H140">
            <v>233439.98</v>
          </cell>
          <cell r="I140">
            <v>176298.28</v>
          </cell>
          <cell r="J140">
            <v>41902.46</v>
          </cell>
          <cell r="K140">
            <v>15239.24</v>
          </cell>
          <cell r="L140">
            <v>0</v>
          </cell>
        </row>
        <row r="141">
          <cell r="A141">
            <v>2</v>
          </cell>
          <cell r="B141">
            <v>0</v>
          </cell>
          <cell r="C141">
            <v>588</v>
          </cell>
          <cell r="D141" t="str">
            <v xml:space="preserve">  </v>
          </cell>
          <cell r="E141" t="str">
            <v xml:space="preserve">    </v>
          </cell>
          <cell r="F141" t="str">
            <v xml:space="preserve">   </v>
          </cell>
          <cell r="G141">
            <v>20588</v>
          </cell>
          <cell r="H141">
            <v>1003009.1</v>
          </cell>
          <cell r="I141">
            <v>463048.4</v>
          </cell>
          <cell r="J141">
            <v>408314.95</v>
          </cell>
          <cell r="K141">
            <v>131645.75</v>
          </cell>
          <cell r="L141">
            <v>0</v>
          </cell>
        </row>
        <row r="142">
          <cell r="A142">
            <v>1</v>
          </cell>
          <cell r="B142">
            <v>0</v>
          </cell>
          <cell r="C142">
            <v>589</v>
          </cell>
          <cell r="D142" t="str">
            <v xml:space="preserve">  </v>
          </cell>
          <cell r="E142" t="str">
            <v xml:space="preserve">    </v>
          </cell>
          <cell r="F142" t="str">
            <v xml:space="preserve">   </v>
          </cell>
          <cell r="G142">
            <v>10589</v>
          </cell>
          <cell r="H142">
            <v>14160.02</v>
          </cell>
          <cell r="I142">
            <v>200</v>
          </cell>
          <cell r="J142">
            <v>1813.16</v>
          </cell>
          <cell r="K142">
            <v>12146.86</v>
          </cell>
          <cell r="L142">
            <v>0</v>
          </cell>
        </row>
        <row r="143">
          <cell r="A143">
            <v>2</v>
          </cell>
          <cell r="B143">
            <v>0</v>
          </cell>
          <cell r="C143">
            <v>589</v>
          </cell>
          <cell r="D143" t="str">
            <v xml:space="preserve">  </v>
          </cell>
          <cell r="E143" t="str">
            <v xml:space="preserve">    </v>
          </cell>
          <cell r="F143" t="str">
            <v xml:space="preserve">   </v>
          </cell>
          <cell r="G143">
            <v>20589</v>
          </cell>
          <cell r="H143">
            <v>207840.36</v>
          </cell>
          <cell r="I143">
            <v>179713.24</v>
          </cell>
          <cell r="J143">
            <v>9818.75</v>
          </cell>
          <cell r="K143">
            <v>18308.37</v>
          </cell>
          <cell r="L143">
            <v>0</v>
          </cell>
        </row>
        <row r="144">
          <cell r="A144">
            <v>1</v>
          </cell>
          <cell r="B144">
            <v>0</v>
          </cell>
          <cell r="C144">
            <v>590</v>
          </cell>
          <cell r="D144" t="str">
            <v xml:space="preserve">  </v>
          </cell>
          <cell r="E144" t="str">
            <v xml:space="preserve">    </v>
          </cell>
          <cell r="F144" t="str">
            <v xml:space="preserve">   </v>
          </cell>
          <cell r="G144">
            <v>10590</v>
          </cell>
          <cell r="H144">
            <v>102710.24</v>
          </cell>
          <cell r="I144">
            <v>65427.82</v>
          </cell>
          <cell r="J144">
            <v>28171</v>
          </cell>
          <cell r="K144">
            <v>9111.42</v>
          </cell>
          <cell r="L144">
            <v>0</v>
          </cell>
        </row>
        <row r="145">
          <cell r="A145">
            <v>2</v>
          </cell>
          <cell r="B145">
            <v>0</v>
          </cell>
          <cell r="C145">
            <v>590</v>
          </cell>
          <cell r="D145" t="str">
            <v xml:space="preserve">  </v>
          </cell>
          <cell r="E145" t="str">
            <v xml:space="preserve">    </v>
          </cell>
          <cell r="F145" t="str">
            <v xml:space="preserve">   </v>
          </cell>
          <cell r="G145">
            <v>20590</v>
          </cell>
          <cell r="H145">
            <v>1101025.55</v>
          </cell>
          <cell r="I145">
            <v>678822.74</v>
          </cell>
          <cell r="J145">
            <v>335766.46</v>
          </cell>
          <cell r="K145">
            <v>86436.35</v>
          </cell>
          <cell r="L145">
            <v>0</v>
          </cell>
        </row>
        <row r="146">
          <cell r="A146">
            <v>1</v>
          </cell>
          <cell r="B146">
            <v>0</v>
          </cell>
          <cell r="C146">
            <v>591</v>
          </cell>
          <cell r="D146" t="str">
            <v xml:space="preserve">  </v>
          </cell>
          <cell r="E146" t="str">
            <v xml:space="preserve">    </v>
          </cell>
          <cell r="F146" t="str">
            <v xml:space="preserve">   </v>
          </cell>
          <cell r="G146">
            <v>10591</v>
          </cell>
          <cell r="H146">
            <v>3570.87</v>
          </cell>
          <cell r="I146">
            <v>0</v>
          </cell>
          <cell r="J146">
            <v>3570.87</v>
          </cell>
          <cell r="K146">
            <v>0</v>
          </cell>
          <cell r="L146">
            <v>0</v>
          </cell>
        </row>
        <row r="147">
          <cell r="A147">
            <v>2</v>
          </cell>
          <cell r="B147">
            <v>0</v>
          </cell>
          <cell r="C147">
            <v>591</v>
          </cell>
          <cell r="D147" t="str">
            <v xml:space="preserve">  </v>
          </cell>
          <cell r="E147" t="str">
            <v xml:space="preserve">    </v>
          </cell>
          <cell r="F147" t="str">
            <v xml:space="preserve">   </v>
          </cell>
          <cell r="G147">
            <v>20591</v>
          </cell>
          <cell r="H147">
            <v>45914.11</v>
          </cell>
          <cell r="I147">
            <v>6.95</v>
          </cell>
          <cell r="J147">
            <v>41711.919999999998</v>
          </cell>
          <cell r="K147">
            <v>4195.24</v>
          </cell>
          <cell r="L147">
            <v>0</v>
          </cell>
        </row>
        <row r="148">
          <cell r="A148">
            <v>1</v>
          </cell>
          <cell r="B148">
            <v>0</v>
          </cell>
          <cell r="C148">
            <v>592</v>
          </cell>
          <cell r="D148" t="str">
            <v xml:space="preserve">  </v>
          </cell>
          <cell r="E148" t="str">
            <v xml:space="preserve">    </v>
          </cell>
          <cell r="F148" t="str">
            <v xml:space="preserve">   </v>
          </cell>
          <cell r="G148">
            <v>10592</v>
          </cell>
          <cell r="H148">
            <v>62128</v>
          </cell>
          <cell r="I148">
            <v>10049.07</v>
          </cell>
          <cell r="J148">
            <v>47649.26</v>
          </cell>
          <cell r="K148">
            <v>4429.67</v>
          </cell>
          <cell r="L148">
            <v>0</v>
          </cell>
        </row>
        <row r="149">
          <cell r="A149">
            <v>2</v>
          </cell>
          <cell r="B149">
            <v>0</v>
          </cell>
          <cell r="C149">
            <v>592</v>
          </cell>
          <cell r="D149" t="str">
            <v xml:space="preserve">  </v>
          </cell>
          <cell r="E149" t="str">
            <v xml:space="preserve">    </v>
          </cell>
          <cell r="F149" t="str">
            <v xml:space="preserve">   </v>
          </cell>
          <cell r="G149">
            <v>20592</v>
          </cell>
          <cell r="H149">
            <v>819104.74</v>
          </cell>
          <cell r="I149">
            <v>78685.84</v>
          </cell>
          <cell r="J149">
            <v>566311.61</v>
          </cell>
          <cell r="K149">
            <v>174107.29</v>
          </cell>
          <cell r="L149">
            <v>0</v>
          </cell>
        </row>
        <row r="150">
          <cell r="A150">
            <v>1</v>
          </cell>
          <cell r="B150">
            <v>0</v>
          </cell>
          <cell r="C150">
            <v>593</v>
          </cell>
          <cell r="D150" t="str">
            <v xml:space="preserve">  </v>
          </cell>
          <cell r="E150" t="str">
            <v xml:space="preserve">    </v>
          </cell>
          <cell r="F150" t="str">
            <v xml:space="preserve">   </v>
          </cell>
          <cell r="G150">
            <v>10593</v>
          </cell>
          <cell r="H150">
            <v>728303.79</v>
          </cell>
          <cell r="I150">
            <v>268650.13</v>
          </cell>
          <cell r="J150">
            <v>262196.65000000002</v>
          </cell>
          <cell r="K150">
            <v>197457.01</v>
          </cell>
          <cell r="L150">
            <v>0</v>
          </cell>
        </row>
        <row r="151">
          <cell r="A151">
            <v>2</v>
          </cell>
          <cell r="B151">
            <v>0</v>
          </cell>
          <cell r="C151">
            <v>593</v>
          </cell>
          <cell r="D151" t="str">
            <v xml:space="preserve">  </v>
          </cell>
          <cell r="E151" t="str">
            <v xml:space="preserve">    </v>
          </cell>
          <cell r="F151" t="str">
            <v xml:space="preserve">   </v>
          </cell>
          <cell r="G151">
            <v>20593</v>
          </cell>
          <cell r="H151">
            <v>5949299.2300000004</v>
          </cell>
          <cell r="I151">
            <v>1596494.76</v>
          </cell>
          <cell r="J151">
            <v>2416104.98</v>
          </cell>
          <cell r="K151">
            <v>1936699.49</v>
          </cell>
          <cell r="L151">
            <v>0</v>
          </cell>
        </row>
        <row r="152">
          <cell r="A152">
            <v>1</v>
          </cell>
          <cell r="B152">
            <v>0</v>
          </cell>
          <cell r="C152">
            <v>594</v>
          </cell>
          <cell r="D152" t="str">
            <v xml:space="preserve">  </v>
          </cell>
          <cell r="E152" t="str">
            <v xml:space="preserve">    </v>
          </cell>
          <cell r="F152" t="str">
            <v xml:space="preserve">   </v>
          </cell>
          <cell r="G152">
            <v>10594</v>
          </cell>
          <cell r="H152">
            <v>53226.9</v>
          </cell>
          <cell r="I152">
            <v>0</v>
          </cell>
          <cell r="J152">
            <v>32797.74</v>
          </cell>
          <cell r="K152">
            <v>20429.16</v>
          </cell>
          <cell r="L152">
            <v>0</v>
          </cell>
        </row>
        <row r="153">
          <cell r="A153">
            <v>2</v>
          </cell>
          <cell r="B153">
            <v>0</v>
          </cell>
          <cell r="C153">
            <v>594</v>
          </cell>
          <cell r="D153" t="str">
            <v xml:space="preserve">  </v>
          </cell>
          <cell r="E153" t="str">
            <v xml:space="preserve">    </v>
          </cell>
          <cell r="F153" t="str">
            <v xml:space="preserve">   </v>
          </cell>
          <cell r="G153">
            <v>20594</v>
          </cell>
          <cell r="H153">
            <v>910090.93</v>
          </cell>
          <cell r="I153">
            <v>31.9</v>
          </cell>
          <cell r="J153">
            <v>657171.18999999994</v>
          </cell>
          <cell r="K153">
            <v>252887.84</v>
          </cell>
          <cell r="L153">
            <v>0</v>
          </cell>
        </row>
        <row r="154">
          <cell r="A154">
            <v>1</v>
          </cell>
          <cell r="B154">
            <v>0</v>
          </cell>
          <cell r="C154">
            <v>595</v>
          </cell>
          <cell r="D154" t="str">
            <v xml:space="preserve">  </v>
          </cell>
          <cell r="E154" t="str">
            <v xml:space="preserve">    </v>
          </cell>
          <cell r="F154" t="str">
            <v xml:space="preserve">   </v>
          </cell>
          <cell r="G154">
            <v>10595</v>
          </cell>
          <cell r="H154">
            <v>80015.56</v>
          </cell>
          <cell r="I154">
            <v>22930.36</v>
          </cell>
          <cell r="J154">
            <v>48147.77</v>
          </cell>
          <cell r="K154">
            <v>8937.43</v>
          </cell>
          <cell r="L154">
            <v>0</v>
          </cell>
        </row>
        <row r="155">
          <cell r="A155">
            <v>2</v>
          </cell>
          <cell r="B155">
            <v>0</v>
          </cell>
          <cell r="C155">
            <v>595</v>
          </cell>
          <cell r="D155" t="str">
            <v xml:space="preserve">  </v>
          </cell>
          <cell r="E155" t="str">
            <v xml:space="preserve">    </v>
          </cell>
          <cell r="F155" t="str">
            <v xml:space="preserve">   </v>
          </cell>
          <cell r="G155">
            <v>20595</v>
          </cell>
          <cell r="H155">
            <v>706574.82</v>
          </cell>
          <cell r="I155">
            <v>35312.769999999997</v>
          </cell>
          <cell r="J155">
            <v>533294.43999999994</v>
          </cell>
          <cell r="K155">
            <v>137967.60999999999</v>
          </cell>
          <cell r="L155">
            <v>0</v>
          </cell>
        </row>
        <row r="156">
          <cell r="A156">
            <v>1</v>
          </cell>
          <cell r="B156">
            <v>0</v>
          </cell>
          <cell r="C156">
            <v>596</v>
          </cell>
          <cell r="D156" t="str">
            <v xml:space="preserve">  </v>
          </cell>
          <cell r="E156" t="str">
            <v xml:space="preserve">    </v>
          </cell>
          <cell r="F156" t="str">
            <v xml:space="preserve">   </v>
          </cell>
          <cell r="G156">
            <v>10596</v>
          </cell>
          <cell r="H156">
            <v>21922.12</v>
          </cell>
          <cell r="I156">
            <v>0</v>
          </cell>
          <cell r="J156">
            <v>13378.96</v>
          </cell>
          <cell r="K156">
            <v>8543.16</v>
          </cell>
          <cell r="L156">
            <v>0</v>
          </cell>
        </row>
        <row r="157">
          <cell r="A157">
            <v>2</v>
          </cell>
          <cell r="B157">
            <v>0</v>
          </cell>
          <cell r="C157">
            <v>596</v>
          </cell>
          <cell r="D157" t="str">
            <v xml:space="preserve">  </v>
          </cell>
          <cell r="E157" t="str">
            <v xml:space="preserve">    </v>
          </cell>
          <cell r="F157" t="str">
            <v xml:space="preserve">   </v>
          </cell>
          <cell r="G157">
            <v>20596</v>
          </cell>
          <cell r="H157">
            <v>226185.82</v>
          </cell>
          <cell r="I157">
            <v>580.51</v>
          </cell>
          <cell r="J157">
            <v>144122.95000000001</v>
          </cell>
          <cell r="K157">
            <v>81482.36</v>
          </cell>
          <cell r="L157">
            <v>0</v>
          </cell>
        </row>
        <row r="158">
          <cell r="A158">
            <v>1</v>
          </cell>
          <cell r="B158">
            <v>0</v>
          </cell>
          <cell r="C158">
            <v>597</v>
          </cell>
          <cell r="D158" t="str">
            <v xml:space="preserve">  </v>
          </cell>
          <cell r="E158" t="str">
            <v xml:space="preserve">    </v>
          </cell>
          <cell r="F158" t="str">
            <v xml:space="preserve">   </v>
          </cell>
          <cell r="G158">
            <v>10597</v>
          </cell>
          <cell r="H158">
            <v>2770.47</v>
          </cell>
          <cell r="I158">
            <v>158.08000000000001</v>
          </cell>
          <cell r="J158">
            <v>1442.69</v>
          </cell>
          <cell r="K158">
            <v>1169.7</v>
          </cell>
          <cell r="L158">
            <v>0</v>
          </cell>
        </row>
        <row r="159">
          <cell r="A159">
            <v>2</v>
          </cell>
          <cell r="B159">
            <v>0</v>
          </cell>
          <cell r="C159">
            <v>597</v>
          </cell>
          <cell r="D159" t="str">
            <v xml:space="preserve">  </v>
          </cell>
          <cell r="E159" t="str">
            <v xml:space="preserve">    </v>
          </cell>
          <cell r="F159" t="str">
            <v xml:space="preserve">   </v>
          </cell>
          <cell r="G159">
            <v>20597</v>
          </cell>
          <cell r="H159">
            <v>79733.89</v>
          </cell>
          <cell r="I159">
            <v>817.43</v>
          </cell>
          <cell r="J159">
            <v>62137.26</v>
          </cell>
          <cell r="K159">
            <v>16779.2</v>
          </cell>
          <cell r="L159">
            <v>0</v>
          </cell>
        </row>
        <row r="160">
          <cell r="A160">
            <v>1</v>
          </cell>
          <cell r="B160">
            <v>0</v>
          </cell>
          <cell r="C160">
            <v>598</v>
          </cell>
          <cell r="D160" t="str">
            <v xml:space="preserve">  </v>
          </cell>
          <cell r="E160" t="str">
            <v xml:space="preserve">    </v>
          </cell>
          <cell r="F160" t="str">
            <v xml:space="preserve">   </v>
          </cell>
          <cell r="G160">
            <v>10598</v>
          </cell>
          <cell r="H160">
            <v>172034.05</v>
          </cell>
          <cell r="I160">
            <v>171907.01</v>
          </cell>
          <cell r="J160">
            <v>127.04</v>
          </cell>
          <cell r="K160">
            <v>0</v>
          </cell>
          <cell r="L160">
            <v>0</v>
          </cell>
        </row>
        <row r="161">
          <cell r="A161">
            <v>2</v>
          </cell>
          <cell r="B161">
            <v>0</v>
          </cell>
          <cell r="C161">
            <v>598</v>
          </cell>
          <cell r="D161" t="str">
            <v xml:space="preserve">  </v>
          </cell>
          <cell r="E161" t="str">
            <v xml:space="preserve">    </v>
          </cell>
          <cell r="F161" t="str">
            <v xml:space="preserve">   </v>
          </cell>
          <cell r="G161">
            <v>20598</v>
          </cell>
          <cell r="H161">
            <v>386760.39</v>
          </cell>
          <cell r="I161">
            <v>384642.03</v>
          </cell>
          <cell r="J161">
            <v>1622.36</v>
          </cell>
          <cell r="K161">
            <v>496</v>
          </cell>
          <cell r="L161">
            <v>0</v>
          </cell>
        </row>
        <row r="162">
          <cell r="A162">
            <v>1</v>
          </cell>
          <cell r="B162">
            <v>0</v>
          </cell>
          <cell r="C162">
            <v>901</v>
          </cell>
          <cell r="D162" t="str">
            <v xml:space="preserve">  </v>
          </cell>
          <cell r="E162" t="str">
            <v xml:space="preserve">    </v>
          </cell>
          <cell r="F162" t="str">
            <v xml:space="preserve">   </v>
          </cell>
          <cell r="G162">
            <v>10901</v>
          </cell>
          <cell r="H162">
            <v>20295.91</v>
          </cell>
          <cell r="I162">
            <v>16199</v>
          </cell>
          <cell r="J162">
            <v>3534.45</v>
          </cell>
          <cell r="K162">
            <v>562.46</v>
          </cell>
          <cell r="L162">
            <v>0</v>
          </cell>
        </row>
        <row r="163">
          <cell r="A163">
            <v>2</v>
          </cell>
          <cell r="B163">
            <v>0</v>
          </cell>
          <cell r="C163">
            <v>901</v>
          </cell>
          <cell r="D163" t="str">
            <v xml:space="preserve">  </v>
          </cell>
          <cell r="E163" t="str">
            <v xml:space="preserve">    </v>
          </cell>
          <cell r="F163" t="str">
            <v xml:space="preserve">   </v>
          </cell>
          <cell r="G163">
            <v>20901</v>
          </cell>
          <cell r="H163">
            <v>273656.09999999998</v>
          </cell>
          <cell r="I163">
            <v>228808.58</v>
          </cell>
          <cell r="J163">
            <v>41455.129999999997</v>
          </cell>
          <cell r="K163">
            <v>3392.39</v>
          </cell>
          <cell r="L163">
            <v>0</v>
          </cell>
        </row>
        <row r="164">
          <cell r="A164">
            <v>1</v>
          </cell>
          <cell r="B164">
            <v>0</v>
          </cell>
          <cell r="C164">
            <v>902</v>
          </cell>
          <cell r="D164" t="str">
            <v xml:space="preserve">  </v>
          </cell>
          <cell r="E164" t="str">
            <v xml:space="preserve">    </v>
          </cell>
          <cell r="F164" t="str">
            <v xml:space="preserve">   </v>
          </cell>
          <cell r="G164">
            <v>10902</v>
          </cell>
          <cell r="H164">
            <v>211527.37</v>
          </cell>
          <cell r="I164">
            <v>21154.22</v>
          </cell>
          <cell r="J164">
            <v>124208.19</v>
          </cell>
          <cell r="K164">
            <v>66164.960000000006</v>
          </cell>
          <cell r="L164">
            <v>0</v>
          </cell>
        </row>
        <row r="165">
          <cell r="A165">
            <v>2</v>
          </cell>
          <cell r="B165">
            <v>0</v>
          </cell>
          <cell r="C165">
            <v>902</v>
          </cell>
          <cell r="D165" t="str">
            <v xml:space="preserve">  </v>
          </cell>
          <cell r="E165" t="str">
            <v xml:space="preserve">    </v>
          </cell>
          <cell r="F165" t="str">
            <v xml:space="preserve">   </v>
          </cell>
          <cell r="G165">
            <v>20902</v>
          </cell>
          <cell r="H165">
            <v>1997811.94</v>
          </cell>
          <cell r="I165">
            <v>36095.660000000003</v>
          </cell>
          <cell r="J165">
            <v>1281378.96</v>
          </cell>
          <cell r="K165">
            <v>680337.32</v>
          </cell>
          <cell r="L165">
            <v>0</v>
          </cell>
        </row>
        <row r="166">
          <cell r="A166">
            <v>1</v>
          </cell>
          <cell r="B166">
            <v>0</v>
          </cell>
          <cell r="C166">
            <v>904</v>
          </cell>
          <cell r="D166" t="str">
            <v xml:space="preserve">  </v>
          </cell>
          <cell r="E166" t="str">
            <v xml:space="preserve">    </v>
          </cell>
          <cell r="F166" t="str">
            <v xml:space="preserve">   </v>
          </cell>
          <cell r="G166">
            <v>10904</v>
          </cell>
          <cell r="H166">
            <v>214882.19</v>
          </cell>
          <cell r="I166">
            <v>214882.19</v>
          </cell>
          <cell r="J166">
            <v>0</v>
          </cell>
          <cell r="K166">
            <v>0</v>
          </cell>
          <cell r="L166">
            <v>0</v>
          </cell>
        </row>
        <row r="167">
          <cell r="A167">
            <v>2</v>
          </cell>
          <cell r="B167">
            <v>0</v>
          </cell>
          <cell r="C167">
            <v>904</v>
          </cell>
          <cell r="D167" t="str">
            <v xml:space="preserve">  </v>
          </cell>
          <cell r="E167" t="str">
            <v xml:space="preserve">    </v>
          </cell>
          <cell r="F167" t="str">
            <v xml:space="preserve">   </v>
          </cell>
          <cell r="G167">
            <v>20904</v>
          </cell>
          <cell r="H167">
            <v>1289269.68</v>
          </cell>
          <cell r="I167">
            <v>1289269.68</v>
          </cell>
          <cell r="J167">
            <v>0</v>
          </cell>
          <cell r="K167">
            <v>0</v>
          </cell>
          <cell r="L167">
            <v>0</v>
          </cell>
        </row>
        <row r="168">
          <cell r="A168">
            <v>1</v>
          </cell>
          <cell r="B168">
            <v>0</v>
          </cell>
          <cell r="C168">
            <v>905</v>
          </cell>
          <cell r="D168" t="str">
            <v xml:space="preserve">  </v>
          </cell>
          <cell r="E168" t="str">
            <v xml:space="preserve">    </v>
          </cell>
          <cell r="F168" t="str">
            <v xml:space="preserve">   </v>
          </cell>
          <cell r="G168">
            <v>10905</v>
          </cell>
          <cell r="H168">
            <v>11953.19</v>
          </cell>
          <cell r="I168">
            <v>11896.39</v>
          </cell>
          <cell r="J168">
            <v>56.8</v>
          </cell>
          <cell r="K168">
            <v>0</v>
          </cell>
          <cell r="L168">
            <v>0</v>
          </cell>
        </row>
        <row r="169">
          <cell r="A169">
            <v>2</v>
          </cell>
          <cell r="B169">
            <v>0</v>
          </cell>
          <cell r="C169">
            <v>905</v>
          </cell>
          <cell r="D169" t="str">
            <v xml:space="preserve">  </v>
          </cell>
          <cell r="E169" t="str">
            <v xml:space="preserve">    </v>
          </cell>
          <cell r="F169" t="str">
            <v xml:space="preserve">   </v>
          </cell>
          <cell r="G169">
            <v>20905</v>
          </cell>
          <cell r="H169">
            <v>184510.97</v>
          </cell>
          <cell r="I169">
            <v>178726.62</v>
          </cell>
          <cell r="J169">
            <v>418.22</v>
          </cell>
          <cell r="K169">
            <v>5366.13</v>
          </cell>
          <cell r="L169">
            <v>0</v>
          </cell>
        </row>
        <row r="170">
          <cell r="A170">
            <v>1</v>
          </cell>
          <cell r="B170">
            <v>0</v>
          </cell>
          <cell r="C170">
            <v>909</v>
          </cell>
          <cell r="D170" t="str">
            <v xml:space="preserve">  </v>
          </cell>
          <cell r="E170" t="str">
            <v xml:space="preserve">    </v>
          </cell>
          <cell r="F170" t="str">
            <v xml:space="preserve">   </v>
          </cell>
          <cell r="G170">
            <v>10909</v>
          </cell>
          <cell r="H170">
            <v>51784.71</v>
          </cell>
          <cell r="I170">
            <v>51752.15</v>
          </cell>
          <cell r="J170">
            <v>32.56</v>
          </cell>
          <cell r="K170">
            <v>0</v>
          </cell>
          <cell r="L170">
            <v>0</v>
          </cell>
        </row>
        <row r="171">
          <cell r="A171">
            <v>2</v>
          </cell>
          <cell r="B171">
            <v>0</v>
          </cell>
          <cell r="C171">
            <v>909</v>
          </cell>
          <cell r="D171" t="str">
            <v xml:space="preserve">  </v>
          </cell>
          <cell r="E171" t="str">
            <v xml:space="preserve">    </v>
          </cell>
          <cell r="F171" t="str">
            <v xml:space="preserve">   </v>
          </cell>
          <cell r="G171">
            <v>20909</v>
          </cell>
          <cell r="H171">
            <v>102786.61</v>
          </cell>
          <cell r="I171">
            <v>100472.82</v>
          </cell>
          <cell r="J171">
            <v>2183.5500000000002</v>
          </cell>
          <cell r="K171">
            <v>130.24</v>
          </cell>
          <cell r="L171">
            <v>0</v>
          </cell>
        </row>
        <row r="172">
          <cell r="A172">
            <v>1</v>
          </cell>
          <cell r="B172">
            <v>0</v>
          </cell>
          <cell r="C172">
            <v>910</v>
          </cell>
          <cell r="D172" t="str">
            <v xml:space="preserve">  </v>
          </cell>
          <cell r="E172" t="str">
            <v xml:space="preserve">    </v>
          </cell>
          <cell r="F172" t="str">
            <v xml:space="preserve">   </v>
          </cell>
          <cell r="G172">
            <v>10910</v>
          </cell>
          <cell r="H172">
            <v>448.72</v>
          </cell>
          <cell r="I172">
            <v>448.72</v>
          </cell>
          <cell r="J172">
            <v>0</v>
          </cell>
          <cell r="K172">
            <v>0</v>
          </cell>
          <cell r="L172">
            <v>0</v>
          </cell>
        </row>
        <row r="173">
          <cell r="A173">
            <v>2</v>
          </cell>
          <cell r="B173">
            <v>0</v>
          </cell>
          <cell r="C173">
            <v>910</v>
          </cell>
          <cell r="D173" t="str">
            <v xml:space="preserve">  </v>
          </cell>
          <cell r="E173" t="str">
            <v xml:space="preserve">    </v>
          </cell>
          <cell r="F173" t="str">
            <v xml:space="preserve">   </v>
          </cell>
          <cell r="G173">
            <v>20910</v>
          </cell>
          <cell r="H173">
            <v>2224.14</v>
          </cell>
          <cell r="I173">
            <v>2224.14</v>
          </cell>
          <cell r="J173">
            <v>0</v>
          </cell>
          <cell r="K173">
            <v>0</v>
          </cell>
          <cell r="L173">
            <v>0</v>
          </cell>
        </row>
        <row r="174">
          <cell r="A174">
            <v>1</v>
          </cell>
          <cell r="B174">
            <v>0</v>
          </cell>
          <cell r="C174">
            <v>912</v>
          </cell>
          <cell r="D174" t="str">
            <v xml:space="preserve">  </v>
          </cell>
          <cell r="E174" t="str">
            <v xml:space="preserve">    </v>
          </cell>
          <cell r="F174" t="str">
            <v xml:space="preserve">   </v>
          </cell>
          <cell r="G174">
            <v>10912</v>
          </cell>
          <cell r="H174">
            <v>40528.629999999997</v>
          </cell>
          <cell r="I174">
            <v>37500.53</v>
          </cell>
          <cell r="J174">
            <v>195.9</v>
          </cell>
          <cell r="K174">
            <v>2832.2</v>
          </cell>
          <cell r="L174">
            <v>0</v>
          </cell>
        </row>
        <row r="175">
          <cell r="A175">
            <v>2</v>
          </cell>
          <cell r="B175">
            <v>0</v>
          </cell>
          <cell r="C175">
            <v>912</v>
          </cell>
          <cell r="D175" t="str">
            <v xml:space="preserve">  </v>
          </cell>
          <cell r="E175" t="str">
            <v xml:space="preserve">    </v>
          </cell>
          <cell r="F175" t="str">
            <v xml:space="preserve">   </v>
          </cell>
          <cell r="G175">
            <v>20912</v>
          </cell>
          <cell r="H175">
            <v>602539.47</v>
          </cell>
          <cell r="I175">
            <v>559933.34</v>
          </cell>
          <cell r="J175">
            <v>9375.57</v>
          </cell>
          <cell r="K175">
            <v>33230.559999999998</v>
          </cell>
          <cell r="L175">
            <v>0</v>
          </cell>
        </row>
        <row r="176">
          <cell r="A176">
            <v>1</v>
          </cell>
          <cell r="B176">
            <v>0</v>
          </cell>
          <cell r="C176">
            <v>920</v>
          </cell>
          <cell r="D176" t="str">
            <v xml:space="preserve">  </v>
          </cell>
          <cell r="E176" t="str">
            <v xml:space="preserve">    </v>
          </cell>
          <cell r="F176" t="str">
            <v xml:space="preserve">   </v>
          </cell>
          <cell r="G176">
            <v>10920</v>
          </cell>
          <cell r="H176">
            <v>1618041.42</v>
          </cell>
          <cell r="I176">
            <v>1462034.67</v>
          </cell>
          <cell r="J176">
            <v>64764.2</v>
          </cell>
          <cell r="K176">
            <v>91242.55</v>
          </cell>
          <cell r="L176">
            <v>0</v>
          </cell>
        </row>
        <row r="177">
          <cell r="A177">
            <v>2</v>
          </cell>
          <cell r="B177">
            <v>0</v>
          </cell>
          <cell r="C177">
            <v>920</v>
          </cell>
          <cell r="D177" t="str">
            <v xml:space="preserve">  </v>
          </cell>
          <cell r="E177" t="str">
            <v xml:space="preserve">    </v>
          </cell>
          <cell r="F177" t="str">
            <v xml:space="preserve">   </v>
          </cell>
          <cell r="G177">
            <v>20920</v>
          </cell>
          <cell r="H177">
            <v>15232120.08</v>
          </cell>
          <cell r="I177">
            <v>14173044.779999999</v>
          </cell>
          <cell r="J177">
            <v>788981.59</v>
          </cell>
          <cell r="K177">
            <v>270093.71000000002</v>
          </cell>
          <cell r="L177">
            <v>0</v>
          </cell>
        </row>
        <row r="178">
          <cell r="A178">
            <v>1</v>
          </cell>
          <cell r="B178">
            <v>0</v>
          </cell>
          <cell r="C178">
            <v>921</v>
          </cell>
          <cell r="D178" t="str">
            <v xml:space="preserve">  </v>
          </cell>
          <cell r="E178" t="str">
            <v xml:space="preserve">    </v>
          </cell>
          <cell r="F178" t="str">
            <v xml:space="preserve">   </v>
          </cell>
          <cell r="G178">
            <v>10921</v>
          </cell>
          <cell r="H178">
            <v>1502677.15</v>
          </cell>
          <cell r="I178">
            <v>1418406.53</v>
          </cell>
          <cell r="J178">
            <v>64973.31</v>
          </cell>
          <cell r="K178">
            <v>19297.310000000001</v>
          </cell>
          <cell r="L178">
            <v>0</v>
          </cell>
        </row>
        <row r="179">
          <cell r="A179">
            <v>2</v>
          </cell>
          <cell r="B179">
            <v>0</v>
          </cell>
          <cell r="C179">
            <v>921</v>
          </cell>
          <cell r="D179" t="str">
            <v xml:space="preserve">  </v>
          </cell>
          <cell r="E179" t="str">
            <v xml:space="preserve">    </v>
          </cell>
          <cell r="F179" t="str">
            <v xml:space="preserve">   </v>
          </cell>
          <cell r="G179">
            <v>20921</v>
          </cell>
          <cell r="H179">
            <v>7402534.96</v>
          </cell>
          <cell r="I179">
            <v>6783316.8799999999</v>
          </cell>
          <cell r="J179">
            <v>427142.58</v>
          </cell>
          <cell r="K179">
            <v>192075.5</v>
          </cell>
          <cell r="L179">
            <v>0</v>
          </cell>
        </row>
        <row r="180">
          <cell r="A180">
            <v>1</v>
          </cell>
          <cell r="B180">
            <v>0</v>
          </cell>
          <cell r="C180">
            <v>922</v>
          </cell>
          <cell r="D180" t="str">
            <v xml:space="preserve">  </v>
          </cell>
          <cell r="E180" t="str">
            <v xml:space="preserve">    </v>
          </cell>
          <cell r="F180" t="str">
            <v xml:space="preserve">   </v>
          </cell>
          <cell r="G180">
            <v>10922</v>
          </cell>
          <cell r="H180">
            <v>-2129.0700000000002</v>
          </cell>
          <cell r="I180">
            <v>-2129.0700000000002</v>
          </cell>
          <cell r="J180">
            <v>0</v>
          </cell>
          <cell r="K180">
            <v>0</v>
          </cell>
          <cell r="L180">
            <v>0</v>
          </cell>
        </row>
        <row r="181">
          <cell r="A181">
            <v>2</v>
          </cell>
          <cell r="B181">
            <v>0</v>
          </cell>
          <cell r="C181">
            <v>922</v>
          </cell>
          <cell r="D181" t="str">
            <v xml:space="preserve">  </v>
          </cell>
          <cell r="E181" t="str">
            <v xml:space="preserve">    </v>
          </cell>
          <cell r="F181" t="str">
            <v xml:space="preserve">   </v>
          </cell>
          <cell r="G181">
            <v>20922</v>
          </cell>
          <cell r="H181">
            <v>-10170.540000000001</v>
          </cell>
          <cell r="I181">
            <v>-10170.540000000001</v>
          </cell>
          <cell r="J181">
            <v>0</v>
          </cell>
          <cell r="K181">
            <v>0</v>
          </cell>
          <cell r="L181">
            <v>0</v>
          </cell>
        </row>
        <row r="182">
          <cell r="A182">
            <v>1</v>
          </cell>
          <cell r="B182">
            <v>0</v>
          </cell>
          <cell r="C182">
            <v>923</v>
          </cell>
          <cell r="D182" t="str">
            <v xml:space="preserve">  </v>
          </cell>
          <cell r="E182" t="str">
            <v xml:space="preserve">    </v>
          </cell>
          <cell r="F182" t="str">
            <v xml:space="preserve">   </v>
          </cell>
          <cell r="G182">
            <v>10923</v>
          </cell>
          <cell r="H182">
            <v>1107229.8600000001</v>
          </cell>
          <cell r="I182">
            <v>1067173.3600000001</v>
          </cell>
          <cell r="J182">
            <v>36306.35</v>
          </cell>
          <cell r="K182">
            <v>3750.15</v>
          </cell>
          <cell r="L182">
            <v>0</v>
          </cell>
        </row>
        <row r="183">
          <cell r="A183">
            <v>2</v>
          </cell>
          <cell r="B183">
            <v>0</v>
          </cell>
          <cell r="C183">
            <v>923</v>
          </cell>
          <cell r="D183" t="str">
            <v xml:space="preserve">  </v>
          </cell>
          <cell r="E183" t="str">
            <v xml:space="preserve">    </v>
          </cell>
          <cell r="F183" t="str">
            <v xml:space="preserve">   </v>
          </cell>
          <cell r="G183">
            <v>20923</v>
          </cell>
          <cell r="H183">
            <v>9706432.9000000004</v>
          </cell>
          <cell r="I183">
            <v>9500252.1600000001</v>
          </cell>
          <cell r="J183">
            <v>149691.18</v>
          </cell>
          <cell r="K183">
            <v>56489.56</v>
          </cell>
          <cell r="L183">
            <v>0</v>
          </cell>
        </row>
        <row r="184">
          <cell r="A184">
            <v>1</v>
          </cell>
          <cell r="B184">
            <v>0</v>
          </cell>
          <cell r="C184">
            <v>924</v>
          </cell>
          <cell r="D184" t="str">
            <v xml:space="preserve">  </v>
          </cell>
          <cell r="E184" t="str">
            <v xml:space="preserve">    </v>
          </cell>
          <cell r="F184" t="str">
            <v xml:space="preserve">   </v>
          </cell>
          <cell r="G184">
            <v>10924</v>
          </cell>
          <cell r="H184">
            <v>52283.15</v>
          </cell>
          <cell r="I184">
            <v>52283.15</v>
          </cell>
          <cell r="J184">
            <v>0</v>
          </cell>
          <cell r="K184">
            <v>0</v>
          </cell>
          <cell r="L184">
            <v>0</v>
          </cell>
        </row>
        <row r="185">
          <cell r="A185">
            <v>2</v>
          </cell>
          <cell r="B185">
            <v>0</v>
          </cell>
          <cell r="C185">
            <v>924</v>
          </cell>
          <cell r="D185" t="str">
            <v xml:space="preserve">  </v>
          </cell>
          <cell r="E185" t="str">
            <v xml:space="preserve">    </v>
          </cell>
          <cell r="F185" t="str">
            <v xml:space="preserve">   </v>
          </cell>
          <cell r="G185">
            <v>20924</v>
          </cell>
          <cell r="H185">
            <v>578990.85</v>
          </cell>
          <cell r="I185">
            <v>578990.85</v>
          </cell>
          <cell r="J185">
            <v>0</v>
          </cell>
          <cell r="K185">
            <v>0</v>
          </cell>
          <cell r="L185">
            <v>0</v>
          </cell>
        </row>
        <row r="186">
          <cell r="A186">
            <v>1</v>
          </cell>
          <cell r="B186">
            <v>0</v>
          </cell>
          <cell r="C186">
            <v>925</v>
          </cell>
          <cell r="D186" t="str">
            <v xml:space="preserve">  </v>
          </cell>
          <cell r="E186" t="str">
            <v xml:space="preserve">    </v>
          </cell>
          <cell r="F186" t="str">
            <v xml:space="preserve">   </v>
          </cell>
          <cell r="G186">
            <v>10925</v>
          </cell>
          <cell r="H186">
            <v>166896.60999999999</v>
          </cell>
          <cell r="I186">
            <v>165106.72</v>
          </cell>
          <cell r="J186">
            <v>542.29</v>
          </cell>
          <cell r="K186">
            <v>1247.5999999999999</v>
          </cell>
          <cell r="L186">
            <v>0</v>
          </cell>
        </row>
        <row r="187">
          <cell r="A187">
            <v>2</v>
          </cell>
          <cell r="B187">
            <v>0</v>
          </cell>
          <cell r="C187">
            <v>925</v>
          </cell>
          <cell r="D187" t="str">
            <v xml:space="preserve">  </v>
          </cell>
          <cell r="E187" t="str">
            <v xml:space="preserve">    </v>
          </cell>
          <cell r="F187" t="str">
            <v xml:space="preserve">   </v>
          </cell>
          <cell r="G187">
            <v>20925</v>
          </cell>
          <cell r="H187">
            <v>1498278.69</v>
          </cell>
          <cell r="I187">
            <v>1473350.44</v>
          </cell>
          <cell r="J187">
            <v>12824.81</v>
          </cell>
          <cell r="K187">
            <v>12103.44</v>
          </cell>
          <cell r="L187">
            <v>0</v>
          </cell>
        </row>
        <row r="188">
          <cell r="A188">
            <v>1</v>
          </cell>
          <cell r="B188">
            <v>0</v>
          </cell>
          <cell r="C188">
            <v>926</v>
          </cell>
          <cell r="D188" t="str">
            <v xml:space="preserve">  </v>
          </cell>
          <cell r="E188" t="str">
            <v xml:space="preserve">    </v>
          </cell>
          <cell r="F188" t="str">
            <v xml:space="preserve">   </v>
          </cell>
          <cell r="G188">
            <v>10926</v>
          </cell>
          <cell r="H188">
            <v>290436.77</v>
          </cell>
          <cell r="I188">
            <v>219140.71</v>
          </cell>
          <cell r="J188">
            <v>49025.99</v>
          </cell>
          <cell r="K188">
            <v>22270.07</v>
          </cell>
          <cell r="L188">
            <v>0</v>
          </cell>
        </row>
        <row r="189">
          <cell r="A189">
            <v>2</v>
          </cell>
          <cell r="B189">
            <v>0</v>
          </cell>
          <cell r="C189">
            <v>926</v>
          </cell>
          <cell r="D189" t="str">
            <v xml:space="preserve">  </v>
          </cell>
          <cell r="E189" t="str">
            <v xml:space="preserve">    </v>
          </cell>
          <cell r="F189" t="str">
            <v xml:space="preserve">   </v>
          </cell>
          <cell r="G189">
            <v>20926</v>
          </cell>
          <cell r="H189">
            <v>2801947.01</v>
          </cell>
          <cell r="I189">
            <v>1927919.85</v>
          </cell>
          <cell r="J189">
            <v>645971.85</v>
          </cell>
          <cell r="K189">
            <v>228055.31</v>
          </cell>
          <cell r="L189">
            <v>0</v>
          </cell>
        </row>
        <row r="190">
          <cell r="A190">
            <v>1</v>
          </cell>
          <cell r="B190">
            <v>0</v>
          </cell>
          <cell r="C190">
            <v>927</v>
          </cell>
          <cell r="D190" t="str">
            <v xml:space="preserve">  </v>
          </cell>
          <cell r="E190" t="str">
            <v xml:space="preserve">    </v>
          </cell>
          <cell r="F190" t="str">
            <v xml:space="preserve">   </v>
          </cell>
          <cell r="G190">
            <v>10927</v>
          </cell>
          <cell r="H190">
            <v>111036.4</v>
          </cell>
          <cell r="I190">
            <v>0</v>
          </cell>
          <cell r="J190">
            <v>14537.05</v>
          </cell>
          <cell r="K190">
            <v>96499.35</v>
          </cell>
          <cell r="L190">
            <v>0</v>
          </cell>
        </row>
        <row r="191">
          <cell r="A191">
            <v>2</v>
          </cell>
          <cell r="B191">
            <v>0</v>
          </cell>
          <cell r="C191">
            <v>927</v>
          </cell>
          <cell r="D191" t="str">
            <v xml:space="preserve">  </v>
          </cell>
          <cell r="E191" t="str">
            <v xml:space="preserve">    </v>
          </cell>
          <cell r="F191" t="str">
            <v xml:space="preserve">   </v>
          </cell>
          <cell r="G191">
            <v>20927</v>
          </cell>
          <cell r="H191">
            <v>1152534.29</v>
          </cell>
          <cell r="I191">
            <v>0</v>
          </cell>
          <cell r="J191">
            <v>160657.82999999999</v>
          </cell>
          <cell r="K191">
            <v>991876.46</v>
          </cell>
          <cell r="L191">
            <v>0</v>
          </cell>
        </row>
        <row r="192">
          <cell r="A192">
            <v>1</v>
          </cell>
          <cell r="B192">
            <v>0</v>
          </cell>
          <cell r="C192">
            <v>930</v>
          </cell>
          <cell r="D192" t="str">
            <v xml:space="preserve">  </v>
          </cell>
          <cell r="E192" t="str">
            <v xml:space="preserve">    </v>
          </cell>
          <cell r="F192" t="str">
            <v xml:space="preserve">   </v>
          </cell>
          <cell r="G192">
            <v>10930</v>
          </cell>
          <cell r="H192">
            <v>285621.86</v>
          </cell>
          <cell r="I192">
            <v>217116.11</v>
          </cell>
          <cell r="J192">
            <v>40596.79</v>
          </cell>
          <cell r="K192">
            <v>27908.959999999999</v>
          </cell>
          <cell r="L192">
            <v>0</v>
          </cell>
        </row>
        <row r="193">
          <cell r="A193">
            <v>2</v>
          </cell>
          <cell r="B193">
            <v>0</v>
          </cell>
          <cell r="C193">
            <v>930</v>
          </cell>
          <cell r="D193" t="str">
            <v xml:space="preserve">  </v>
          </cell>
          <cell r="E193" t="str">
            <v xml:space="preserve">    </v>
          </cell>
          <cell r="F193" t="str">
            <v xml:space="preserve">   </v>
          </cell>
          <cell r="G193">
            <v>20930</v>
          </cell>
          <cell r="H193">
            <v>3210890.32</v>
          </cell>
          <cell r="I193">
            <v>2594464.9500000002</v>
          </cell>
          <cell r="J193">
            <v>437931.91</v>
          </cell>
          <cell r="K193">
            <v>178493.46</v>
          </cell>
          <cell r="L193">
            <v>0</v>
          </cell>
        </row>
        <row r="194">
          <cell r="A194">
            <v>1</v>
          </cell>
          <cell r="B194">
            <v>0</v>
          </cell>
          <cell r="C194">
            <v>931</v>
          </cell>
          <cell r="D194" t="str">
            <v xml:space="preserve">  </v>
          </cell>
          <cell r="E194" t="str">
            <v xml:space="preserve">    </v>
          </cell>
          <cell r="F194" t="str">
            <v xml:space="preserve">   </v>
          </cell>
          <cell r="G194">
            <v>10931</v>
          </cell>
          <cell r="H194">
            <v>453816.18</v>
          </cell>
          <cell r="I194">
            <v>451595.56</v>
          </cell>
          <cell r="J194">
            <v>799.25</v>
          </cell>
          <cell r="K194">
            <v>1421.37</v>
          </cell>
          <cell r="L194">
            <v>0</v>
          </cell>
        </row>
        <row r="195">
          <cell r="A195">
            <v>2</v>
          </cell>
          <cell r="B195">
            <v>0</v>
          </cell>
          <cell r="C195">
            <v>931</v>
          </cell>
          <cell r="D195" t="str">
            <v xml:space="preserve">  </v>
          </cell>
          <cell r="E195" t="str">
            <v xml:space="preserve">    </v>
          </cell>
          <cell r="F195" t="str">
            <v xml:space="preserve">   </v>
          </cell>
          <cell r="G195">
            <v>20931</v>
          </cell>
          <cell r="H195">
            <v>4653385.6900000004</v>
          </cell>
          <cell r="I195">
            <v>4617664.38</v>
          </cell>
          <cell r="J195">
            <v>28270.67</v>
          </cell>
          <cell r="K195">
            <v>7450.64</v>
          </cell>
          <cell r="L195">
            <v>0</v>
          </cell>
        </row>
        <row r="196">
          <cell r="A196">
            <v>1</v>
          </cell>
          <cell r="B196">
            <v>0</v>
          </cell>
          <cell r="C196">
            <v>935</v>
          </cell>
          <cell r="D196" t="str">
            <v xml:space="preserve">  </v>
          </cell>
          <cell r="E196" t="str">
            <v xml:space="preserve">    </v>
          </cell>
          <cell r="F196" t="str">
            <v xml:space="preserve">   </v>
          </cell>
          <cell r="G196">
            <v>10935</v>
          </cell>
          <cell r="H196">
            <v>344126.05</v>
          </cell>
          <cell r="I196">
            <v>276813.62</v>
          </cell>
          <cell r="J196">
            <v>40876.959999999999</v>
          </cell>
          <cell r="K196">
            <v>26435.47</v>
          </cell>
          <cell r="L196">
            <v>0</v>
          </cell>
        </row>
        <row r="197">
          <cell r="A197">
            <v>2</v>
          </cell>
          <cell r="B197">
            <v>0</v>
          </cell>
          <cell r="C197">
            <v>935</v>
          </cell>
          <cell r="D197" t="str">
            <v xml:space="preserve">  </v>
          </cell>
          <cell r="E197" t="str">
            <v xml:space="preserve">    </v>
          </cell>
          <cell r="F197" t="str">
            <v xml:space="preserve">   </v>
          </cell>
          <cell r="G197">
            <v>20935</v>
          </cell>
          <cell r="H197">
            <v>2733212.02</v>
          </cell>
          <cell r="I197">
            <v>1992644.91</v>
          </cell>
          <cell r="J197">
            <v>451419.54</v>
          </cell>
          <cell r="K197">
            <v>289147.57</v>
          </cell>
          <cell r="L197">
            <v>0</v>
          </cell>
        </row>
        <row r="198">
          <cell r="A198">
            <v>1</v>
          </cell>
          <cell r="B198">
            <v>1</v>
          </cell>
          <cell r="C198">
            <v>400</v>
          </cell>
          <cell r="D198" t="str">
            <v xml:space="preserve">  </v>
          </cell>
          <cell r="E198" t="str">
            <v xml:space="preserve">    </v>
          </cell>
          <cell r="F198" t="str">
            <v xml:space="preserve">   </v>
          </cell>
          <cell r="G198">
            <v>11400</v>
          </cell>
          <cell r="H198">
            <v>-3585251</v>
          </cell>
          <cell r="I198">
            <v>0</v>
          </cell>
          <cell r="J198">
            <v>-2623658</v>
          </cell>
          <cell r="K198">
            <v>-961593</v>
          </cell>
          <cell r="L198">
            <v>0</v>
          </cell>
        </row>
        <row r="199">
          <cell r="A199">
            <v>2</v>
          </cell>
          <cell r="B199">
            <v>1</v>
          </cell>
          <cell r="C199">
            <v>400</v>
          </cell>
          <cell r="D199" t="str">
            <v xml:space="preserve">  </v>
          </cell>
          <cell r="E199" t="str">
            <v xml:space="preserve">    </v>
          </cell>
          <cell r="F199" t="str">
            <v xml:space="preserve">   </v>
          </cell>
          <cell r="G199">
            <v>21400</v>
          </cell>
          <cell r="H199">
            <v>-1632787</v>
          </cell>
          <cell r="I199">
            <v>0</v>
          </cell>
          <cell r="J199">
            <v>-1286414</v>
          </cell>
          <cell r="K199">
            <v>-346373</v>
          </cell>
          <cell r="L199">
            <v>0</v>
          </cell>
        </row>
        <row r="200">
          <cell r="A200">
            <v>1</v>
          </cell>
          <cell r="B200">
            <v>1</v>
          </cell>
          <cell r="C200">
            <v>480</v>
          </cell>
          <cell r="D200" t="str">
            <v xml:space="preserve">  </v>
          </cell>
          <cell r="E200" t="str">
            <v xml:space="preserve">    </v>
          </cell>
          <cell r="F200" t="str">
            <v xml:space="preserve">   </v>
          </cell>
          <cell r="G200">
            <v>11480</v>
          </cell>
          <cell r="H200">
            <v>-7693050.5199999996</v>
          </cell>
          <cell r="I200">
            <v>0</v>
          </cell>
          <cell r="J200">
            <v>-5474848.9699999997</v>
          </cell>
          <cell r="K200">
            <v>-2218201.5499999998</v>
          </cell>
          <cell r="L200">
            <v>0</v>
          </cell>
        </row>
        <row r="201">
          <cell r="A201">
            <v>2</v>
          </cell>
          <cell r="B201">
            <v>1</v>
          </cell>
          <cell r="C201">
            <v>480</v>
          </cell>
          <cell r="D201" t="str">
            <v xml:space="preserve">  </v>
          </cell>
          <cell r="E201" t="str">
            <v xml:space="preserve">    </v>
          </cell>
          <cell r="F201" t="str">
            <v xml:space="preserve">   </v>
          </cell>
          <cell r="G201">
            <v>21480</v>
          </cell>
          <cell r="H201">
            <v>-55382749.409999996</v>
          </cell>
          <cell r="I201">
            <v>0</v>
          </cell>
          <cell r="J201">
            <v>-39328595.979999997</v>
          </cell>
          <cell r="K201">
            <v>-16054153.43</v>
          </cell>
          <cell r="L201">
            <v>0</v>
          </cell>
        </row>
        <row r="202">
          <cell r="A202">
            <v>1</v>
          </cell>
          <cell r="B202">
            <v>1</v>
          </cell>
          <cell r="C202">
            <v>483</v>
          </cell>
          <cell r="D202" t="str">
            <v xml:space="preserve">  </v>
          </cell>
          <cell r="E202" t="str">
            <v xml:space="preserve">    </v>
          </cell>
          <cell r="F202" t="str">
            <v xml:space="preserve">   </v>
          </cell>
          <cell r="G202">
            <v>11483</v>
          </cell>
          <cell r="H202">
            <v>-849199.96</v>
          </cell>
          <cell r="I202">
            <v>-849199.96</v>
          </cell>
          <cell r="J202">
            <v>0</v>
          </cell>
          <cell r="K202">
            <v>0</v>
          </cell>
          <cell r="L202">
            <v>0</v>
          </cell>
        </row>
        <row r="203">
          <cell r="A203">
            <v>2</v>
          </cell>
          <cell r="B203">
            <v>1</v>
          </cell>
          <cell r="C203">
            <v>483</v>
          </cell>
          <cell r="D203" t="str">
            <v xml:space="preserve">  </v>
          </cell>
          <cell r="E203" t="str">
            <v xml:space="preserve">    </v>
          </cell>
          <cell r="F203" t="str">
            <v xml:space="preserve">   </v>
          </cell>
          <cell r="G203">
            <v>21483</v>
          </cell>
          <cell r="H203">
            <v>-14834972.5</v>
          </cell>
          <cell r="I203">
            <v>-14834972.5</v>
          </cell>
          <cell r="J203">
            <v>0</v>
          </cell>
          <cell r="K203">
            <v>0</v>
          </cell>
          <cell r="L203">
            <v>0</v>
          </cell>
        </row>
        <row r="204">
          <cell r="A204">
            <v>1</v>
          </cell>
          <cell r="B204">
            <v>1</v>
          </cell>
          <cell r="C204">
            <v>484</v>
          </cell>
          <cell r="D204" t="str">
            <v xml:space="preserve">  </v>
          </cell>
          <cell r="E204" t="str">
            <v xml:space="preserve">    </v>
          </cell>
          <cell r="F204" t="str">
            <v xml:space="preserve">   </v>
          </cell>
          <cell r="G204">
            <v>11484</v>
          </cell>
          <cell r="H204">
            <v>-807743.61</v>
          </cell>
          <cell r="I204">
            <v>-782416.84</v>
          </cell>
          <cell r="J204">
            <v>-23644.44</v>
          </cell>
          <cell r="K204">
            <v>-1682.33</v>
          </cell>
          <cell r="L204">
            <v>0</v>
          </cell>
        </row>
        <row r="205">
          <cell r="A205">
            <v>2</v>
          </cell>
          <cell r="B205">
            <v>1</v>
          </cell>
          <cell r="C205">
            <v>484</v>
          </cell>
          <cell r="D205" t="str">
            <v xml:space="preserve">  </v>
          </cell>
          <cell r="E205" t="str">
            <v xml:space="preserve">    </v>
          </cell>
          <cell r="F205" t="str">
            <v xml:space="preserve">   </v>
          </cell>
          <cell r="G205">
            <v>21484</v>
          </cell>
          <cell r="H205">
            <v>-5987370.7999999998</v>
          </cell>
          <cell r="I205">
            <v>-5769774.1799999997</v>
          </cell>
          <cell r="J205">
            <v>-204153.93</v>
          </cell>
          <cell r="K205">
            <v>-13442.69</v>
          </cell>
          <cell r="L205">
            <v>0</v>
          </cell>
        </row>
        <row r="206">
          <cell r="A206">
            <v>1</v>
          </cell>
          <cell r="B206">
            <v>1</v>
          </cell>
          <cell r="C206">
            <v>808</v>
          </cell>
          <cell r="D206" t="str">
            <v xml:space="preserve">  </v>
          </cell>
          <cell r="E206" t="str">
            <v xml:space="preserve">    </v>
          </cell>
          <cell r="F206" t="str">
            <v xml:space="preserve">   </v>
          </cell>
          <cell r="G206">
            <v>11808</v>
          </cell>
          <cell r="H206">
            <v>1246437.76</v>
          </cell>
          <cell r="I206">
            <v>1246437.76</v>
          </cell>
          <cell r="J206">
            <v>0</v>
          </cell>
          <cell r="K206">
            <v>0</v>
          </cell>
          <cell r="L206">
            <v>0</v>
          </cell>
        </row>
        <row r="207">
          <cell r="A207">
            <v>2</v>
          </cell>
          <cell r="B207">
            <v>1</v>
          </cell>
          <cell r="C207">
            <v>808</v>
          </cell>
          <cell r="D207" t="str">
            <v xml:space="preserve">  </v>
          </cell>
          <cell r="E207" t="str">
            <v xml:space="preserve">    </v>
          </cell>
          <cell r="F207" t="str">
            <v xml:space="preserve">   </v>
          </cell>
          <cell r="G207">
            <v>21808</v>
          </cell>
          <cell r="H207">
            <v>-1445155.65</v>
          </cell>
          <cell r="I207">
            <v>-1445155.65</v>
          </cell>
          <cell r="J207">
            <v>0</v>
          </cell>
          <cell r="K207">
            <v>0</v>
          </cell>
          <cell r="L207">
            <v>0</v>
          </cell>
        </row>
        <row r="208">
          <cell r="A208">
            <v>1</v>
          </cell>
          <cell r="B208">
            <v>1</v>
          </cell>
          <cell r="C208">
            <v>814</v>
          </cell>
          <cell r="D208" t="str">
            <v xml:space="preserve">  </v>
          </cell>
          <cell r="E208" t="str">
            <v xml:space="preserve">    </v>
          </cell>
          <cell r="F208" t="str">
            <v xml:space="preserve">   </v>
          </cell>
          <cell r="G208">
            <v>11814</v>
          </cell>
          <cell r="H208">
            <v>1729.62</v>
          </cell>
          <cell r="I208">
            <v>1729.62</v>
          </cell>
          <cell r="J208">
            <v>0</v>
          </cell>
          <cell r="K208">
            <v>0</v>
          </cell>
          <cell r="L208">
            <v>0</v>
          </cell>
        </row>
        <row r="209">
          <cell r="A209">
            <v>2</v>
          </cell>
          <cell r="B209">
            <v>1</v>
          </cell>
          <cell r="C209">
            <v>814</v>
          </cell>
          <cell r="D209" t="str">
            <v xml:space="preserve">  </v>
          </cell>
          <cell r="E209" t="str">
            <v xml:space="preserve">    </v>
          </cell>
          <cell r="F209" t="str">
            <v xml:space="preserve">   </v>
          </cell>
          <cell r="G209">
            <v>21814</v>
          </cell>
          <cell r="H209">
            <v>87762.14</v>
          </cell>
          <cell r="I209">
            <v>87762.14</v>
          </cell>
          <cell r="J209">
            <v>0</v>
          </cell>
          <cell r="K209">
            <v>0</v>
          </cell>
          <cell r="L209">
            <v>0</v>
          </cell>
        </row>
        <row r="210">
          <cell r="A210">
            <v>1</v>
          </cell>
          <cell r="B210">
            <v>1</v>
          </cell>
          <cell r="C210">
            <v>815</v>
          </cell>
          <cell r="D210" t="str">
            <v xml:space="preserve">  </v>
          </cell>
          <cell r="E210" t="str">
            <v xml:space="preserve">    </v>
          </cell>
          <cell r="F210" t="str">
            <v xml:space="preserve">   </v>
          </cell>
          <cell r="G210">
            <v>11815</v>
          </cell>
          <cell r="H210">
            <v>0</v>
          </cell>
          <cell r="I210">
            <v>0</v>
          </cell>
          <cell r="J210">
            <v>0</v>
          </cell>
          <cell r="K210">
            <v>0</v>
          </cell>
          <cell r="L210">
            <v>0</v>
          </cell>
        </row>
        <row r="211">
          <cell r="A211">
            <v>2</v>
          </cell>
          <cell r="B211">
            <v>1</v>
          </cell>
          <cell r="C211">
            <v>815</v>
          </cell>
          <cell r="D211" t="str">
            <v xml:space="preserve">  </v>
          </cell>
          <cell r="E211" t="str">
            <v xml:space="preserve">    </v>
          </cell>
          <cell r="F211" t="str">
            <v xml:space="preserve">   </v>
          </cell>
          <cell r="G211">
            <v>21815</v>
          </cell>
          <cell r="H211">
            <v>312.66000000000003</v>
          </cell>
          <cell r="I211">
            <v>312.66000000000003</v>
          </cell>
          <cell r="J211">
            <v>0</v>
          </cell>
          <cell r="K211">
            <v>0</v>
          </cell>
          <cell r="L211">
            <v>0</v>
          </cell>
        </row>
        <row r="212">
          <cell r="A212">
            <v>1</v>
          </cell>
          <cell r="B212">
            <v>1</v>
          </cell>
          <cell r="C212">
            <v>816</v>
          </cell>
          <cell r="D212" t="str">
            <v xml:space="preserve">  </v>
          </cell>
          <cell r="E212" t="str">
            <v xml:space="preserve">    </v>
          </cell>
          <cell r="F212" t="str">
            <v xml:space="preserve">   </v>
          </cell>
          <cell r="G212">
            <v>11816</v>
          </cell>
          <cell r="H212">
            <v>3415.74</v>
          </cell>
          <cell r="I212">
            <v>3415.74</v>
          </cell>
          <cell r="J212">
            <v>0</v>
          </cell>
          <cell r="K212">
            <v>0</v>
          </cell>
          <cell r="L212">
            <v>0</v>
          </cell>
        </row>
        <row r="213">
          <cell r="A213">
            <v>2</v>
          </cell>
          <cell r="B213">
            <v>1</v>
          </cell>
          <cell r="C213">
            <v>816</v>
          </cell>
          <cell r="D213" t="str">
            <v xml:space="preserve">  </v>
          </cell>
          <cell r="E213" t="str">
            <v xml:space="preserve">    </v>
          </cell>
          <cell r="F213" t="str">
            <v xml:space="preserve">   </v>
          </cell>
          <cell r="G213">
            <v>21816</v>
          </cell>
          <cell r="H213">
            <v>32100.85</v>
          </cell>
          <cell r="I213">
            <v>32100.85</v>
          </cell>
          <cell r="J213">
            <v>0</v>
          </cell>
          <cell r="K213">
            <v>0</v>
          </cell>
          <cell r="L213">
            <v>0</v>
          </cell>
        </row>
        <row r="214">
          <cell r="A214">
            <v>1</v>
          </cell>
          <cell r="B214">
            <v>1</v>
          </cell>
          <cell r="C214">
            <v>817</v>
          </cell>
          <cell r="D214" t="str">
            <v xml:space="preserve">  </v>
          </cell>
          <cell r="E214" t="str">
            <v xml:space="preserve">    </v>
          </cell>
          <cell r="F214" t="str">
            <v xml:space="preserve">   </v>
          </cell>
          <cell r="G214">
            <v>11817</v>
          </cell>
          <cell r="H214">
            <v>0</v>
          </cell>
          <cell r="I214">
            <v>0</v>
          </cell>
          <cell r="J214">
            <v>0</v>
          </cell>
          <cell r="K214">
            <v>0</v>
          </cell>
          <cell r="L214">
            <v>0</v>
          </cell>
        </row>
        <row r="215">
          <cell r="A215">
            <v>2</v>
          </cell>
          <cell r="B215">
            <v>1</v>
          </cell>
          <cell r="C215">
            <v>817</v>
          </cell>
          <cell r="D215" t="str">
            <v xml:space="preserve">  </v>
          </cell>
          <cell r="E215" t="str">
            <v xml:space="preserve">    </v>
          </cell>
          <cell r="F215" t="str">
            <v xml:space="preserve">   </v>
          </cell>
          <cell r="G215">
            <v>21817</v>
          </cell>
          <cell r="H215">
            <v>1159.18</v>
          </cell>
          <cell r="I215">
            <v>1159.18</v>
          </cell>
          <cell r="J215">
            <v>0</v>
          </cell>
          <cell r="K215">
            <v>0</v>
          </cell>
          <cell r="L215">
            <v>0</v>
          </cell>
        </row>
        <row r="216">
          <cell r="A216">
            <v>1</v>
          </cell>
          <cell r="B216">
            <v>1</v>
          </cell>
          <cell r="C216">
            <v>818</v>
          </cell>
          <cell r="D216" t="str">
            <v xml:space="preserve">  </v>
          </cell>
          <cell r="E216" t="str">
            <v xml:space="preserve">    </v>
          </cell>
          <cell r="F216" t="str">
            <v xml:space="preserve">   </v>
          </cell>
          <cell r="G216">
            <v>11818</v>
          </cell>
          <cell r="H216">
            <v>7182.6</v>
          </cell>
          <cell r="I216">
            <v>7182.6</v>
          </cell>
          <cell r="J216">
            <v>0</v>
          </cell>
          <cell r="K216">
            <v>0</v>
          </cell>
          <cell r="L216">
            <v>0</v>
          </cell>
        </row>
        <row r="217">
          <cell r="A217">
            <v>2</v>
          </cell>
          <cell r="B217">
            <v>1</v>
          </cell>
          <cell r="C217">
            <v>818</v>
          </cell>
          <cell r="D217" t="str">
            <v xml:space="preserve">  </v>
          </cell>
          <cell r="E217" t="str">
            <v xml:space="preserve">    </v>
          </cell>
          <cell r="F217" t="str">
            <v xml:space="preserve">   </v>
          </cell>
          <cell r="G217">
            <v>21818</v>
          </cell>
          <cell r="H217">
            <v>64960.43</v>
          </cell>
          <cell r="I217">
            <v>64960.43</v>
          </cell>
          <cell r="J217">
            <v>0</v>
          </cell>
          <cell r="K217">
            <v>0</v>
          </cell>
          <cell r="L217">
            <v>0</v>
          </cell>
        </row>
        <row r="218">
          <cell r="A218">
            <v>1</v>
          </cell>
          <cell r="B218">
            <v>1</v>
          </cell>
          <cell r="C218">
            <v>819</v>
          </cell>
          <cell r="D218" t="str">
            <v xml:space="preserve">  </v>
          </cell>
          <cell r="E218" t="str">
            <v xml:space="preserve">    </v>
          </cell>
          <cell r="F218" t="str">
            <v xml:space="preserve">   </v>
          </cell>
          <cell r="G218">
            <v>11819</v>
          </cell>
          <cell r="H218">
            <v>442.93</v>
          </cell>
          <cell r="I218">
            <v>442.93</v>
          </cell>
          <cell r="J218">
            <v>0</v>
          </cell>
          <cell r="K218">
            <v>0</v>
          </cell>
          <cell r="L218">
            <v>0</v>
          </cell>
        </row>
        <row r="219">
          <cell r="A219">
            <v>2</v>
          </cell>
          <cell r="B219">
            <v>1</v>
          </cell>
          <cell r="C219">
            <v>819</v>
          </cell>
          <cell r="D219" t="str">
            <v xml:space="preserve">  </v>
          </cell>
          <cell r="E219" t="str">
            <v xml:space="preserve">    </v>
          </cell>
          <cell r="F219" t="str">
            <v xml:space="preserve">   </v>
          </cell>
          <cell r="G219">
            <v>21819</v>
          </cell>
          <cell r="H219">
            <v>6123.74</v>
          </cell>
          <cell r="I219">
            <v>6123.74</v>
          </cell>
          <cell r="J219">
            <v>0</v>
          </cell>
          <cell r="K219">
            <v>0</v>
          </cell>
          <cell r="L219">
            <v>0</v>
          </cell>
        </row>
        <row r="220">
          <cell r="A220">
            <v>1</v>
          </cell>
          <cell r="B220">
            <v>1</v>
          </cell>
          <cell r="C220">
            <v>820</v>
          </cell>
          <cell r="D220" t="str">
            <v xml:space="preserve">  </v>
          </cell>
          <cell r="E220" t="str">
            <v xml:space="preserve">    </v>
          </cell>
          <cell r="F220" t="str">
            <v xml:space="preserve">   </v>
          </cell>
          <cell r="G220">
            <v>11820</v>
          </cell>
          <cell r="H220">
            <v>2425.87</v>
          </cell>
          <cell r="I220">
            <v>2425.87</v>
          </cell>
          <cell r="J220">
            <v>0</v>
          </cell>
          <cell r="K220">
            <v>0</v>
          </cell>
          <cell r="L220">
            <v>0</v>
          </cell>
        </row>
        <row r="221">
          <cell r="A221">
            <v>2</v>
          </cell>
          <cell r="B221">
            <v>1</v>
          </cell>
          <cell r="C221">
            <v>820</v>
          </cell>
          <cell r="D221" t="str">
            <v xml:space="preserve">  </v>
          </cell>
          <cell r="E221" t="str">
            <v xml:space="preserve">    </v>
          </cell>
          <cell r="F221" t="str">
            <v xml:space="preserve">   </v>
          </cell>
          <cell r="G221">
            <v>21820</v>
          </cell>
          <cell r="H221">
            <v>24811.69</v>
          </cell>
          <cell r="I221">
            <v>24811.69</v>
          </cell>
          <cell r="J221">
            <v>0</v>
          </cell>
          <cell r="K221">
            <v>0</v>
          </cell>
          <cell r="L221">
            <v>0</v>
          </cell>
        </row>
        <row r="222">
          <cell r="A222">
            <v>1</v>
          </cell>
          <cell r="B222">
            <v>1</v>
          </cell>
          <cell r="C222">
            <v>821</v>
          </cell>
          <cell r="D222" t="str">
            <v xml:space="preserve">  </v>
          </cell>
          <cell r="E222" t="str">
            <v xml:space="preserve">    </v>
          </cell>
          <cell r="F222" t="str">
            <v xml:space="preserve">   </v>
          </cell>
          <cell r="G222">
            <v>11821</v>
          </cell>
          <cell r="H222">
            <v>860.79</v>
          </cell>
          <cell r="I222">
            <v>860.79</v>
          </cell>
          <cell r="J222">
            <v>0</v>
          </cell>
          <cell r="K222">
            <v>0</v>
          </cell>
          <cell r="L222">
            <v>0</v>
          </cell>
        </row>
        <row r="223">
          <cell r="A223">
            <v>2</v>
          </cell>
          <cell r="B223">
            <v>1</v>
          </cell>
          <cell r="C223">
            <v>821</v>
          </cell>
          <cell r="D223" t="str">
            <v xml:space="preserve">  </v>
          </cell>
          <cell r="E223" t="str">
            <v xml:space="preserve">    </v>
          </cell>
          <cell r="F223" t="str">
            <v xml:space="preserve">   </v>
          </cell>
          <cell r="G223">
            <v>21821</v>
          </cell>
          <cell r="H223">
            <v>6906.25</v>
          </cell>
          <cell r="I223">
            <v>6906.25</v>
          </cell>
          <cell r="J223">
            <v>0</v>
          </cell>
          <cell r="K223">
            <v>0</v>
          </cell>
          <cell r="L223">
            <v>0</v>
          </cell>
        </row>
        <row r="224">
          <cell r="A224">
            <v>1</v>
          </cell>
          <cell r="B224">
            <v>1</v>
          </cell>
          <cell r="C224">
            <v>824</v>
          </cell>
          <cell r="D224" t="str">
            <v xml:space="preserve">  </v>
          </cell>
          <cell r="E224" t="str">
            <v xml:space="preserve">    </v>
          </cell>
          <cell r="F224" t="str">
            <v xml:space="preserve">   </v>
          </cell>
          <cell r="G224">
            <v>11824</v>
          </cell>
          <cell r="H224">
            <v>1398.39</v>
          </cell>
          <cell r="I224">
            <v>1398.39</v>
          </cell>
          <cell r="J224">
            <v>0</v>
          </cell>
          <cell r="K224">
            <v>0</v>
          </cell>
          <cell r="L224">
            <v>0</v>
          </cell>
        </row>
        <row r="225">
          <cell r="A225">
            <v>2</v>
          </cell>
          <cell r="B225">
            <v>1</v>
          </cell>
          <cell r="C225">
            <v>824</v>
          </cell>
          <cell r="D225" t="str">
            <v xml:space="preserve">  </v>
          </cell>
          <cell r="E225" t="str">
            <v xml:space="preserve">    </v>
          </cell>
          <cell r="F225" t="str">
            <v xml:space="preserve">   </v>
          </cell>
          <cell r="G225">
            <v>21824</v>
          </cell>
          <cell r="H225">
            <v>20034.689999999999</v>
          </cell>
          <cell r="I225">
            <v>20034.689999999999</v>
          </cell>
          <cell r="J225">
            <v>0</v>
          </cell>
          <cell r="K225">
            <v>0</v>
          </cell>
          <cell r="L225">
            <v>0</v>
          </cell>
        </row>
        <row r="226">
          <cell r="A226">
            <v>1</v>
          </cell>
          <cell r="B226">
            <v>1</v>
          </cell>
          <cell r="C226">
            <v>825</v>
          </cell>
          <cell r="D226" t="str">
            <v xml:space="preserve">  </v>
          </cell>
          <cell r="E226" t="str">
            <v xml:space="preserve">    </v>
          </cell>
          <cell r="F226" t="str">
            <v xml:space="preserve">   </v>
          </cell>
          <cell r="G226">
            <v>11825</v>
          </cell>
          <cell r="H226">
            <v>26.13</v>
          </cell>
          <cell r="I226">
            <v>26.13</v>
          </cell>
          <cell r="J226">
            <v>0</v>
          </cell>
          <cell r="K226">
            <v>0</v>
          </cell>
          <cell r="L226">
            <v>0</v>
          </cell>
        </row>
        <row r="227">
          <cell r="A227">
            <v>2</v>
          </cell>
          <cell r="B227">
            <v>1</v>
          </cell>
          <cell r="C227">
            <v>825</v>
          </cell>
          <cell r="D227" t="str">
            <v xml:space="preserve">  </v>
          </cell>
          <cell r="E227" t="str">
            <v xml:space="preserve">    </v>
          </cell>
          <cell r="F227" t="str">
            <v xml:space="preserve">   </v>
          </cell>
          <cell r="G227">
            <v>21825</v>
          </cell>
          <cell r="H227">
            <v>42062.37</v>
          </cell>
          <cell r="I227">
            <v>42062.37</v>
          </cell>
          <cell r="J227">
            <v>0</v>
          </cell>
          <cell r="K227">
            <v>0</v>
          </cell>
          <cell r="L227">
            <v>0</v>
          </cell>
        </row>
        <row r="228">
          <cell r="A228">
            <v>1</v>
          </cell>
          <cell r="B228">
            <v>1</v>
          </cell>
          <cell r="C228">
            <v>826</v>
          </cell>
          <cell r="D228" t="str">
            <v xml:space="preserve">  </v>
          </cell>
          <cell r="E228" t="str">
            <v xml:space="preserve">    </v>
          </cell>
          <cell r="F228" t="str">
            <v xml:space="preserve">   </v>
          </cell>
          <cell r="G228">
            <v>11826</v>
          </cell>
          <cell r="H228">
            <v>-106.66</v>
          </cell>
          <cell r="I228">
            <v>-106.66</v>
          </cell>
          <cell r="J228">
            <v>0</v>
          </cell>
          <cell r="K228">
            <v>0</v>
          </cell>
          <cell r="L228">
            <v>0</v>
          </cell>
        </row>
        <row r="229">
          <cell r="A229">
            <v>2</v>
          </cell>
          <cell r="B229">
            <v>1</v>
          </cell>
          <cell r="C229">
            <v>826</v>
          </cell>
          <cell r="D229" t="str">
            <v xml:space="preserve">  </v>
          </cell>
          <cell r="E229" t="str">
            <v xml:space="preserve">    </v>
          </cell>
          <cell r="F229" t="str">
            <v xml:space="preserve">   </v>
          </cell>
          <cell r="G229">
            <v>21826</v>
          </cell>
          <cell r="H229">
            <v>-2489.48</v>
          </cell>
          <cell r="I229">
            <v>-2489.48</v>
          </cell>
          <cell r="J229">
            <v>0</v>
          </cell>
          <cell r="K229">
            <v>0</v>
          </cell>
          <cell r="L229">
            <v>0</v>
          </cell>
        </row>
        <row r="230">
          <cell r="A230">
            <v>1</v>
          </cell>
          <cell r="B230">
            <v>1</v>
          </cell>
          <cell r="C230">
            <v>830</v>
          </cell>
          <cell r="D230" t="str">
            <v xml:space="preserve">  </v>
          </cell>
          <cell r="E230" t="str">
            <v xml:space="preserve">    </v>
          </cell>
          <cell r="F230" t="str">
            <v xml:space="preserve">   </v>
          </cell>
          <cell r="G230">
            <v>11830</v>
          </cell>
          <cell r="H230">
            <v>167.63</v>
          </cell>
          <cell r="I230">
            <v>167.63</v>
          </cell>
          <cell r="J230">
            <v>0</v>
          </cell>
          <cell r="K230">
            <v>0</v>
          </cell>
          <cell r="L230">
            <v>0</v>
          </cell>
        </row>
        <row r="231">
          <cell r="A231">
            <v>2</v>
          </cell>
          <cell r="B231">
            <v>1</v>
          </cell>
          <cell r="C231">
            <v>830</v>
          </cell>
          <cell r="D231" t="str">
            <v xml:space="preserve">  </v>
          </cell>
          <cell r="E231" t="str">
            <v xml:space="preserve">    </v>
          </cell>
          <cell r="F231" t="str">
            <v xml:space="preserve">   </v>
          </cell>
          <cell r="G231">
            <v>21830</v>
          </cell>
          <cell r="H231">
            <v>49444.6</v>
          </cell>
          <cell r="I231">
            <v>49444.6</v>
          </cell>
          <cell r="J231">
            <v>0</v>
          </cell>
          <cell r="K231">
            <v>0</v>
          </cell>
          <cell r="L231">
            <v>0</v>
          </cell>
        </row>
        <row r="232">
          <cell r="A232">
            <v>1</v>
          </cell>
          <cell r="B232">
            <v>1</v>
          </cell>
          <cell r="C232">
            <v>831</v>
          </cell>
          <cell r="D232" t="str">
            <v xml:space="preserve">  </v>
          </cell>
          <cell r="E232" t="str">
            <v xml:space="preserve">    </v>
          </cell>
          <cell r="F232" t="str">
            <v xml:space="preserve">   </v>
          </cell>
          <cell r="G232">
            <v>11831</v>
          </cell>
          <cell r="H232">
            <v>39.130000000000003</v>
          </cell>
          <cell r="I232">
            <v>39.130000000000003</v>
          </cell>
          <cell r="J232">
            <v>0</v>
          </cell>
          <cell r="K232">
            <v>0</v>
          </cell>
          <cell r="L232">
            <v>0</v>
          </cell>
        </row>
        <row r="233">
          <cell r="A233">
            <v>2</v>
          </cell>
          <cell r="B233">
            <v>1</v>
          </cell>
          <cell r="C233">
            <v>831</v>
          </cell>
          <cell r="D233" t="str">
            <v xml:space="preserve">  </v>
          </cell>
          <cell r="E233" t="str">
            <v xml:space="preserve">    </v>
          </cell>
          <cell r="F233" t="str">
            <v xml:space="preserve">   </v>
          </cell>
          <cell r="G233">
            <v>21831</v>
          </cell>
          <cell r="H233">
            <v>7710.93</v>
          </cell>
          <cell r="I233">
            <v>7710.93</v>
          </cell>
          <cell r="J233">
            <v>0</v>
          </cell>
          <cell r="K233">
            <v>0</v>
          </cell>
          <cell r="L233">
            <v>0</v>
          </cell>
        </row>
        <row r="234">
          <cell r="A234">
            <v>1</v>
          </cell>
          <cell r="B234">
            <v>1</v>
          </cell>
          <cell r="C234">
            <v>832</v>
          </cell>
          <cell r="D234" t="str">
            <v xml:space="preserve">  </v>
          </cell>
          <cell r="E234" t="str">
            <v xml:space="preserve">    </v>
          </cell>
          <cell r="F234" t="str">
            <v xml:space="preserve">   </v>
          </cell>
          <cell r="G234">
            <v>11832</v>
          </cell>
          <cell r="H234">
            <v>3100.8</v>
          </cell>
          <cell r="I234">
            <v>3100.8</v>
          </cell>
          <cell r="J234">
            <v>0</v>
          </cell>
          <cell r="K234">
            <v>0</v>
          </cell>
          <cell r="L234">
            <v>0</v>
          </cell>
        </row>
        <row r="235">
          <cell r="A235">
            <v>2</v>
          </cell>
          <cell r="B235">
            <v>1</v>
          </cell>
          <cell r="C235">
            <v>832</v>
          </cell>
          <cell r="D235" t="str">
            <v xml:space="preserve">  </v>
          </cell>
          <cell r="E235" t="str">
            <v xml:space="preserve">    </v>
          </cell>
          <cell r="F235" t="str">
            <v xml:space="preserve">   </v>
          </cell>
          <cell r="G235">
            <v>21832</v>
          </cell>
          <cell r="H235">
            <v>20776.46</v>
          </cell>
          <cell r="I235">
            <v>20776.46</v>
          </cell>
          <cell r="J235">
            <v>0</v>
          </cell>
          <cell r="K235">
            <v>0</v>
          </cell>
          <cell r="L235">
            <v>0</v>
          </cell>
        </row>
        <row r="236">
          <cell r="A236">
            <v>1</v>
          </cell>
          <cell r="B236">
            <v>1</v>
          </cell>
          <cell r="C236">
            <v>833</v>
          </cell>
          <cell r="D236" t="str">
            <v xml:space="preserve">  </v>
          </cell>
          <cell r="E236" t="str">
            <v xml:space="preserve">    </v>
          </cell>
          <cell r="F236" t="str">
            <v xml:space="preserve">   </v>
          </cell>
          <cell r="G236">
            <v>11833</v>
          </cell>
          <cell r="H236">
            <v>841.23</v>
          </cell>
          <cell r="I236">
            <v>841.23</v>
          </cell>
          <cell r="J236">
            <v>0</v>
          </cell>
          <cell r="K236">
            <v>0</v>
          </cell>
          <cell r="L236">
            <v>0</v>
          </cell>
        </row>
        <row r="237">
          <cell r="A237">
            <v>2</v>
          </cell>
          <cell r="B237">
            <v>1</v>
          </cell>
          <cell r="C237">
            <v>833</v>
          </cell>
          <cell r="D237" t="str">
            <v xml:space="preserve">  </v>
          </cell>
          <cell r="E237" t="str">
            <v xml:space="preserve">    </v>
          </cell>
          <cell r="F237" t="str">
            <v xml:space="preserve">   </v>
          </cell>
          <cell r="G237">
            <v>21833</v>
          </cell>
          <cell r="H237">
            <v>4874.54</v>
          </cell>
          <cell r="I237">
            <v>4874.54</v>
          </cell>
          <cell r="J237">
            <v>0</v>
          </cell>
          <cell r="K237">
            <v>0</v>
          </cell>
          <cell r="L237">
            <v>0</v>
          </cell>
        </row>
        <row r="238">
          <cell r="A238">
            <v>1</v>
          </cell>
          <cell r="B238">
            <v>1</v>
          </cell>
          <cell r="C238">
            <v>834</v>
          </cell>
          <cell r="D238" t="str">
            <v xml:space="preserve">  </v>
          </cell>
          <cell r="E238" t="str">
            <v xml:space="preserve">    </v>
          </cell>
          <cell r="F238" t="str">
            <v xml:space="preserve">   </v>
          </cell>
          <cell r="G238">
            <v>11834</v>
          </cell>
          <cell r="H238">
            <v>2965.05</v>
          </cell>
          <cell r="I238">
            <v>2965.05</v>
          </cell>
          <cell r="J238">
            <v>0</v>
          </cell>
          <cell r="K238">
            <v>0</v>
          </cell>
          <cell r="L238">
            <v>0</v>
          </cell>
        </row>
        <row r="239">
          <cell r="A239">
            <v>2</v>
          </cell>
          <cell r="B239">
            <v>1</v>
          </cell>
          <cell r="C239">
            <v>834</v>
          </cell>
          <cell r="D239" t="str">
            <v xml:space="preserve">  </v>
          </cell>
          <cell r="E239" t="str">
            <v xml:space="preserve">    </v>
          </cell>
          <cell r="F239" t="str">
            <v xml:space="preserve">   </v>
          </cell>
          <cell r="G239">
            <v>21834</v>
          </cell>
          <cell r="H239">
            <v>33228.81</v>
          </cell>
          <cell r="I239">
            <v>33228.81</v>
          </cell>
          <cell r="J239">
            <v>0</v>
          </cell>
          <cell r="K239">
            <v>0</v>
          </cell>
          <cell r="L239">
            <v>0</v>
          </cell>
        </row>
        <row r="240">
          <cell r="A240">
            <v>1</v>
          </cell>
          <cell r="B240">
            <v>1</v>
          </cell>
          <cell r="C240">
            <v>836</v>
          </cell>
          <cell r="D240" t="str">
            <v xml:space="preserve">  </v>
          </cell>
          <cell r="E240" t="str">
            <v xml:space="preserve">    </v>
          </cell>
          <cell r="F240" t="str">
            <v xml:space="preserve">   </v>
          </cell>
          <cell r="G240">
            <v>11836</v>
          </cell>
          <cell r="H240">
            <v>3325.76</v>
          </cell>
          <cell r="I240">
            <v>3325.76</v>
          </cell>
          <cell r="J240">
            <v>0</v>
          </cell>
          <cell r="K240">
            <v>0</v>
          </cell>
          <cell r="L240">
            <v>0</v>
          </cell>
        </row>
        <row r="241">
          <cell r="A241">
            <v>2</v>
          </cell>
          <cell r="B241">
            <v>1</v>
          </cell>
          <cell r="C241">
            <v>836</v>
          </cell>
          <cell r="D241" t="str">
            <v xml:space="preserve">  </v>
          </cell>
          <cell r="E241" t="str">
            <v xml:space="preserve">    </v>
          </cell>
          <cell r="F241" t="str">
            <v xml:space="preserve">   </v>
          </cell>
          <cell r="G241">
            <v>21836</v>
          </cell>
          <cell r="H241">
            <v>22795.42</v>
          </cell>
          <cell r="I241">
            <v>22795.42</v>
          </cell>
          <cell r="J241">
            <v>0</v>
          </cell>
          <cell r="K241">
            <v>0</v>
          </cell>
          <cell r="L241">
            <v>0</v>
          </cell>
        </row>
        <row r="242">
          <cell r="A242">
            <v>1</v>
          </cell>
          <cell r="B242">
            <v>1</v>
          </cell>
          <cell r="C242">
            <v>837</v>
          </cell>
          <cell r="D242" t="str">
            <v xml:space="preserve">  </v>
          </cell>
          <cell r="E242" t="str">
            <v xml:space="preserve">    </v>
          </cell>
          <cell r="F242" t="str">
            <v xml:space="preserve">   </v>
          </cell>
          <cell r="G242">
            <v>11837</v>
          </cell>
          <cell r="H242">
            <v>743.41</v>
          </cell>
          <cell r="I242">
            <v>743.41</v>
          </cell>
          <cell r="J242">
            <v>0</v>
          </cell>
          <cell r="K242">
            <v>0</v>
          </cell>
          <cell r="L242">
            <v>0</v>
          </cell>
        </row>
        <row r="243">
          <cell r="A243">
            <v>2</v>
          </cell>
          <cell r="B243">
            <v>1</v>
          </cell>
          <cell r="C243">
            <v>837</v>
          </cell>
          <cell r="D243" t="str">
            <v xml:space="preserve">  </v>
          </cell>
          <cell r="E243" t="str">
            <v xml:space="preserve">    </v>
          </cell>
          <cell r="F243" t="str">
            <v xml:space="preserve">   </v>
          </cell>
          <cell r="G243">
            <v>21837</v>
          </cell>
          <cell r="H243">
            <v>7191.02</v>
          </cell>
          <cell r="I243">
            <v>7191.02</v>
          </cell>
          <cell r="J243">
            <v>0</v>
          </cell>
          <cell r="K243">
            <v>0</v>
          </cell>
          <cell r="L243">
            <v>0</v>
          </cell>
        </row>
        <row r="244">
          <cell r="A244">
            <v>1</v>
          </cell>
          <cell r="B244">
            <v>1</v>
          </cell>
          <cell r="C244">
            <v>870</v>
          </cell>
          <cell r="D244" t="str">
            <v xml:space="preserve">  </v>
          </cell>
          <cell r="E244" t="str">
            <v xml:space="preserve">    </v>
          </cell>
          <cell r="F244" t="str">
            <v xml:space="preserve">   </v>
          </cell>
          <cell r="G244">
            <v>11870</v>
          </cell>
          <cell r="H244">
            <v>25346.39</v>
          </cell>
          <cell r="I244">
            <v>18113.150000000001</v>
          </cell>
          <cell r="J244">
            <v>5740.85</v>
          </cell>
          <cell r="K244">
            <v>1492.39</v>
          </cell>
          <cell r="L244">
            <v>0</v>
          </cell>
        </row>
        <row r="245">
          <cell r="A245">
            <v>2</v>
          </cell>
          <cell r="B245">
            <v>1</v>
          </cell>
          <cell r="C245">
            <v>870</v>
          </cell>
          <cell r="D245" t="str">
            <v xml:space="preserve">  </v>
          </cell>
          <cell r="E245" t="str">
            <v xml:space="preserve">    </v>
          </cell>
          <cell r="F245" t="str">
            <v xml:space="preserve">   </v>
          </cell>
          <cell r="G245">
            <v>21870</v>
          </cell>
          <cell r="H245">
            <v>252553.96</v>
          </cell>
          <cell r="I245">
            <v>193050.73</v>
          </cell>
          <cell r="J245">
            <v>37104.15</v>
          </cell>
          <cell r="K245">
            <v>22399.08</v>
          </cell>
          <cell r="L245">
            <v>0</v>
          </cell>
        </row>
        <row r="246">
          <cell r="A246">
            <v>1</v>
          </cell>
          <cell r="B246">
            <v>1</v>
          </cell>
          <cell r="C246">
            <v>871</v>
          </cell>
          <cell r="D246" t="str">
            <v xml:space="preserve">  </v>
          </cell>
          <cell r="E246" t="str">
            <v xml:space="preserve">    </v>
          </cell>
          <cell r="F246" t="str">
            <v xml:space="preserve">   </v>
          </cell>
          <cell r="G246">
            <v>11871</v>
          </cell>
          <cell r="H246">
            <v>1509.28</v>
          </cell>
          <cell r="I246">
            <v>74.239999999999995</v>
          </cell>
          <cell r="J246">
            <v>460.03</v>
          </cell>
          <cell r="K246">
            <v>975.01</v>
          </cell>
          <cell r="L246">
            <v>0</v>
          </cell>
        </row>
        <row r="247">
          <cell r="A247">
            <v>2</v>
          </cell>
          <cell r="B247">
            <v>1</v>
          </cell>
          <cell r="C247">
            <v>871</v>
          </cell>
          <cell r="D247" t="str">
            <v xml:space="preserve">  </v>
          </cell>
          <cell r="E247" t="str">
            <v xml:space="preserve">    </v>
          </cell>
          <cell r="F247" t="str">
            <v xml:space="preserve">   </v>
          </cell>
          <cell r="G247">
            <v>21871</v>
          </cell>
          <cell r="H247">
            <v>31616.73</v>
          </cell>
          <cell r="I247">
            <v>4581.5200000000004</v>
          </cell>
          <cell r="J247">
            <v>17569.22</v>
          </cell>
          <cell r="K247">
            <v>9465.99</v>
          </cell>
          <cell r="L247">
            <v>0</v>
          </cell>
        </row>
        <row r="248">
          <cell r="A248">
            <v>1</v>
          </cell>
          <cell r="B248">
            <v>1</v>
          </cell>
          <cell r="C248">
            <v>874</v>
          </cell>
          <cell r="D248" t="str">
            <v xml:space="preserve">  </v>
          </cell>
          <cell r="E248" t="str">
            <v xml:space="preserve">    </v>
          </cell>
          <cell r="F248" t="str">
            <v xml:space="preserve">   </v>
          </cell>
          <cell r="G248">
            <v>11874</v>
          </cell>
          <cell r="H248">
            <v>94829.66</v>
          </cell>
          <cell r="I248">
            <v>5066.24</v>
          </cell>
          <cell r="J248">
            <v>64580.65</v>
          </cell>
          <cell r="K248">
            <v>25182.77</v>
          </cell>
          <cell r="L248">
            <v>0</v>
          </cell>
        </row>
        <row r="249">
          <cell r="A249">
            <v>2</v>
          </cell>
          <cell r="B249">
            <v>1</v>
          </cell>
          <cell r="C249">
            <v>874</v>
          </cell>
          <cell r="D249" t="str">
            <v xml:space="preserve">  </v>
          </cell>
          <cell r="E249" t="str">
            <v xml:space="preserve">    </v>
          </cell>
          <cell r="F249" t="str">
            <v xml:space="preserve">   </v>
          </cell>
          <cell r="G249">
            <v>21874</v>
          </cell>
          <cell r="H249">
            <v>1256366.45</v>
          </cell>
          <cell r="I249">
            <v>125780.5</v>
          </cell>
          <cell r="J249">
            <v>786318.56</v>
          </cell>
          <cell r="K249">
            <v>344267.39</v>
          </cell>
          <cell r="L249">
            <v>0</v>
          </cell>
        </row>
        <row r="250">
          <cell r="A250">
            <v>1</v>
          </cell>
          <cell r="B250">
            <v>1</v>
          </cell>
          <cell r="C250">
            <v>875</v>
          </cell>
          <cell r="D250" t="str">
            <v xml:space="preserve">  </v>
          </cell>
          <cell r="E250" t="str">
            <v xml:space="preserve">    </v>
          </cell>
          <cell r="F250" t="str">
            <v xml:space="preserve">   </v>
          </cell>
          <cell r="G250">
            <v>11875</v>
          </cell>
          <cell r="H250">
            <v>4690.7</v>
          </cell>
          <cell r="I250">
            <v>0</v>
          </cell>
          <cell r="J250">
            <v>1488.34</v>
          </cell>
          <cell r="K250">
            <v>3202.36</v>
          </cell>
          <cell r="L250">
            <v>0</v>
          </cell>
        </row>
        <row r="251">
          <cell r="A251">
            <v>2</v>
          </cell>
          <cell r="B251">
            <v>1</v>
          </cell>
          <cell r="C251">
            <v>875</v>
          </cell>
          <cell r="D251" t="str">
            <v xml:space="preserve">  </v>
          </cell>
          <cell r="E251" t="str">
            <v xml:space="preserve">    </v>
          </cell>
          <cell r="F251" t="str">
            <v xml:space="preserve">   </v>
          </cell>
          <cell r="G251">
            <v>21875</v>
          </cell>
          <cell r="H251">
            <v>42854.31</v>
          </cell>
          <cell r="I251">
            <v>174.59</v>
          </cell>
          <cell r="J251">
            <v>24676.35</v>
          </cell>
          <cell r="K251">
            <v>18003.37</v>
          </cell>
          <cell r="L251">
            <v>0</v>
          </cell>
        </row>
        <row r="252">
          <cell r="A252">
            <v>1</v>
          </cell>
          <cell r="B252">
            <v>1</v>
          </cell>
          <cell r="C252">
            <v>876</v>
          </cell>
          <cell r="D252" t="str">
            <v xml:space="preserve">  </v>
          </cell>
          <cell r="E252" t="str">
            <v xml:space="preserve">    </v>
          </cell>
          <cell r="F252" t="str">
            <v xml:space="preserve">   </v>
          </cell>
          <cell r="G252">
            <v>11876</v>
          </cell>
          <cell r="H252">
            <v>285.16000000000003</v>
          </cell>
          <cell r="I252">
            <v>0</v>
          </cell>
          <cell r="J252">
            <v>0</v>
          </cell>
          <cell r="K252">
            <v>285.16000000000003</v>
          </cell>
          <cell r="L252">
            <v>0</v>
          </cell>
        </row>
        <row r="253">
          <cell r="A253">
            <v>2</v>
          </cell>
          <cell r="B253">
            <v>1</v>
          </cell>
          <cell r="C253">
            <v>876</v>
          </cell>
          <cell r="D253" t="str">
            <v xml:space="preserve">  </v>
          </cell>
          <cell r="E253" t="str">
            <v xml:space="preserve">    </v>
          </cell>
          <cell r="F253" t="str">
            <v xml:space="preserve">   </v>
          </cell>
          <cell r="G253">
            <v>21876</v>
          </cell>
          <cell r="H253">
            <v>3711.74</v>
          </cell>
          <cell r="I253">
            <v>0</v>
          </cell>
          <cell r="J253">
            <v>1410.41</v>
          </cell>
          <cell r="K253">
            <v>2301.33</v>
          </cell>
          <cell r="L253">
            <v>0</v>
          </cell>
        </row>
        <row r="254">
          <cell r="A254">
            <v>1</v>
          </cell>
          <cell r="B254">
            <v>1</v>
          </cell>
          <cell r="C254">
            <v>877</v>
          </cell>
          <cell r="D254" t="str">
            <v xml:space="preserve">  </v>
          </cell>
          <cell r="E254" t="str">
            <v xml:space="preserve">    </v>
          </cell>
          <cell r="F254" t="str">
            <v xml:space="preserve">   </v>
          </cell>
          <cell r="G254">
            <v>11877</v>
          </cell>
          <cell r="H254">
            <v>31993.31</v>
          </cell>
          <cell r="I254">
            <v>0</v>
          </cell>
          <cell r="J254">
            <v>24315.96</v>
          </cell>
          <cell r="K254">
            <v>7677.35</v>
          </cell>
          <cell r="L254">
            <v>0</v>
          </cell>
        </row>
        <row r="255">
          <cell r="A255">
            <v>2</v>
          </cell>
          <cell r="B255">
            <v>1</v>
          </cell>
          <cell r="C255">
            <v>877</v>
          </cell>
          <cell r="D255" t="str">
            <v xml:space="preserve">  </v>
          </cell>
          <cell r="E255" t="str">
            <v xml:space="preserve">    </v>
          </cell>
          <cell r="F255" t="str">
            <v xml:space="preserve">   </v>
          </cell>
          <cell r="G255">
            <v>21877</v>
          </cell>
          <cell r="H255">
            <v>111819.26</v>
          </cell>
          <cell r="I255">
            <v>0</v>
          </cell>
          <cell r="J255">
            <v>72535.61</v>
          </cell>
          <cell r="K255">
            <v>39283.65</v>
          </cell>
          <cell r="L255">
            <v>0</v>
          </cell>
        </row>
        <row r="256">
          <cell r="A256">
            <v>1</v>
          </cell>
          <cell r="B256">
            <v>1</v>
          </cell>
          <cell r="C256">
            <v>878</v>
          </cell>
          <cell r="D256" t="str">
            <v xml:space="preserve">  </v>
          </cell>
          <cell r="E256" t="str">
            <v xml:space="preserve">    </v>
          </cell>
          <cell r="F256" t="str">
            <v xml:space="preserve">   </v>
          </cell>
          <cell r="G256">
            <v>11878</v>
          </cell>
          <cell r="H256">
            <v>45774.61</v>
          </cell>
          <cell r="I256">
            <v>183.01</v>
          </cell>
          <cell r="J256">
            <v>38979.629999999997</v>
          </cell>
          <cell r="K256">
            <v>6611.97</v>
          </cell>
          <cell r="L256">
            <v>0</v>
          </cell>
        </row>
        <row r="257">
          <cell r="A257">
            <v>2</v>
          </cell>
          <cell r="B257">
            <v>1</v>
          </cell>
          <cell r="C257">
            <v>878</v>
          </cell>
          <cell r="D257" t="str">
            <v xml:space="preserve">  </v>
          </cell>
          <cell r="E257" t="str">
            <v xml:space="preserve">    </v>
          </cell>
          <cell r="F257" t="str">
            <v xml:space="preserve">   </v>
          </cell>
          <cell r="G257">
            <v>21878</v>
          </cell>
          <cell r="H257">
            <v>467477.95</v>
          </cell>
          <cell r="I257">
            <v>-656.99</v>
          </cell>
          <cell r="J257">
            <v>319132.08</v>
          </cell>
          <cell r="K257">
            <v>149002.85999999999</v>
          </cell>
          <cell r="L257">
            <v>0</v>
          </cell>
        </row>
        <row r="258">
          <cell r="A258">
            <v>1</v>
          </cell>
          <cell r="B258">
            <v>1</v>
          </cell>
          <cell r="C258">
            <v>879</v>
          </cell>
          <cell r="D258" t="str">
            <v xml:space="preserve">  </v>
          </cell>
          <cell r="E258" t="str">
            <v xml:space="preserve">    </v>
          </cell>
          <cell r="F258" t="str">
            <v xml:space="preserve">   </v>
          </cell>
          <cell r="G258">
            <v>11879</v>
          </cell>
          <cell r="H258">
            <v>117612.34</v>
          </cell>
          <cell r="I258">
            <v>14547.03</v>
          </cell>
          <cell r="J258">
            <v>62628.13</v>
          </cell>
          <cell r="K258">
            <v>40437.18</v>
          </cell>
          <cell r="L258">
            <v>0</v>
          </cell>
        </row>
        <row r="259">
          <cell r="A259">
            <v>2</v>
          </cell>
          <cell r="B259">
            <v>1</v>
          </cell>
          <cell r="C259">
            <v>879</v>
          </cell>
          <cell r="D259" t="str">
            <v xml:space="preserve">  </v>
          </cell>
          <cell r="E259" t="str">
            <v xml:space="preserve">    </v>
          </cell>
          <cell r="F259" t="str">
            <v xml:space="preserve">   </v>
          </cell>
          <cell r="G259">
            <v>21879</v>
          </cell>
          <cell r="H259">
            <v>1054068.8899999999</v>
          </cell>
          <cell r="I259">
            <v>180505.03</v>
          </cell>
          <cell r="J259">
            <v>534272.31000000006</v>
          </cell>
          <cell r="K259">
            <v>339291.55</v>
          </cell>
          <cell r="L259">
            <v>0</v>
          </cell>
        </row>
        <row r="260">
          <cell r="A260">
            <v>1</v>
          </cell>
          <cell r="B260">
            <v>1</v>
          </cell>
          <cell r="C260">
            <v>880</v>
          </cell>
          <cell r="D260" t="str">
            <v xml:space="preserve">  </v>
          </cell>
          <cell r="E260" t="str">
            <v xml:space="preserve">    </v>
          </cell>
          <cell r="F260" t="str">
            <v xml:space="preserve">   </v>
          </cell>
          <cell r="G260">
            <v>11880</v>
          </cell>
          <cell r="H260">
            <v>178789.51</v>
          </cell>
          <cell r="I260">
            <v>152681.39000000001</v>
          </cell>
          <cell r="J260">
            <v>19066.48</v>
          </cell>
          <cell r="K260">
            <v>7041.64</v>
          </cell>
          <cell r="L260">
            <v>0</v>
          </cell>
        </row>
        <row r="261">
          <cell r="A261">
            <v>2</v>
          </cell>
          <cell r="B261">
            <v>1</v>
          </cell>
          <cell r="C261">
            <v>880</v>
          </cell>
          <cell r="D261" t="str">
            <v xml:space="preserve">  </v>
          </cell>
          <cell r="E261" t="str">
            <v xml:space="preserve">    </v>
          </cell>
          <cell r="F261" t="str">
            <v xml:space="preserve">   </v>
          </cell>
          <cell r="G261">
            <v>21880</v>
          </cell>
          <cell r="H261">
            <v>581985.51</v>
          </cell>
          <cell r="I261">
            <v>212874.48</v>
          </cell>
          <cell r="J261">
            <v>287386.84999999998</v>
          </cell>
          <cell r="K261">
            <v>81724.179999999993</v>
          </cell>
          <cell r="L261">
            <v>0</v>
          </cell>
        </row>
        <row r="262">
          <cell r="A262">
            <v>1</v>
          </cell>
          <cell r="B262">
            <v>1</v>
          </cell>
          <cell r="C262">
            <v>881</v>
          </cell>
          <cell r="D262" t="str">
            <v xml:space="preserve">  </v>
          </cell>
          <cell r="E262" t="str">
            <v xml:space="preserve">    </v>
          </cell>
          <cell r="F262" t="str">
            <v xml:space="preserve">   </v>
          </cell>
          <cell r="G262">
            <v>11881</v>
          </cell>
          <cell r="H262">
            <v>441.79</v>
          </cell>
          <cell r="I262">
            <v>0</v>
          </cell>
          <cell r="J262">
            <v>393.24</v>
          </cell>
          <cell r="K262">
            <v>48.55</v>
          </cell>
          <cell r="L262">
            <v>0</v>
          </cell>
        </row>
        <row r="263">
          <cell r="A263">
            <v>2</v>
          </cell>
          <cell r="B263">
            <v>1</v>
          </cell>
          <cell r="C263">
            <v>881</v>
          </cell>
          <cell r="D263" t="str">
            <v xml:space="preserve">  </v>
          </cell>
          <cell r="E263" t="str">
            <v xml:space="preserve">    </v>
          </cell>
          <cell r="F263" t="str">
            <v xml:space="preserve">   </v>
          </cell>
          <cell r="G263">
            <v>21881</v>
          </cell>
          <cell r="H263">
            <v>8325.73</v>
          </cell>
          <cell r="I263">
            <v>0</v>
          </cell>
          <cell r="J263">
            <v>6891.24</v>
          </cell>
          <cell r="K263">
            <v>1434.49</v>
          </cell>
          <cell r="L263">
            <v>0</v>
          </cell>
        </row>
        <row r="264">
          <cell r="A264">
            <v>1</v>
          </cell>
          <cell r="B264">
            <v>1</v>
          </cell>
          <cell r="C264">
            <v>885</v>
          </cell>
          <cell r="D264" t="str">
            <v xml:space="preserve">  </v>
          </cell>
          <cell r="E264" t="str">
            <v xml:space="preserve">    </v>
          </cell>
          <cell r="F264" t="str">
            <v xml:space="preserve">   </v>
          </cell>
          <cell r="G264">
            <v>11885</v>
          </cell>
          <cell r="H264">
            <v>1703.6</v>
          </cell>
          <cell r="I264">
            <v>227.13</v>
          </cell>
          <cell r="J264">
            <v>1476.47</v>
          </cell>
          <cell r="K264">
            <v>0</v>
          </cell>
          <cell r="L264">
            <v>0</v>
          </cell>
        </row>
        <row r="265">
          <cell r="A265">
            <v>2</v>
          </cell>
          <cell r="B265">
            <v>1</v>
          </cell>
          <cell r="C265">
            <v>885</v>
          </cell>
          <cell r="D265" t="str">
            <v xml:space="preserve">  </v>
          </cell>
          <cell r="E265" t="str">
            <v xml:space="preserve">    </v>
          </cell>
          <cell r="F265" t="str">
            <v xml:space="preserve">   </v>
          </cell>
          <cell r="G265">
            <v>21885</v>
          </cell>
          <cell r="H265">
            <v>15957.67</v>
          </cell>
          <cell r="I265">
            <v>1984.49</v>
          </cell>
          <cell r="J265">
            <v>13973.18</v>
          </cell>
          <cell r="K265">
            <v>0</v>
          </cell>
          <cell r="L265">
            <v>0</v>
          </cell>
        </row>
        <row r="266">
          <cell r="A266">
            <v>1</v>
          </cell>
          <cell r="B266">
            <v>1</v>
          </cell>
          <cell r="C266">
            <v>887</v>
          </cell>
          <cell r="D266" t="str">
            <v xml:space="preserve">  </v>
          </cell>
          <cell r="E266" t="str">
            <v xml:space="preserve">    </v>
          </cell>
          <cell r="F266" t="str">
            <v xml:space="preserve">   </v>
          </cell>
          <cell r="G266">
            <v>11887</v>
          </cell>
          <cell r="H266">
            <v>62806.45</v>
          </cell>
          <cell r="I266">
            <v>3183.16</v>
          </cell>
          <cell r="J266">
            <v>48651.71</v>
          </cell>
          <cell r="K266">
            <v>10971.58</v>
          </cell>
          <cell r="L266">
            <v>0</v>
          </cell>
        </row>
        <row r="267">
          <cell r="A267">
            <v>2</v>
          </cell>
          <cell r="B267">
            <v>1</v>
          </cell>
          <cell r="C267">
            <v>887</v>
          </cell>
          <cell r="D267" t="str">
            <v xml:space="preserve">  </v>
          </cell>
          <cell r="E267" t="str">
            <v xml:space="preserve">    </v>
          </cell>
          <cell r="F267" t="str">
            <v xml:space="preserve">   </v>
          </cell>
          <cell r="G267">
            <v>21887</v>
          </cell>
          <cell r="H267">
            <v>808040.1</v>
          </cell>
          <cell r="I267">
            <v>57553.35</v>
          </cell>
          <cell r="J267">
            <v>615157.4</v>
          </cell>
          <cell r="K267">
            <v>135329.35</v>
          </cell>
          <cell r="L267">
            <v>0</v>
          </cell>
        </row>
        <row r="268">
          <cell r="A268">
            <v>1</v>
          </cell>
          <cell r="B268">
            <v>1</v>
          </cell>
          <cell r="C268">
            <v>889</v>
          </cell>
          <cell r="D268" t="str">
            <v xml:space="preserve">  </v>
          </cell>
          <cell r="E268" t="str">
            <v xml:space="preserve">    </v>
          </cell>
          <cell r="F268" t="str">
            <v xml:space="preserve">   </v>
          </cell>
          <cell r="G268">
            <v>11889</v>
          </cell>
          <cell r="H268">
            <v>5553.59</v>
          </cell>
          <cell r="I268">
            <v>1448.27</v>
          </cell>
          <cell r="J268">
            <v>2018.22</v>
          </cell>
          <cell r="K268">
            <v>2087.1</v>
          </cell>
          <cell r="L268">
            <v>0</v>
          </cell>
        </row>
        <row r="269">
          <cell r="A269">
            <v>2</v>
          </cell>
          <cell r="B269">
            <v>1</v>
          </cell>
          <cell r="C269">
            <v>889</v>
          </cell>
          <cell r="D269" t="str">
            <v xml:space="preserve">  </v>
          </cell>
          <cell r="E269" t="str">
            <v xml:space="preserve">    </v>
          </cell>
          <cell r="F269" t="str">
            <v xml:space="preserve">   </v>
          </cell>
          <cell r="G269">
            <v>21889</v>
          </cell>
          <cell r="H269">
            <v>117041.02</v>
          </cell>
          <cell r="I269">
            <v>6705.87</v>
          </cell>
          <cell r="J269">
            <v>75341.539999999994</v>
          </cell>
          <cell r="K269">
            <v>34993.61</v>
          </cell>
          <cell r="L269">
            <v>0</v>
          </cell>
        </row>
        <row r="270">
          <cell r="A270">
            <v>1</v>
          </cell>
          <cell r="B270">
            <v>1</v>
          </cell>
          <cell r="C270">
            <v>890</v>
          </cell>
          <cell r="D270" t="str">
            <v xml:space="preserve">  </v>
          </cell>
          <cell r="E270" t="str">
            <v xml:space="preserve">    </v>
          </cell>
          <cell r="F270" t="str">
            <v xml:space="preserve">   </v>
          </cell>
          <cell r="G270">
            <v>11890</v>
          </cell>
          <cell r="H270">
            <v>13087.09</v>
          </cell>
          <cell r="I270">
            <v>10386.790000000001</v>
          </cell>
          <cell r="J270">
            <v>1986.06</v>
          </cell>
          <cell r="K270">
            <v>714.24</v>
          </cell>
          <cell r="L270">
            <v>0</v>
          </cell>
        </row>
        <row r="271">
          <cell r="A271">
            <v>2</v>
          </cell>
          <cell r="B271">
            <v>1</v>
          </cell>
          <cell r="C271">
            <v>890</v>
          </cell>
          <cell r="D271" t="str">
            <v xml:space="preserve">  </v>
          </cell>
          <cell r="E271" t="str">
            <v xml:space="preserve">    </v>
          </cell>
          <cell r="F271" t="str">
            <v xml:space="preserve">   </v>
          </cell>
          <cell r="G271">
            <v>21890</v>
          </cell>
          <cell r="H271">
            <v>117732.48</v>
          </cell>
          <cell r="I271">
            <v>77485.45</v>
          </cell>
          <cell r="J271">
            <v>24490.37</v>
          </cell>
          <cell r="K271">
            <v>15756.66</v>
          </cell>
          <cell r="L271">
            <v>0</v>
          </cell>
        </row>
        <row r="272">
          <cell r="A272">
            <v>1</v>
          </cell>
          <cell r="B272">
            <v>1</v>
          </cell>
          <cell r="C272">
            <v>891</v>
          </cell>
          <cell r="D272" t="str">
            <v xml:space="preserve">  </v>
          </cell>
          <cell r="E272" t="str">
            <v xml:space="preserve">    </v>
          </cell>
          <cell r="F272" t="str">
            <v xml:space="preserve">   </v>
          </cell>
          <cell r="G272">
            <v>11891</v>
          </cell>
          <cell r="H272">
            <v>7927.66</v>
          </cell>
          <cell r="I272">
            <v>0</v>
          </cell>
          <cell r="J272">
            <v>4478.95</v>
          </cell>
          <cell r="K272">
            <v>3448.71</v>
          </cell>
          <cell r="L272">
            <v>0</v>
          </cell>
        </row>
        <row r="273">
          <cell r="A273">
            <v>2</v>
          </cell>
          <cell r="B273">
            <v>1</v>
          </cell>
          <cell r="C273">
            <v>891</v>
          </cell>
          <cell r="D273" t="str">
            <v xml:space="preserve">  </v>
          </cell>
          <cell r="E273" t="str">
            <v xml:space="preserve">    </v>
          </cell>
          <cell r="F273" t="str">
            <v xml:space="preserve">   </v>
          </cell>
          <cell r="G273">
            <v>21891</v>
          </cell>
          <cell r="H273">
            <v>42584.12</v>
          </cell>
          <cell r="I273">
            <v>94.02</v>
          </cell>
          <cell r="J273">
            <v>23591.98</v>
          </cell>
          <cell r="K273">
            <v>18898.12</v>
          </cell>
          <cell r="L273">
            <v>0</v>
          </cell>
        </row>
        <row r="274">
          <cell r="A274">
            <v>1</v>
          </cell>
          <cell r="B274">
            <v>1</v>
          </cell>
          <cell r="C274">
            <v>892</v>
          </cell>
          <cell r="D274" t="str">
            <v xml:space="preserve">  </v>
          </cell>
          <cell r="E274" t="str">
            <v xml:space="preserve">    </v>
          </cell>
          <cell r="F274" t="str">
            <v xml:space="preserve">   </v>
          </cell>
          <cell r="G274">
            <v>11892</v>
          </cell>
          <cell r="H274">
            <v>46577.68</v>
          </cell>
          <cell r="I274">
            <v>34564.28</v>
          </cell>
          <cell r="J274">
            <v>10289.6</v>
          </cell>
          <cell r="K274">
            <v>1723.8</v>
          </cell>
          <cell r="L274">
            <v>0</v>
          </cell>
        </row>
        <row r="275">
          <cell r="A275">
            <v>2</v>
          </cell>
          <cell r="B275">
            <v>1</v>
          </cell>
          <cell r="C275">
            <v>892</v>
          </cell>
          <cell r="D275" t="str">
            <v xml:space="preserve">  </v>
          </cell>
          <cell r="E275" t="str">
            <v xml:space="preserve">    </v>
          </cell>
          <cell r="F275" t="str">
            <v xml:space="preserve">   </v>
          </cell>
          <cell r="G275">
            <v>21892</v>
          </cell>
          <cell r="H275">
            <v>267821.83</v>
          </cell>
          <cell r="I275">
            <v>34564.28</v>
          </cell>
          <cell r="J275">
            <v>164131.98000000001</v>
          </cell>
          <cell r="K275">
            <v>69125.570000000007</v>
          </cell>
          <cell r="L275">
            <v>0</v>
          </cell>
        </row>
        <row r="276">
          <cell r="A276">
            <v>1</v>
          </cell>
          <cell r="B276">
            <v>1</v>
          </cell>
          <cell r="C276">
            <v>893</v>
          </cell>
          <cell r="D276" t="str">
            <v xml:space="preserve">  </v>
          </cell>
          <cell r="E276" t="str">
            <v xml:space="preserve">    </v>
          </cell>
          <cell r="F276" t="str">
            <v xml:space="preserve">   </v>
          </cell>
          <cell r="G276">
            <v>11893</v>
          </cell>
          <cell r="H276">
            <v>28430.62</v>
          </cell>
          <cell r="I276">
            <v>12425.85</v>
          </cell>
          <cell r="J276">
            <v>10806.38</v>
          </cell>
          <cell r="K276">
            <v>5198.3900000000003</v>
          </cell>
          <cell r="L276">
            <v>0</v>
          </cell>
        </row>
        <row r="277">
          <cell r="A277">
            <v>2</v>
          </cell>
          <cell r="B277">
            <v>1</v>
          </cell>
          <cell r="C277">
            <v>893</v>
          </cell>
          <cell r="D277" t="str">
            <v xml:space="preserve">  </v>
          </cell>
          <cell r="E277" t="str">
            <v xml:space="preserve">    </v>
          </cell>
          <cell r="F277" t="str">
            <v xml:space="preserve">   </v>
          </cell>
          <cell r="G277">
            <v>21893</v>
          </cell>
          <cell r="H277">
            <v>398346.84</v>
          </cell>
          <cell r="I277">
            <v>176684.99</v>
          </cell>
          <cell r="J277">
            <v>153899.89000000001</v>
          </cell>
          <cell r="K277">
            <v>67761.960000000006</v>
          </cell>
          <cell r="L277">
            <v>0</v>
          </cell>
        </row>
        <row r="278">
          <cell r="A278">
            <v>1</v>
          </cell>
          <cell r="B278">
            <v>1</v>
          </cell>
          <cell r="C278">
            <v>901</v>
          </cell>
          <cell r="D278" t="str">
            <v xml:space="preserve">  </v>
          </cell>
          <cell r="E278" t="str">
            <v xml:space="preserve">    </v>
          </cell>
          <cell r="F278" t="str">
            <v xml:space="preserve">   </v>
          </cell>
          <cell r="G278">
            <v>11901</v>
          </cell>
          <cell r="H278">
            <v>10872.48</v>
          </cell>
          <cell r="I278">
            <v>8677.7800000000007</v>
          </cell>
          <cell r="J278">
            <v>1893.4</v>
          </cell>
          <cell r="K278">
            <v>301.3</v>
          </cell>
          <cell r="L278">
            <v>0</v>
          </cell>
        </row>
        <row r="279">
          <cell r="A279">
            <v>2</v>
          </cell>
          <cell r="B279">
            <v>1</v>
          </cell>
          <cell r="C279">
            <v>901</v>
          </cell>
          <cell r="D279" t="str">
            <v xml:space="preserve">  </v>
          </cell>
          <cell r="E279" t="str">
            <v xml:space="preserve">    </v>
          </cell>
          <cell r="F279" t="str">
            <v xml:space="preserve">   </v>
          </cell>
          <cell r="G279">
            <v>21901</v>
          </cell>
          <cell r="H279">
            <v>146597.01999999999</v>
          </cell>
          <cell r="I279">
            <v>122572.27</v>
          </cell>
          <cell r="J279">
            <v>22207.47</v>
          </cell>
          <cell r="K279">
            <v>1817.28</v>
          </cell>
          <cell r="L279">
            <v>0</v>
          </cell>
        </row>
        <row r="280">
          <cell r="A280">
            <v>1</v>
          </cell>
          <cell r="B280">
            <v>1</v>
          </cell>
          <cell r="C280">
            <v>902</v>
          </cell>
          <cell r="D280" t="str">
            <v xml:space="preserve">  </v>
          </cell>
          <cell r="E280" t="str">
            <v xml:space="preserve">    </v>
          </cell>
          <cell r="F280" t="str">
            <v xml:space="preserve">   </v>
          </cell>
          <cell r="G280">
            <v>11902</v>
          </cell>
          <cell r="H280">
            <v>99289.99</v>
          </cell>
          <cell r="I280">
            <v>169.05</v>
          </cell>
          <cell r="J280">
            <v>65336.91</v>
          </cell>
          <cell r="K280">
            <v>33784.03</v>
          </cell>
          <cell r="L280">
            <v>0</v>
          </cell>
        </row>
        <row r="281">
          <cell r="A281">
            <v>2</v>
          </cell>
          <cell r="B281">
            <v>1</v>
          </cell>
          <cell r="C281">
            <v>902</v>
          </cell>
          <cell r="D281" t="str">
            <v xml:space="preserve">  </v>
          </cell>
          <cell r="E281" t="str">
            <v xml:space="preserve">    </v>
          </cell>
          <cell r="F281" t="str">
            <v xml:space="preserve">   </v>
          </cell>
          <cell r="G281">
            <v>21902</v>
          </cell>
          <cell r="H281">
            <v>1039397.1</v>
          </cell>
          <cell r="I281">
            <v>6950.53</v>
          </cell>
          <cell r="J281">
            <v>691122.68</v>
          </cell>
          <cell r="K281">
            <v>341323.89</v>
          </cell>
          <cell r="L281">
            <v>0</v>
          </cell>
        </row>
        <row r="282">
          <cell r="A282">
            <v>1</v>
          </cell>
          <cell r="B282">
            <v>1</v>
          </cell>
          <cell r="C282">
            <v>904</v>
          </cell>
          <cell r="D282" t="str">
            <v xml:space="preserve">  </v>
          </cell>
          <cell r="E282" t="str">
            <v xml:space="preserve">    </v>
          </cell>
          <cell r="F282" t="str">
            <v xml:space="preserve">   </v>
          </cell>
          <cell r="G282">
            <v>11904</v>
          </cell>
          <cell r="H282">
            <v>115111.81</v>
          </cell>
          <cell r="I282">
            <v>115111.81</v>
          </cell>
          <cell r="J282">
            <v>0</v>
          </cell>
          <cell r="K282">
            <v>0</v>
          </cell>
          <cell r="L282">
            <v>0</v>
          </cell>
        </row>
        <row r="283">
          <cell r="A283">
            <v>2</v>
          </cell>
          <cell r="B283">
            <v>1</v>
          </cell>
          <cell r="C283">
            <v>904</v>
          </cell>
          <cell r="D283" t="str">
            <v xml:space="preserve">  </v>
          </cell>
          <cell r="E283" t="str">
            <v xml:space="preserve">    </v>
          </cell>
          <cell r="F283" t="str">
            <v xml:space="preserve">   </v>
          </cell>
          <cell r="G283">
            <v>21904</v>
          </cell>
          <cell r="H283">
            <v>690658.32</v>
          </cell>
          <cell r="I283">
            <v>690658.32</v>
          </cell>
          <cell r="J283">
            <v>0</v>
          </cell>
          <cell r="K283">
            <v>0</v>
          </cell>
          <cell r="L283">
            <v>0</v>
          </cell>
        </row>
        <row r="284">
          <cell r="A284">
            <v>1</v>
          </cell>
          <cell r="B284">
            <v>1</v>
          </cell>
          <cell r="C284">
            <v>905</v>
          </cell>
          <cell r="D284" t="str">
            <v xml:space="preserve">  </v>
          </cell>
          <cell r="E284" t="str">
            <v xml:space="preserve">    </v>
          </cell>
          <cell r="F284" t="str">
            <v xml:space="preserve">   </v>
          </cell>
          <cell r="G284">
            <v>11905</v>
          </cell>
          <cell r="H284">
            <v>6403.3</v>
          </cell>
          <cell r="I284">
            <v>6372.87</v>
          </cell>
          <cell r="J284">
            <v>30.43</v>
          </cell>
          <cell r="K284">
            <v>0</v>
          </cell>
          <cell r="L284">
            <v>0</v>
          </cell>
        </row>
        <row r="285">
          <cell r="A285">
            <v>2</v>
          </cell>
          <cell r="B285">
            <v>1</v>
          </cell>
          <cell r="C285">
            <v>905</v>
          </cell>
          <cell r="D285" t="str">
            <v xml:space="preserve">  </v>
          </cell>
          <cell r="E285" t="str">
            <v xml:space="preserve">    </v>
          </cell>
          <cell r="F285" t="str">
            <v xml:space="preserve">   </v>
          </cell>
          <cell r="G285">
            <v>21905</v>
          </cell>
          <cell r="H285">
            <v>98842.1</v>
          </cell>
          <cell r="I285">
            <v>95743.43</v>
          </cell>
          <cell r="J285">
            <v>224.04</v>
          </cell>
          <cell r="K285">
            <v>2874.63</v>
          </cell>
          <cell r="L285">
            <v>0</v>
          </cell>
        </row>
        <row r="286">
          <cell r="A286">
            <v>1</v>
          </cell>
          <cell r="B286">
            <v>1</v>
          </cell>
          <cell r="C286">
            <v>909</v>
          </cell>
          <cell r="D286" t="str">
            <v xml:space="preserve">  </v>
          </cell>
          <cell r="E286" t="str">
            <v xml:space="preserve">    </v>
          </cell>
          <cell r="F286" t="str">
            <v xml:space="preserve">   </v>
          </cell>
          <cell r="G286">
            <v>11909</v>
          </cell>
          <cell r="H286">
            <v>27422.45</v>
          </cell>
          <cell r="I286">
            <v>27405.01</v>
          </cell>
          <cell r="J286">
            <v>17.440000000000001</v>
          </cell>
          <cell r="K286">
            <v>0</v>
          </cell>
          <cell r="L286">
            <v>0</v>
          </cell>
        </row>
        <row r="287">
          <cell r="A287">
            <v>2</v>
          </cell>
          <cell r="B287">
            <v>1</v>
          </cell>
          <cell r="C287">
            <v>909</v>
          </cell>
          <cell r="D287" t="str">
            <v xml:space="preserve">  </v>
          </cell>
          <cell r="E287" t="str">
            <v xml:space="preserve">    </v>
          </cell>
          <cell r="F287" t="str">
            <v xml:space="preserve">   </v>
          </cell>
          <cell r="G287">
            <v>21909</v>
          </cell>
          <cell r="H287">
            <v>51928</v>
          </cell>
          <cell r="I287">
            <v>51336.03</v>
          </cell>
          <cell r="J287">
            <v>522.21</v>
          </cell>
          <cell r="K287">
            <v>69.760000000000005</v>
          </cell>
          <cell r="L287">
            <v>0</v>
          </cell>
        </row>
        <row r="288">
          <cell r="A288">
            <v>1</v>
          </cell>
          <cell r="B288">
            <v>1</v>
          </cell>
          <cell r="C288">
            <v>912</v>
          </cell>
          <cell r="D288" t="str">
            <v xml:space="preserve">  </v>
          </cell>
          <cell r="E288" t="str">
            <v xml:space="preserve">    </v>
          </cell>
          <cell r="F288" t="str">
            <v xml:space="preserve">   </v>
          </cell>
          <cell r="G288">
            <v>11912</v>
          </cell>
          <cell r="H288">
            <v>58994.99</v>
          </cell>
          <cell r="I288">
            <v>46911.82</v>
          </cell>
          <cell r="J288">
            <v>10955.11</v>
          </cell>
          <cell r="K288">
            <v>1128.06</v>
          </cell>
          <cell r="L288">
            <v>0</v>
          </cell>
        </row>
        <row r="289">
          <cell r="A289">
            <v>2</v>
          </cell>
          <cell r="B289">
            <v>1</v>
          </cell>
          <cell r="C289">
            <v>912</v>
          </cell>
          <cell r="D289" t="str">
            <v xml:space="preserve">  </v>
          </cell>
          <cell r="E289" t="str">
            <v xml:space="preserve">    </v>
          </cell>
          <cell r="F289" t="str">
            <v xml:space="preserve">   </v>
          </cell>
          <cell r="G289">
            <v>21912</v>
          </cell>
          <cell r="H289">
            <v>659859.17000000004</v>
          </cell>
          <cell r="I289">
            <v>537532.63</v>
          </cell>
          <cell r="J289">
            <v>99780.6</v>
          </cell>
          <cell r="K289">
            <v>22545.94</v>
          </cell>
          <cell r="L289">
            <v>0</v>
          </cell>
        </row>
        <row r="290">
          <cell r="A290">
            <v>1</v>
          </cell>
          <cell r="B290">
            <v>1</v>
          </cell>
          <cell r="C290">
            <v>920</v>
          </cell>
          <cell r="D290" t="str">
            <v xml:space="preserve">  </v>
          </cell>
          <cell r="E290" t="str">
            <v xml:space="preserve">    </v>
          </cell>
          <cell r="F290" t="str">
            <v xml:space="preserve">   </v>
          </cell>
          <cell r="G290">
            <v>11920</v>
          </cell>
          <cell r="H290">
            <v>356156.56</v>
          </cell>
          <cell r="I290">
            <v>342033.83</v>
          </cell>
          <cell r="J290">
            <v>12266.66</v>
          </cell>
          <cell r="K290">
            <v>1856.07</v>
          </cell>
          <cell r="L290">
            <v>0</v>
          </cell>
        </row>
        <row r="291">
          <cell r="A291">
            <v>2</v>
          </cell>
          <cell r="B291">
            <v>1</v>
          </cell>
          <cell r="C291">
            <v>920</v>
          </cell>
          <cell r="D291" t="str">
            <v xml:space="preserve">  </v>
          </cell>
          <cell r="E291" t="str">
            <v xml:space="preserve">    </v>
          </cell>
          <cell r="F291" t="str">
            <v xml:space="preserve">   </v>
          </cell>
          <cell r="G291">
            <v>21920</v>
          </cell>
          <cell r="H291">
            <v>3630431.1</v>
          </cell>
          <cell r="I291">
            <v>3466837.93</v>
          </cell>
          <cell r="J291">
            <v>142594.76999999999</v>
          </cell>
          <cell r="K291">
            <v>20998.400000000001</v>
          </cell>
          <cell r="L291">
            <v>0</v>
          </cell>
        </row>
        <row r="292">
          <cell r="A292">
            <v>1</v>
          </cell>
          <cell r="B292">
            <v>1</v>
          </cell>
          <cell r="C292">
            <v>921</v>
          </cell>
          <cell r="D292" t="str">
            <v xml:space="preserve">  </v>
          </cell>
          <cell r="E292" t="str">
            <v xml:space="preserve">    </v>
          </cell>
          <cell r="F292" t="str">
            <v xml:space="preserve">   </v>
          </cell>
          <cell r="G292">
            <v>11921</v>
          </cell>
          <cell r="H292">
            <v>342524.92</v>
          </cell>
          <cell r="I292">
            <v>324976.34000000003</v>
          </cell>
          <cell r="J292">
            <v>14195.88</v>
          </cell>
          <cell r="K292">
            <v>3352.7</v>
          </cell>
          <cell r="L292">
            <v>0</v>
          </cell>
        </row>
        <row r="293">
          <cell r="A293">
            <v>2</v>
          </cell>
          <cell r="B293">
            <v>1</v>
          </cell>
          <cell r="C293">
            <v>921</v>
          </cell>
          <cell r="D293" t="str">
            <v xml:space="preserve">  </v>
          </cell>
          <cell r="E293" t="str">
            <v xml:space="preserve">    </v>
          </cell>
          <cell r="F293" t="str">
            <v xml:space="preserve">   </v>
          </cell>
          <cell r="G293">
            <v>21921</v>
          </cell>
          <cell r="H293">
            <v>1635592.76</v>
          </cell>
          <cell r="I293">
            <v>1507773.3</v>
          </cell>
          <cell r="J293">
            <v>88607.15</v>
          </cell>
          <cell r="K293">
            <v>39212.31</v>
          </cell>
          <cell r="L293">
            <v>0</v>
          </cell>
        </row>
        <row r="294">
          <cell r="A294">
            <v>1</v>
          </cell>
          <cell r="B294">
            <v>1</v>
          </cell>
          <cell r="C294">
            <v>922</v>
          </cell>
          <cell r="D294" t="str">
            <v xml:space="preserve">  </v>
          </cell>
          <cell r="E294" t="str">
            <v xml:space="preserve">    </v>
          </cell>
          <cell r="F294" t="str">
            <v xml:space="preserve">   </v>
          </cell>
          <cell r="G294">
            <v>11922</v>
          </cell>
          <cell r="H294">
            <v>-500.47</v>
          </cell>
          <cell r="I294">
            <v>-500.47</v>
          </cell>
          <cell r="J294">
            <v>0</v>
          </cell>
          <cell r="K294">
            <v>0</v>
          </cell>
          <cell r="L294">
            <v>0</v>
          </cell>
        </row>
        <row r="295">
          <cell r="A295">
            <v>2</v>
          </cell>
          <cell r="B295">
            <v>1</v>
          </cell>
          <cell r="C295">
            <v>922</v>
          </cell>
          <cell r="D295" t="str">
            <v xml:space="preserve">  </v>
          </cell>
          <cell r="E295" t="str">
            <v xml:space="preserve">    </v>
          </cell>
          <cell r="F295" t="str">
            <v xml:space="preserve">   </v>
          </cell>
          <cell r="G295">
            <v>21922</v>
          </cell>
          <cell r="H295">
            <v>-2390.73</v>
          </cell>
          <cell r="I295">
            <v>-2390.73</v>
          </cell>
          <cell r="J295">
            <v>0</v>
          </cell>
          <cell r="K295">
            <v>0</v>
          </cell>
          <cell r="L295">
            <v>0</v>
          </cell>
        </row>
        <row r="296">
          <cell r="A296">
            <v>1</v>
          </cell>
          <cell r="B296">
            <v>1</v>
          </cell>
          <cell r="C296">
            <v>923</v>
          </cell>
          <cell r="D296" t="str">
            <v xml:space="preserve">  </v>
          </cell>
          <cell r="E296" t="str">
            <v xml:space="preserve">    </v>
          </cell>
          <cell r="F296" t="str">
            <v xml:space="preserve">   </v>
          </cell>
          <cell r="G296">
            <v>11923</v>
          </cell>
          <cell r="H296">
            <v>180443.84</v>
          </cell>
          <cell r="I296">
            <v>174131.63</v>
          </cell>
          <cell r="J296">
            <v>6312.21</v>
          </cell>
          <cell r="K296">
            <v>0</v>
          </cell>
          <cell r="L296">
            <v>0</v>
          </cell>
        </row>
        <row r="297">
          <cell r="A297">
            <v>2</v>
          </cell>
          <cell r="B297">
            <v>1</v>
          </cell>
          <cell r="C297">
            <v>923</v>
          </cell>
          <cell r="D297" t="str">
            <v xml:space="preserve">  </v>
          </cell>
          <cell r="E297" t="str">
            <v xml:space="preserve">    </v>
          </cell>
          <cell r="F297" t="str">
            <v xml:space="preserve">   </v>
          </cell>
          <cell r="G297">
            <v>21923</v>
          </cell>
          <cell r="H297">
            <v>1788876.21</v>
          </cell>
          <cell r="I297">
            <v>1752422.98</v>
          </cell>
          <cell r="J297">
            <v>35341.800000000003</v>
          </cell>
          <cell r="K297">
            <v>1111.43</v>
          </cell>
          <cell r="L297">
            <v>0</v>
          </cell>
        </row>
        <row r="298">
          <cell r="A298">
            <v>1</v>
          </cell>
          <cell r="B298">
            <v>1</v>
          </cell>
          <cell r="C298">
            <v>924</v>
          </cell>
          <cell r="D298" t="str">
            <v xml:space="preserve">  </v>
          </cell>
          <cell r="E298" t="str">
            <v xml:space="preserve">    </v>
          </cell>
          <cell r="F298" t="str">
            <v xml:space="preserve">   </v>
          </cell>
          <cell r="G298">
            <v>11924</v>
          </cell>
          <cell r="H298">
            <v>6068.28</v>
          </cell>
          <cell r="I298">
            <v>6068.28</v>
          </cell>
          <cell r="J298">
            <v>0</v>
          </cell>
          <cell r="K298">
            <v>0</v>
          </cell>
          <cell r="L298">
            <v>0</v>
          </cell>
        </row>
        <row r="299">
          <cell r="A299">
            <v>2</v>
          </cell>
          <cell r="B299">
            <v>1</v>
          </cell>
          <cell r="C299">
            <v>924</v>
          </cell>
          <cell r="D299" t="str">
            <v xml:space="preserve">  </v>
          </cell>
          <cell r="E299" t="str">
            <v xml:space="preserve">    </v>
          </cell>
          <cell r="F299" t="str">
            <v xml:space="preserve">   </v>
          </cell>
          <cell r="G299">
            <v>21924</v>
          </cell>
          <cell r="H299">
            <v>23115.18</v>
          </cell>
          <cell r="I299">
            <v>23115.18</v>
          </cell>
          <cell r="J299">
            <v>0</v>
          </cell>
          <cell r="K299">
            <v>0</v>
          </cell>
          <cell r="L299">
            <v>0</v>
          </cell>
        </row>
        <row r="300">
          <cell r="A300">
            <v>1</v>
          </cell>
          <cell r="B300">
            <v>1</v>
          </cell>
          <cell r="C300">
            <v>925</v>
          </cell>
          <cell r="D300" t="str">
            <v xml:space="preserve">  </v>
          </cell>
          <cell r="E300" t="str">
            <v xml:space="preserve">    </v>
          </cell>
          <cell r="F300" t="str">
            <v xml:space="preserve">   </v>
          </cell>
          <cell r="G300">
            <v>11925</v>
          </cell>
          <cell r="H300">
            <v>24899.61</v>
          </cell>
          <cell r="I300">
            <v>24537.72</v>
          </cell>
          <cell r="J300">
            <v>106.2</v>
          </cell>
          <cell r="K300">
            <v>255.69</v>
          </cell>
          <cell r="L300">
            <v>0</v>
          </cell>
        </row>
        <row r="301">
          <cell r="A301">
            <v>2</v>
          </cell>
          <cell r="B301">
            <v>1</v>
          </cell>
          <cell r="C301">
            <v>925</v>
          </cell>
          <cell r="D301" t="str">
            <v xml:space="preserve">  </v>
          </cell>
          <cell r="E301" t="str">
            <v xml:space="preserve">    </v>
          </cell>
          <cell r="F301" t="str">
            <v xml:space="preserve">   </v>
          </cell>
          <cell r="G301">
            <v>21925</v>
          </cell>
          <cell r="H301">
            <v>281291.71999999997</v>
          </cell>
          <cell r="I301">
            <v>273264.78999999998</v>
          </cell>
          <cell r="J301">
            <v>3894.81</v>
          </cell>
          <cell r="K301">
            <v>4132.12</v>
          </cell>
          <cell r="L301">
            <v>0</v>
          </cell>
        </row>
        <row r="302">
          <cell r="A302">
            <v>1</v>
          </cell>
          <cell r="B302">
            <v>1</v>
          </cell>
          <cell r="C302">
            <v>926</v>
          </cell>
          <cell r="D302" t="str">
            <v xml:space="preserve">  </v>
          </cell>
          <cell r="E302" t="str">
            <v xml:space="preserve">    </v>
          </cell>
          <cell r="F302" t="str">
            <v xml:space="preserve">   </v>
          </cell>
          <cell r="G302">
            <v>11926</v>
          </cell>
          <cell r="H302">
            <v>64622.7</v>
          </cell>
          <cell r="I302">
            <v>46983.48</v>
          </cell>
          <cell r="J302">
            <v>11920.38</v>
          </cell>
          <cell r="K302">
            <v>5718.84</v>
          </cell>
          <cell r="L302">
            <v>0</v>
          </cell>
        </row>
        <row r="303">
          <cell r="A303">
            <v>2</v>
          </cell>
          <cell r="B303">
            <v>1</v>
          </cell>
          <cell r="C303">
            <v>926</v>
          </cell>
          <cell r="D303" t="str">
            <v xml:space="preserve">  </v>
          </cell>
          <cell r="E303" t="str">
            <v xml:space="preserve">    </v>
          </cell>
          <cell r="F303" t="str">
            <v xml:space="preserve">   </v>
          </cell>
          <cell r="G303">
            <v>21926</v>
          </cell>
          <cell r="H303">
            <v>649442.17000000004</v>
          </cell>
          <cell r="I303">
            <v>441318.2</v>
          </cell>
          <cell r="J303">
            <v>165192.32000000001</v>
          </cell>
          <cell r="K303">
            <v>42931.65</v>
          </cell>
          <cell r="L303">
            <v>0</v>
          </cell>
        </row>
        <row r="304">
          <cell r="A304">
            <v>1</v>
          </cell>
          <cell r="B304">
            <v>1</v>
          </cell>
          <cell r="C304">
            <v>927</v>
          </cell>
          <cell r="D304" t="str">
            <v xml:space="preserve">  </v>
          </cell>
          <cell r="E304" t="str">
            <v xml:space="preserve">    </v>
          </cell>
          <cell r="F304" t="str">
            <v xml:space="preserve">   </v>
          </cell>
          <cell r="G304">
            <v>11927</v>
          </cell>
          <cell r="H304">
            <v>150455.44</v>
          </cell>
          <cell r="I304">
            <v>0</v>
          </cell>
          <cell r="J304">
            <v>92910.68</v>
          </cell>
          <cell r="K304">
            <v>57544.76</v>
          </cell>
          <cell r="L304">
            <v>0</v>
          </cell>
        </row>
        <row r="305">
          <cell r="A305">
            <v>2</v>
          </cell>
          <cell r="B305">
            <v>1</v>
          </cell>
          <cell r="C305">
            <v>927</v>
          </cell>
          <cell r="D305" t="str">
            <v xml:space="preserve">  </v>
          </cell>
          <cell r="E305" t="str">
            <v xml:space="preserve">    </v>
          </cell>
          <cell r="F305" t="str">
            <v xml:space="preserve">   </v>
          </cell>
          <cell r="G305">
            <v>21927</v>
          </cell>
          <cell r="H305">
            <v>1046482.56</v>
          </cell>
          <cell r="I305">
            <v>0</v>
          </cell>
          <cell r="J305">
            <v>604797.19999999995</v>
          </cell>
          <cell r="K305">
            <v>441685.36</v>
          </cell>
          <cell r="L305">
            <v>0</v>
          </cell>
        </row>
        <row r="306">
          <cell r="A306">
            <v>1</v>
          </cell>
          <cell r="B306">
            <v>1</v>
          </cell>
          <cell r="C306">
            <v>930</v>
          </cell>
          <cell r="D306" t="str">
            <v xml:space="preserve">  </v>
          </cell>
          <cell r="E306" t="str">
            <v xml:space="preserve">    </v>
          </cell>
          <cell r="F306" t="str">
            <v xml:space="preserve">   </v>
          </cell>
          <cell r="G306">
            <v>11930</v>
          </cell>
          <cell r="H306">
            <v>74575.78</v>
          </cell>
          <cell r="I306">
            <v>56629.54</v>
          </cell>
          <cell r="J306">
            <v>12638.47</v>
          </cell>
          <cell r="K306">
            <v>5307.77</v>
          </cell>
          <cell r="L306">
            <v>0</v>
          </cell>
        </row>
        <row r="307">
          <cell r="A307">
            <v>2</v>
          </cell>
          <cell r="B307">
            <v>1</v>
          </cell>
          <cell r="C307">
            <v>930</v>
          </cell>
          <cell r="D307" t="str">
            <v xml:space="preserve">  </v>
          </cell>
          <cell r="E307" t="str">
            <v xml:space="preserve">    </v>
          </cell>
          <cell r="F307" t="str">
            <v xml:space="preserve">   </v>
          </cell>
          <cell r="G307">
            <v>21930</v>
          </cell>
          <cell r="H307">
            <v>707109.33</v>
          </cell>
          <cell r="I307">
            <v>573403.9</v>
          </cell>
          <cell r="J307">
            <v>93306.19</v>
          </cell>
          <cell r="K307">
            <v>40399.24</v>
          </cell>
          <cell r="L307">
            <v>0</v>
          </cell>
        </row>
        <row r="308">
          <cell r="A308">
            <v>1</v>
          </cell>
          <cell r="B308">
            <v>1</v>
          </cell>
          <cell r="C308">
            <v>931</v>
          </cell>
          <cell r="D308" t="str">
            <v xml:space="preserve">  </v>
          </cell>
          <cell r="E308" t="str">
            <v xml:space="preserve">    </v>
          </cell>
          <cell r="F308" t="str">
            <v xml:space="preserve">   </v>
          </cell>
          <cell r="G308">
            <v>11931</v>
          </cell>
          <cell r="H308">
            <v>105178.23</v>
          </cell>
          <cell r="I308">
            <v>103884.45</v>
          </cell>
          <cell r="J308">
            <v>981.25</v>
          </cell>
          <cell r="K308">
            <v>312.52999999999997</v>
          </cell>
          <cell r="L308">
            <v>0</v>
          </cell>
        </row>
        <row r="309">
          <cell r="A309">
            <v>2</v>
          </cell>
          <cell r="B309">
            <v>1</v>
          </cell>
          <cell r="C309">
            <v>931</v>
          </cell>
          <cell r="D309" t="str">
            <v xml:space="preserve">  </v>
          </cell>
          <cell r="E309" t="str">
            <v xml:space="preserve">    </v>
          </cell>
          <cell r="F309" t="str">
            <v xml:space="preserve">   </v>
          </cell>
          <cell r="G309">
            <v>21931</v>
          </cell>
          <cell r="H309">
            <v>1088087.76</v>
          </cell>
          <cell r="I309">
            <v>1069813.1100000001</v>
          </cell>
          <cell r="J309">
            <v>15866.47</v>
          </cell>
          <cell r="K309">
            <v>2408.1799999999998</v>
          </cell>
          <cell r="L309">
            <v>0</v>
          </cell>
        </row>
        <row r="310">
          <cell r="A310">
            <v>1</v>
          </cell>
          <cell r="B310">
            <v>1</v>
          </cell>
          <cell r="C310">
            <v>935</v>
          </cell>
          <cell r="D310" t="str">
            <v xml:space="preserve">  </v>
          </cell>
          <cell r="E310" t="str">
            <v xml:space="preserve">    </v>
          </cell>
          <cell r="F310" t="str">
            <v xml:space="preserve">   </v>
          </cell>
          <cell r="G310">
            <v>11935</v>
          </cell>
          <cell r="H310">
            <v>80657.63</v>
          </cell>
          <cell r="I310">
            <v>63561.67</v>
          </cell>
          <cell r="J310">
            <v>12484.96</v>
          </cell>
          <cell r="K310">
            <v>4611</v>
          </cell>
          <cell r="L310">
            <v>0</v>
          </cell>
        </row>
        <row r="311">
          <cell r="A311">
            <v>2</v>
          </cell>
          <cell r="B311">
            <v>1</v>
          </cell>
          <cell r="C311">
            <v>935</v>
          </cell>
          <cell r="D311" t="str">
            <v xml:space="preserve">  </v>
          </cell>
          <cell r="E311" t="str">
            <v xml:space="preserve">    </v>
          </cell>
          <cell r="F311" t="str">
            <v xml:space="preserve">   </v>
          </cell>
          <cell r="G311">
            <v>21935</v>
          </cell>
          <cell r="H311">
            <v>678944.89</v>
          </cell>
          <cell r="I311">
            <v>490613.1</v>
          </cell>
          <cell r="J311">
            <v>123927.79</v>
          </cell>
          <cell r="K311">
            <v>64404</v>
          </cell>
          <cell r="L311">
            <v>0</v>
          </cell>
        </row>
        <row r="312">
          <cell r="A312">
            <v>1</v>
          </cell>
          <cell r="B312">
            <v>2</v>
          </cell>
          <cell r="C312">
            <v>400</v>
          </cell>
          <cell r="D312" t="str">
            <v xml:space="preserve">  </v>
          </cell>
          <cell r="E312" t="str">
            <v xml:space="preserve">    </v>
          </cell>
          <cell r="F312" t="str">
            <v xml:space="preserve">   </v>
          </cell>
          <cell r="G312">
            <v>12400</v>
          </cell>
          <cell r="H312">
            <v>-1392310</v>
          </cell>
          <cell r="I312">
            <v>0</v>
          </cell>
          <cell r="J312">
            <v>-1154015</v>
          </cell>
          <cell r="K312">
            <v>-238295</v>
          </cell>
          <cell r="L312">
            <v>0</v>
          </cell>
        </row>
        <row r="313">
          <cell r="A313">
            <v>2</v>
          </cell>
          <cell r="B313">
            <v>2</v>
          </cell>
          <cell r="C313">
            <v>400</v>
          </cell>
          <cell r="D313" t="str">
            <v xml:space="preserve">  </v>
          </cell>
          <cell r="E313" t="str">
            <v xml:space="preserve">    </v>
          </cell>
          <cell r="F313" t="str">
            <v xml:space="preserve">   </v>
          </cell>
          <cell r="G313">
            <v>22400</v>
          </cell>
          <cell r="H313">
            <v>-1170774</v>
          </cell>
          <cell r="I313">
            <v>0</v>
          </cell>
          <cell r="J313">
            <v>-827035</v>
          </cell>
          <cell r="K313">
            <v>-343739</v>
          </cell>
          <cell r="L313">
            <v>0</v>
          </cell>
        </row>
        <row r="314">
          <cell r="A314">
            <v>1</v>
          </cell>
          <cell r="B314">
            <v>2</v>
          </cell>
          <cell r="C314">
            <v>480</v>
          </cell>
          <cell r="D314" t="str">
            <v xml:space="preserve">  </v>
          </cell>
          <cell r="E314" t="str">
            <v xml:space="preserve">    </v>
          </cell>
          <cell r="F314" t="str">
            <v xml:space="preserve">   </v>
          </cell>
          <cell r="G314">
            <v>12480</v>
          </cell>
          <cell r="H314">
            <v>-4750889.32</v>
          </cell>
          <cell r="I314">
            <v>0</v>
          </cell>
          <cell r="J314">
            <v>-3655274.13</v>
          </cell>
          <cell r="K314">
            <v>-1095615.19</v>
          </cell>
          <cell r="L314">
            <v>0</v>
          </cell>
        </row>
        <row r="315">
          <cell r="A315">
            <v>2</v>
          </cell>
          <cell r="B315">
            <v>2</v>
          </cell>
          <cell r="C315">
            <v>480</v>
          </cell>
          <cell r="D315" t="str">
            <v xml:space="preserve">  </v>
          </cell>
          <cell r="E315" t="str">
            <v xml:space="preserve">    </v>
          </cell>
          <cell r="F315" t="str">
            <v xml:space="preserve">   </v>
          </cell>
          <cell r="G315">
            <v>22480</v>
          </cell>
          <cell r="H315">
            <v>-35442727.140000001</v>
          </cell>
          <cell r="I315">
            <v>0</v>
          </cell>
          <cell r="J315">
            <v>-26204609.079999998</v>
          </cell>
          <cell r="K315">
            <v>-9238118.0600000005</v>
          </cell>
          <cell r="L315">
            <v>0</v>
          </cell>
        </row>
        <row r="316">
          <cell r="A316">
            <v>1</v>
          </cell>
          <cell r="B316">
            <v>2</v>
          </cell>
          <cell r="C316">
            <v>483</v>
          </cell>
          <cell r="D316" t="str">
            <v xml:space="preserve">  </v>
          </cell>
          <cell r="E316" t="str">
            <v xml:space="preserve">    </v>
          </cell>
          <cell r="F316" t="str">
            <v xml:space="preserve">   </v>
          </cell>
          <cell r="G316">
            <v>12483</v>
          </cell>
          <cell r="H316">
            <v>-532930.17000000004</v>
          </cell>
          <cell r="I316">
            <v>0</v>
          </cell>
          <cell r="J316">
            <v>-532930.17000000004</v>
          </cell>
          <cell r="K316">
            <v>0</v>
          </cell>
          <cell r="L316">
            <v>0</v>
          </cell>
        </row>
        <row r="317">
          <cell r="A317">
            <v>2</v>
          </cell>
          <cell r="B317">
            <v>2</v>
          </cell>
          <cell r="C317">
            <v>483</v>
          </cell>
          <cell r="D317" t="str">
            <v xml:space="preserve">  </v>
          </cell>
          <cell r="E317" t="str">
            <v xml:space="preserve">    </v>
          </cell>
          <cell r="F317" t="str">
            <v xml:space="preserve">   </v>
          </cell>
          <cell r="G317">
            <v>22483</v>
          </cell>
          <cell r="H317">
            <v>-10010604.51</v>
          </cell>
          <cell r="I317">
            <v>0</v>
          </cell>
          <cell r="J317">
            <v>-9240849.7799999993</v>
          </cell>
          <cell r="K317">
            <v>-769754.73</v>
          </cell>
          <cell r="L317">
            <v>0</v>
          </cell>
        </row>
        <row r="318">
          <cell r="A318">
            <v>1</v>
          </cell>
          <cell r="B318">
            <v>2</v>
          </cell>
          <cell r="C318">
            <v>742</v>
          </cell>
          <cell r="D318" t="str">
            <v xml:space="preserve">  </v>
          </cell>
          <cell r="E318" t="str">
            <v xml:space="preserve">    </v>
          </cell>
          <cell r="F318" t="str">
            <v xml:space="preserve">   </v>
          </cell>
          <cell r="G318">
            <v>12742</v>
          </cell>
          <cell r="H318">
            <v>875</v>
          </cell>
          <cell r="I318">
            <v>0</v>
          </cell>
          <cell r="J318">
            <v>875</v>
          </cell>
          <cell r="K318">
            <v>0</v>
          </cell>
          <cell r="L318">
            <v>0</v>
          </cell>
        </row>
        <row r="319">
          <cell r="A319">
            <v>2</v>
          </cell>
          <cell r="B319">
            <v>2</v>
          </cell>
          <cell r="C319">
            <v>742</v>
          </cell>
          <cell r="D319" t="str">
            <v xml:space="preserve">  </v>
          </cell>
          <cell r="E319" t="str">
            <v xml:space="preserve">    </v>
          </cell>
          <cell r="F319" t="str">
            <v xml:space="preserve">   </v>
          </cell>
          <cell r="G319">
            <v>22742</v>
          </cell>
          <cell r="H319">
            <v>1158.5</v>
          </cell>
          <cell r="I319">
            <v>0</v>
          </cell>
          <cell r="J319">
            <v>1158.5</v>
          </cell>
          <cell r="K319">
            <v>0</v>
          </cell>
          <cell r="L319">
            <v>0</v>
          </cell>
        </row>
        <row r="320">
          <cell r="A320">
            <v>1</v>
          </cell>
          <cell r="B320">
            <v>2</v>
          </cell>
          <cell r="C320">
            <v>856</v>
          </cell>
          <cell r="D320" t="str">
            <v xml:space="preserve">  </v>
          </cell>
          <cell r="E320" t="str">
            <v xml:space="preserve">    </v>
          </cell>
          <cell r="F320" t="str">
            <v xml:space="preserve">   </v>
          </cell>
          <cell r="G320">
            <v>12856</v>
          </cell>
          <cell r="H320">
            <v>0</v>
          </cell>
          <cell r="I320">
            <v>0</v>
          </cell>
          <cell r="J320">
            <v>0</v>
          </cell>
          <cell r="K320">
            <v>0</v>
          </cell>
          <cell r="L320">
            <v>0</v>
          </cell>
        </row>
        <row r="321">
          <cell r="A321">
            <v>2</v>
          </cell>
          <cell r="B321">
            <v>2</v>
          </cell>
          <cell r="C321">
            <v>856</v>
          </cell>
          <cell r="D321" t="str">
            <v xml:space="preserve">  </v>
          </cell>
          <cell r="E321" t="str">
            <v xml:space="preserve">    </v>
          </cell>
          <cell r="F321" t="str">
            <v xml:space="preserve">   </v>
          </cell>
          <cell r="G321">
            <v>22856</v>
          </cell>
          <cell r="H321">
            <v>3611.12</v>
          </cell>
          <cell r="I321">
            <v>0</v>
          </cell>
          <cell r="J321">
            <v>3611.12</v>
          </cell>
          <cell r="K321">
            <v>0</v>
          </cell>
          <cell r="L321">
            <v>0</v>
          </cell>
        </row>
        <row r="322">
          <cell r="A322">
            <v>1</v>
          </cell>
          <cell r="B322">
            <v>2</v>
          </cell>
          <cell r="C322">
            <v>859</v>
          </cell>
          <cell r="D322" t="str">
            <v xml:space="preserve">  </v>
          </cell>
          <cell r="E322" t="str">
            <v xml:space="preserve">    </v>
          </cell>
          <cell r="F322" t="str">
            <v xml:space="preserve">   </v>
          </cell>
          <cell r="G322">
            <v>12859</v>
          </cell>
          <cell r="H322">
            <v>0</v>
          </cell>
          <cell r="I322">
            <v>0</v>
          </cell>
          <cell r="J322">
            <v>0</v>
          </cell>
          <cell r="K322">
            <v>0</v>
          </cell>
          <cell r="L322">
            <v>0</v>
          </cell>
        </row>
        <row r="323">
          <cell r="A323">
            <v>2</v>
          </cell>
          <cell r="B323">
            <v>2</v>
          </cell>
          <cell r="C323">
            <v>859</v>
          </cell>
          <cell r="D323" t="str">
            <v xml:space="preserve">  </v>
          </cell>
          <cell r="E323" t="str">
            <v xml:space="preserve">    </v>
          </cell>
          <cell r="F323" t="str">
            <v xml:space="preserve">   </v>
          </cell>
          <cell r="G323">
            <v>22859</v>
          </cell>
          <cell r="H323">
            <v>70.34</v>
          </cell>
          <cell r="I323">
            <v>0</v>
          </cell>
          <cell r="J323">
            <v>70.34</v>
          </cell>
          <cell r="K323">
            <v>0</v>
          </cell>
          <cell r="L323">
            <v>0</v>
          </cell>
        </row>
        <row r="324">
          <cell r="A324">
            <v>1</v>
          </cell>
          <cell r="B324">
            <v>2</v>
          </cell>
          <cell r="C324">
            <v>863</v>
          </cell>
          <cell r="D324" t="str">
            <v xml:space="preserve">  </v>
          </cell>
          <cell r="E324" t="str">
            <v xml:space="preserve">    </v>
          </cell>
          <cell r="F324" t="str">
            <v xml:space="preserve">   </v>
          </cell>
          <cell r="G324">
            <v>12863</v>
          </cell>
          <cell r="H324">
            <v>0</v>
          </cell>
          <cell r="I324">
            <v>0</v>
          </cell>
          <cell r="J324">
            <v>0</v>
          </cell>
          <cell r="K324">
            <v>0</v>
          </cell>
          <cell r="L324">
            <v>0</v>
          </cell>
        </row>
        <row r="325">
          <cell r="A325">
            <v>2</v>
          </cell>
          <cell r="B325">
            <v>2</v>
          </cell>
          <cell r="C325">
            <v>863</v>
          </cell>
          <cell r="D325" t="str">
            <v xml:space="preserve">  </v>
          </cell>
          <cell r="E325" t="str">
            <v xml:space="preserve">    </v>
          </cell>
          <cell r="F325" t="str">
            <v xml:space="preserve">   </v>
          </cell>
          <cell r="G325">
            <v>22863</v>
          </cell>
          <cell r="H325">
            <v>4472.43</v>
          </cell>
          <cell r="I325">
            <v>0</v>
          </cell>
          <cell r="J325">
            <v>4472.43</v>
          </cell>
          <cell r="K325">
            <v>0</v>
          </cell>
          <cell r="L325">
            <v>0</v>
          </cell>
        </row>
        <row r="326">
          <cell r="A326">
            <v>1</v>
          </cell>
          <cell r="B326">
            <v>2</v>
          </cell>
          <cell r="C326">
            <v>865</v>
          </cell>
          <cell r="D326" t="str">
            <v xml:space="preserve">  </v>
          </cell>
          <cell r="E326" t="str">
            <v xml:space="preserve">    </v>
          </cell>
          <cell r="F326" t="str">
            <v xml:space="preserve">   </v>
          </cell>
          <cell r="G326">
            <v>12865</v>
          </cell>
          <cell r="H326">
            <v>270.52</v>
          </cell>
          <cell r="I326">
            <v>0</v>
          </cell>
          <cell r="J326">
            <v>270.52</v>
          </cell>
          <cell r="K326">
            <v>0</v>
          </cell>
          <cell r="L326">
            <v>0</v>
          </cell>
        </row>
        <row r="327">
          <cell r="A327">
            <v>2</v>
          </cell>
          <cell r="B327">
            <v>2</v>
          </cell>
          <cell r="C327">
            <v>865</v>
          </cell>
          <cell r="D327" t="str">
            <v xml:space="preserve">  </v>
          </cell>
          <cell r="E327" t="str">
            <v xml:space="preserve">    </v>
          </cell>
          <cell r="F327" t="str">
            <v xml:space="preserve">   </v>
          </cell>
          <cell r="G327">
            <v>22865</v>
          </cell>
          <cell r="H327">
            <v>25710.97</v>
          </cell>
          <cell r="I327">
            <v>0</v>
          </cell>
          <cell r="J327">
            <v>25710.97</v>
          </cell>
          <cell r="K327">
            <v>0</v>
          </cell>
          <cell r="L327">
            <v>0</v>
          </cell>
        </row>
        <row r="328">
          <cell r="A328">
            <v>1</v>
          </cell>
          <cell r="B328">
            <v>2</v>
          </cell>
          <cell r="C328">
            <v>866</v>
          </cell>
          <cell r="D328" t="str">
            <v xml:space="preserve">  </v>
          </cell>
          <cell r="E328" t="str">
            <v xml:space="preserve">    </v>
          </cell>
          <cell r="F328" t="str">
            <v xml:space="preserve">   </v>
          </cell>
          <cell r="G328">
            <v>12866</v>
          </cell>
          <cell r="H328">
            <v>7847.58</v>
          </cell>
          <cell r="I328">
            <v>0</v>
          </cell>
          <cell r="J328">
            <v>7847.58</v>
          </cell>
          <cell r="K328">
            <v>0</v>
          </cell>
          <cell r="L328">
            <v>0</v>
          </cell>
        </row>
        <row r="329">
          <cell r="A329">
            <v>2</v>
          </cell>
          <cell r="B329">
            <v>2</v>
          </cell>
          <cell r="C329">
            <v>866</v>
          </cell>
          <cell r="D329" t="str">
            <v xml:space="preserve">  </v>
          </cell>
          <cell r="E329" t="str">
            <v xml:space="preserve">    </v>
          </cell>
          <cell r="F329" t="str">
            <v xml:space="preserve">   </v>
          </cell>
          <cell r="G329">
            <v>22866</v>
          </cell>
          <cell r="H329">
            <v>80657.539999999994</v>
          </cell>
          <cell r="I329">
            <v>0</v>
          </cell>
          <cell r="J329">
            <v>80302.490000000005</v>
          </cell>
          <cell r="K329">
            <v>355.05</v>
          </cell>
          <cell r="L329">
            <v>0</v>
          </cell>
        </row>
        <row r="330">
          <cell r="A330">
            <v>1</v>
          </cell>
          <cell r="B330">
            <v>2</v>
          </cell>
          <cell r="C330">
            <v>870</v>
          </cell>
          <cell r="D330" t="str">
            <v xml:space="preserve">  </v>
          </cell>
          <cell r="E330" t="str">
            <v xml:space="preserve">    </v>
          </cell>
          <cell r="F330" t="str">
            <v xml:space="preserve">   </v>
          </cell>
          <cell r="G330">
            <v>12870</v>
          </cell>
          <cell r="H330">
            <v>8752.3799999999992</v>
          </cell>
          <cell r="I330">
            <v>3482.81</v>
          </cell>
          <cell r="J330">
            <v>3760.7</v>
          </cell>
          <cell r="K330">
            <v>1508.87</v>
          </cell>
          <cell r="L330">
            <v>0</v>
          </cell>
        </row>
        <row r="331">
          <cell r="A331">
            <v>2</v>
          </cell>
          <cell r="B331">
            <v>2</v>
          </cell>
          <cell r="C331">
            <v>870</v>
          </cell>
          <cell r="D331" t="str">
            <v xml:space="preserve">  </v>
          </cell>
          <cell r="E331" t="str">
            <v xml:space="preserve">    </v>
          </cell>
          <cell r="F331" t="str">
            <v xml:space="preserve">   </v>
          </cell>
          <cell r="G331">
            <v>22870</v>
          </cell>
          <cell r="H331">
            <v>148298.82</v>
          </cell>
          <cell r="I331">
            <v>78754.92</v>
          </cell>
          <cell r="J331">
            <v>42334.98</v>
          </cell>
          <cell r="K331">
            <v>27208.92</v>
          </cell>
          <cell r="L331">
            <v>0</v>
          </cell>
        </row>
        <row r="332">
          <cell r="A332">
            <v>1</v>
          </cell>
          <cell r="B332">
            <v>2</v>
          </cell>
          <cell r="C332">
            <v>871</v>
          </cell>
          <cell r="D332" t="str">
            <v xml:space="preserve">  </v>
          </cell>
          <cell r="E332" t="str">
            <v xml:space="preserve">    </v>
          </cell>
          <cell r="F332" t="str">
            <v xml:space="preserve">   </v>
          </cell>
          <cell r="G332">
            <v>12871</v>
          </cell>
          <cell r="H332">
            <v>163.34</v>
          </cell>
          <cell r="I332">
            <v>0</v>
          </cell>
          <cell r="J332">
            <v>163.34</v>
          </cell>
          <cell r="K332">
            <v>0</v>
          </cell>
          <cell r="L332">
            <v>0</v>
          </cell>
        </row>
        <row r="333">
          <cell r="A333">
            <v>2</v>
          </cell>
          <cell r="B333">
            <v>2</v>
          </cell>
          <cell r="C333">
            <v>871</v>
          </cell>
          <cell r="D333" t="str">
            <v xml:space="preserve">  </v>
          </cell>
          <cell r="E333" t="str">
            <v xml:space="preserve">    </v>
          </cell>
          <cell r="F333" t="str">
            <v xml:space="preserve">   </v>
          </cell>
          <cell r="G333">
            <v>22871</v>
          </cell>
          <cell r="H333">
            <v>2151.36</v>
          </cell>
          <cell r="I333">
            <v>0</v>
          </cell>
          <cell r="J333">
            <v>2151.36</v>
          </cell>
          <cell r="K333">
            <v>0</v>
          </cell>
          <cell r="L333">
            <v>0</v>
          </cell>
        </row>
        <row r="334">
          <cell r="A334">
            <v>1</v>
          </cell>
          <cell r="B334">
            <v>2</v>
          </cell>
          <cell r="C334">
            <v>874</v>
          </cell>
          <cell r="D334" t="str">
            <v xml:space="preserve">  </v>
          </cell>
          <cell r="E334" t="str">
            <v xml:space="preserve">    </v>
          </cell>
          <cell r="F334" t="str">
            <v xml:space="preserve">   </v>
          </cell>
          <cell r="G334">
            <v>12874</v>
          </cell>
          <cell r="H334">
            <v>46722.43</v>
          </cell>
          <cell r="I334">
            <v>0</v>
          </cell>
          <cell r="J334">
            <v>44961.39</v>
          </cell>
          <cell r="K334">
            <v>1761.04</v>
          </cell>
          <cell r="L334">
            <v>0</v>
          </cell>
        </row>
        <row r="335">
          <cell r="A335">
            <v>2</v>
          </cell>
          <cell r="B335">
            <v>2</v>
          </cell>
          <cell r="C335">
            <v>874</v>
          </cell>
          <cell r="D335" t="str">
            <v xml:space="preserve">  </v>
          </cell>
          <cell r="E335" t="str">
            <v xml:space="preserve">    </v>
          </cell>
          <cell r="F335" t="str">
            <v xml:space="preserve">   </v>
          </cell>
          <cell r="G335">
            <v>22874</v>
          </cell>
          <cell r="H335">
            <v>588875.38</v>
          </cell>
          <cell r="I335">
            <v>0</v>
          </cell>
          <cell r="J335">
            <v>538788.1</v>
          </cell>
          <cell r="K335">
            <v>50087.28</v>
          </cell>
          <cell r="L335">
            <v>0</v>
          </cell>
        </row>
        <row r="336">
          <cell r="A336">
            <v>1</v>
          </cell>
          <cell r="B336">
            <v>2</v>
          </cell>
          <cell r="C336">
            <v>875</v>
          </cell>
          <cell r="D336" t="str">
            <v xml:space="preserve">  </v>
          </cell>
          <cell r="E336" t="str">
            <v xml:space="preserve">    </v>
          </cell>
          <cell r="F336" t="str">
            <v xml:space="preserve">   </v>
          </cell>
          <cell r="G336">
            <v>12875</v>
          </cell>
          <cell r="H336">
            <v>764.6</v>
          </cell>
          <cell r="I336">
            <v>0</v>
          </cell>
          <cell r="J336">
            <v>764.6</v>
          </cell>
          <cell r="K336">
            <v>0</v>
          </cell>
          <cell r="L336">
            <v>0</v>
          </cell>
        </row>
        <row r="337">
          <cell r="A337">
            <v>2</v>
          </cell>
          <cell r="B337">
            <v>2</v>
          </cell>
          <cell r="C337">
            <v>875</v>
          </cell>
          <cell r="D337" t="str">
            <v xml:space="preserve">  </v>
          </cell>
          <cell r="E337" t="str">
            <v xml:space="preserve">    </v>
          </cell>
          <cell r="F337" t="str">
            <v xml:space="preserve">   </v>
          </cell>
          <cell r="G337">
            <v>22875</v>
          </cell>
          <cell r="H337">
            <v>8582.09</v>
          </cell>
          <cell r="I337">
            <v>0</v>
          </cell>
          <cell r="J337">
            <v>8582.09</v>
          </cell>
          <cell r="K337">
            <v>0</v>
          </cell>
          <cell r="L337">
            <v>0</v>
          </cell>
        </row>
        <row r="338">
          <cell r="A338">
            <v>1</v>
          </cell>
          <cell r="B338">
            <v>2</v>
          </cell>
          <cell r="C338">
            <v>876</v>
          </cell>
          <cell r="D338" t="str">
            <v xml:space="preserve">  </v>
          </cell>
          <cell r="E338" t="str">
            <v xml:space="preserve">    </v>
          </cell>
          <cell r="F338" t="str">
            <v xml:space="preserve">   </v>
          </cell>
          <cell r="G338">
            <v>12876</v>
          </cell>
          <cell r="H338">
            <v>684.03</v>
          </cell>
          <cell r="I338">
            <v>0</v>
          </cell>
          <cell r="J338">
            <v>684.03</v>
          </cell>
          <cell r="K338">
            <v>0</v>
          </cell>
          <cell r="L338">
            <v>0</v>
          </cell>
        </row>
        <row r="339">
          <cell r="A339">
            <v>2</v>
          </cell>
          <cell r="B339">
            <v>2</v>
          </cell>
          <cell r="C339">
            <v>876</v>
          </cell>
          <cell r="D339" t="str">
            <v xml:space="preserve">  </v>
          </cell>
          <cell r="E339" t="str">
            <v xml:space="preserve">    </v>
          </cell>
          <cell r="F339" t="str">
            <v xml:space="preserve">   </v>
          </cell>
          <cell r="G339">
            <v>22876</v>
          </cell>
          <cell r="H339">
            <v>8139.63</v>
          </cell>
          <cell r="I339">
            <v>0</v>
          </cell>
          <cell r="J339">
            <v>8128.91</v>
          </cell>
          <cell r="K339">
            <v>10.72</v>
          </cell>
          <cell r="L339">
            <v>0</v>
          </cell>
        </row>
        <row r="340">
          <cell r="A340">
            <v>1</v>
          </cell>
          <cell r="B340">
            <v>2</v>
          </cell>
          <cell r="C340">
            <v>877</v>
          </cell>
          <cell r="D340" t="str">
            <v xml:space="preserve">  </v>
          </cell>
          <cell r="E340" t="str">
            <v xml:space="preserve">    </v>
          </cell>
          <cell r="F340" t="str">
            <v xml:space="preserve">   </v>
          </cell>
          <cell r="G340">
            <v>12877</v>
          </cell>
          <cell r="H340">
            <v>129.53</v>
          </cell>
          <cell r="I340">
            <v>0</v>
          </cell>
          <cell r="J340">
            <v>74.03</v>
          </cell>
          <cell r="K340">
            <v>55.5</v>
          </cell>
          <cell r="L340">
            <v>0</v>
          </cell>
        </row>
        <row r="341">
          <cell r="A341">
            <v>2</v>
          </cell>
          <cell r="B341">
            <v>2</v>
          </cell>
          <cell r="C341">
            <v>877</v>
          </cell>
          <cell r="D341" t="str">
            <v xml:space="preserve">  </v>
          </cell>
          <cell r="E341" t="str">
            <v xml:space="preserve">    </v>
          </cell>
          <cell r="F341" t="str">
            <v xml:space="preserve">   </v>
          </cell>
          <cell r="G341">
            <v>22877</v>
          </cell>
          <cell r="H341">
            <v>4704.3100000000004</v>
          </cell>
          <cell r="I341">
            <v>0</v>
          </cell>
          <cell r="J341">
            <v>3237.09</v>
          </cell>
          <cell r="K341">
            <v>1467.22</v>
          </cell>
          <cell r="L341">
            <v>0</v>
          </cell>
        </row>
        <row r="342">
          <cell r="A342">
            <v>1</v>
          </cell>
          <cell r="B342">
            <v>2</v>
          </cell>
          <cell r="C342">
            <v>878</v>
          </cell>
          <cell r="D342" t="str">
            <v xml:space="preserve">  </v>
          </cell>
          <cell r="E342" t="str">
            <v xml:space="preserve">    </v>
          </cell>
          <cell r="F342" t="str">
            <v xml:space="preserve">   </v>
          </cell>
          <cell r="G342">
            <v>12878</v>
          </cell>
          <cell r="H342">
            <v>67175.73</v>
          </cell>
          <cell r="I342">
            <v>0</v>
          </cell>
          <cell r="J342">
            <v>58656.98</v>
          </cell>
          <cell r="K342">
            <v>8518.75</v>
          </cell>
          <cell r="L342">
            <v>0</v>
          </cell>
        </row>
        <row r="343">
          <cell r="A343">
            <v>2</v>
          </cell>
          <cell r="B343">
            <v>2</v>
          </cell>
          <cell r="C343">
            <v>878</v>
          </cell>
          <cell r="D343" t="str">
            <v xml:space="preserve">  </v>
          </cell>
          <cell r="E343" t="str">
            <v xml:space="preserve">    </v>
          </cell>
          <cell r="F343" t="str">
            <v xml:space="preserve">   </v>
          </cell>
          <cell r="G343">
            <v>22878</v>
          </cell>
          <cell r="H343">
            <v>559730.76</v>
          </cell>
          <cell r="I343">
            <v>0</v>
          </cell>
          <cell r="J343">
            <v>477310.41</v>
          </cell>
          <cell r="K343">
            <v>82420.350000000006</v>
          </cell>
          <cell r="L343">
            <v>0</v>
          </cell>
        </row>
        <row r="344">
          <cell r="A344">
            <v>1</v>
          </cell>
          <cell r="B344">
            <v>2</v>
          </cell>
          <cell r="C344">
            <v>879</v>
          </cell>
          <cell r="D344" t="str">
            <v xml:space="preserve">  </v>
          </cell>
          <cell r="E344" t="str">
            <v xml:space="preserve">    </v>
          </cell>
          <cell r="F344" t="str">
            <v xml:space="preserve">   </v>
          </cell>
          <cell r="G344">
            <v>12879</v>
          </cell>
          <cell r="H344">
            <v>61944.480000000003</v>
          </cell>
          <cell r="I344">
            <v>0</v>
          </cell>
          <cell r="J344">
            <v>54949.96</v>
          </cell>
          <cell r="K344">
            <v>6994.52</v>
          </cell>
          <cell r="L344">
            <v>0</v>
          </cell>
        </row>
        <row r="345">
          <cell r="A345">
            <v>2</v>
          </cell>
          <cell r="B345">
            <v>2</v>
          </cell>
          <cell r="C345">
            <v>879</v>
          </cell>
          <cell r="D345" t="str">
            <v xml:space="preserve">  </v>
          </cell>
          <cell r="E345" t="str">
            <v xml:space="preserve">    </v>
          </cell>
          <cell r="F345" t="str">
            <v xml:space="preserve">   </v>
          </cell>
          <cell r="G345">
            <v>22879</v>
          </cell>
          <cell r="H345">
            <v>605731.04</v>
          </cell>
          <cell r="I345">
            <v>0</v>
          </cell>
          <cell r="J345">
            <v>536715.59</v>
          </cell>
          <cell r="K345">
            <v>69015.45</v>
          </cell>
          <cell r="L345">
            <v>0</v>
          </cell>
        </row>
        <row r="346">
          <cell r="A346">
            <v>1</v>
          </cell>
          <cell r="B346">
            <v>2</v>
          </cell>
          <cell r="C346">
            <v>880</v>
          </cell>
          <cell r="D346" t="str">
            <v xml:space="preserve">  </v>
          </cell>
          <cell r="E346" t="str">
            <v xml:space="preserve">    </v>
          </cell>
          <cell r="F346" t="str">
            <v xml:space="preserve">   </v>
          </cell>
          <cell r="G346">
            <v>12880</v>
          </cell>
          <cell r="H346">
            <v>99282.18</v>
          </cell>
          <cell r="I346">
            <v>55005.63</v>
          </cell>
          <cell r="J346">
            <v>40893.35</v>
          </cell>
          <cell r="K346">
            <v>3383.2</v>
          </cell>
          <cell r="L346">
            <v>0</v>
          </cell>
        </row>
        <row r="347">
          <cell r="A347">
            <v>2</v>
          </cell>
          <cell r="B347">
            <v>2</v>
          </cell>
          <cell r="C347">
            <v>880</v>
          </cell>
          <cell r="D347" t="str">
            <v xml:space="preserve">  </v>
          </cell>
          <cell r="E347" t="str">
            <v xml:space="preserve">    </v>
          </cell>
          <cell r="F347" t="str">
            <v xml:space="preserve">   </v>
          </cell>
          <cell r="G347">
            <v>22880</v>
          </cell>
          <cell r="H347">
            <v>318833.53000000003</v>
          </cell>
          <cell r="I347">
            <v>72416.27</v>
          </cell>
          <cell r="J347">
            <v>213797.14</v>
          </cell>
          <cell r="K347">
            <v>32620.12</v>
          </cell>
          <cell r="L347">
            <v>0</v>
          </cell>
        </row>
        <row r="348">
          <cell r="A348">
            <v>1</v>
          </cell>
          <cell r="B348">
            <v>2</v>
          </cell>
          <cell r="C348">
            <v>881</v>
          </cell>
          <cell r="D348" t="str">
            <v xml:space="preserve">  </v>
          </cell>
          <cell r="E348" t="str">
            <v xml:space="preserve">    </v>
          </cell>
          <cell r="F348" t="str">
            <v xml:space="preserve">   </v>
          </cell>
          <cell r="G348">
            <v>12881</v>
          </cell>
          <cell r="H348">
            <v>0</v>
          </cell>
          <cell r="I348">
            <v>0</v>
          </cell>
          <cell r="J348">
            <v>0</v>
          </cell>
          <cell r="K348">
            <v>0</v>
          </cell>
          <cell r="L348">
            <v>0</v>
          </cell>
        </row>
        <row r="349">
          <cell r="A349">
            <v>2</v>
          </cell>
          <cell r="B349">
            <v>2</v>
          </cell>
          <cell r="C349">
            <v>881</v>
          </cell>
          <cell r="D349" t="str">
            <v xml:space="preserve">  </v>
          </cell>
          <cell r="E349" t="str">
            <v xml:space="preserve">    </v>
          </cell>
          <cell r="F349" t="str">
            <v xml:space="preserve">   </v>
          </cell>
          <cell r="G349">
            <v>22881</v>
          </cell>
          <cell r="H349">
            <v>10510.73</v>
          </cell>
          <cell r="I349">
            <v>0</v>
          </cell>
          <cell r="J349">
            <v>10160.73</v>
          </cell>
          <cell r="K349">
            <v>350</v>
          </cell>
          <cell r="L349">
            <v>0</v>
          </cell>
        </row>
        <row r="350">
          <cell r="A350">
            <v>1</v>
          </cell>
          <cell r="B350">
            <v>2</v>
          </cell>
          <cell r="C350">
            <v>885</v>
          </cell>
          <cell r="D350" t="str">
            <v xml:space="preserve">  </v>
          </cell>
          <cell r="E350" t="str">
            <v xml:space="preserve">    </v>
          </cell>
          <cell r="F350" t="str">
            <v xml:space="preserve">   </v>
          </cell>
          <cell r="G350">
            <v>12885</v>
          </cell>
          <cell r="H350">
            <v>1120.8</v>
          </cell>
          <cell r="I350">
            <v>0</v>
          </cell>
          <cell r="J350">
            <v>1120.8</v>
          </cell>
          <cell r="K350">
            <v>0</v>
          </cell>
          <cell r="L350">
            <v>0</v>
          </cell>
        </row>
        <row r="351">
          <cell r="A351">
            <v>2</v>
          </cell>
          <cell r="B351">
            <v>2</v>
          </cell>
          <cell r="C351">
            <v>885</v>
          </cell>
          <cell r="D351" t="str">
            <v xml:space="preserve">  </v>
          </cell>
          <cell r="E351" t="str">
            <v xml:space="preserve">    </v>
          </cell>
          <cell r="F351" t="str">
            <v xml:space="preserve">   </v>
          </cell>
          <cell r="G351">
            <v>22885</v>
          </cell>
          <cell r="H351">
            <v>17284.77</v>
          </cell>
          <cell r="I351">
            <v>0</v>
          </cell>
          <cell r="J351">
            <v>17284.77</v>
          </cell>
          <cell r="K351">
            <v>0</v>
          </cell>
          <cell r="L351">
            <v>0</v>
          </cell>
        </row>
        <row r="352">
          <cell r="A352">
            <v>1</v>
          </cell>
          <cell r="B352">
            <v>2</v>
          </cell>
          <cell r="C352">
            <v>887</v>
          </cell>
          <cell r="D352" t="str">
            <v xml:space="preserve">  </v>
          </cell>
          <cell r="E352" t="str">
            <v xml:space="preserve">    </v>
          </cell>
          <cell r="F352" t="str">
            <v xml:space="preserve">   </v>
          </cell>
          <cell r="G352">
            <v>12887</v>
          </cell>
          <cell r="H352">
            <v>32114.560000000001</v>
          </cell>
          <cell r="I352">
            <v>0</v>
          </cell>
          <cell r="J352">
            <v>28106.57</v>
          </cell>
          <cell r="K352">
            <v>4007.99</v>
          </cell>
          <cell r="L352">
            <v>0</v>
          </cell>
        </row>
        <row r="353">
          <cell r="A353">
            <v>2</v>
          </cell>
          <cell r="B353">
            <v>2</v>
          </cell>
          <cell r="C353">
            <v>887</v>
          </cell>
          <cell r="D353" t="str">
            <v xml:space="preserve">  </v>
          </cell>
          <cell r="E353" t="str">
            <v xml:space="preserve">    </v>
          </cell>
          <cell r="F353" t="str">
            <v xml:space="preserve">   </v>
          </cell>
          <cell r="G353">
            <v>22887</v>
          </cell>
          <cell r="H353">
            <v>452115.54</v>
          </cell>
          <cell r="I353">
            <v>219.51</v>
          </cell>
          <cell r="J353">
            <v>407764.97</v>
          </cell>
          <cell r="K353">
            <v>44131.06</v>
          </cell>
          <cell r="L353">
            <v>0</v>
          </cell>
        </row>
        <row r="354">
          <cell r="A354">
            <v>1</v>
          </cell>
          <cell r="B354">
            <v>2</v>
          </cell>
          <cell r="C354">
            <v>889</v>
          </cell>
          <cell r="D354" t="str">
            <v xml:space="preserve">  </v>
          </cell>
          <cell r="E354" t="str">
            <v xml:space="preserve">    </v>
          </cell>
          <cell r="F354" t="str">
            <v xml:space="preserve">   </v>
          </cell>
          <cell r="G354">
            <v>12889</v>
          </cell>
          <cell r="H354">
            <v>8685.07</v>
          </cell>
          <cell r="I354">
            <v>326.7</v>
          </cell>
          <cell r="J354">
            <v>8027.32</v>
          </cell>
          <cell r="K354">
            <v>331.05</v>
          </cell>
          <cell r="L354">
            <v>0</v>
          </cell>
        </row>
        <row r="355">
          <cell r="A355">
            <v>2</v>
          </cell>
          <cell r="B355">
            <v>2</v>
          </cell>
          <cell r="C355">
            <v>889</v>
          </cell>
          <cell r="D355" t="str">
            <v xml:space="preserve">  </v>
          </cell>
          <cell r="E355" t="str">
            <v xml:space="preserve">    </v>
          </cell>
          <cell r="F355" t="str">
            <v xml:space="preserve">   </v>
          </cell>
          <cell r="G355">
            <v>22889</v>
          </cell>
          <cell r="H355">
            <v>64092.72</v>
          </cell>
          <cell r="I355">
            <v>5136.3100000000004</v>
          </cell>
          <cell r="J355">
            <v>48556.72</v>
          </cell>
          <cell r="K355">
            <v>10399.69</v>
          </cell>
          <cell r="L355">
            <v>0</v>
          </cell>
        </row>
        <row r="356">
          <cell r="A356">
            <v>1</v>
          </cell>
          <cell r="B356">
            <v>2</v>
          </cell>
          <cell r="C356">
            <v>890</v>
          </cell>
          <cell r="D356" t="str">
            <v xml:space="preserve">  </v>
          </cell>
          <cell r="E356" t="str">
            <v xml:space="preserve">    </v>
          </cell>
          <cell r="F356" t="str">
            <v xml:space="preserve">   </v>
          </cell>
          <cell r="G356">
            <v>12890</v>
          </cell>
          <cell r="H356">
            <v>2103.44</v>
          </cell>
          <cell r="I356">
            <v>0</v>
          </cell>
          <cell r="J356">
            <v>2103.44</v>
          </cell>
          <cell r="K356">
            <v>0</v>
          </cell>
          <cell r="L356">
            <v>0</v>
          </cell>
        </row>
        <row r="357">
          <cell r="A357">
            <v>2</v>
          </cell>
          <cell r="B357">
            <v>2</v>
          </cell>
          <cell r="C357">
            <v>890</v>
          </cell>
          <cell r="D357" t="str">
            <v xml:space="preserve">  </v>
          </cell>
          <cell r="E357" t="str">
            <v xml:space="preserve">    </v>
          </cell>
          <cell r="F357" t="str">
            <v xml:space="preserve">   </v>
          </cell>
          <cell r="G357">
            <v>22890</v>
          </cell>
          <cell r="H357">
            <v>30690.7</v>
          </cell>
          <cell r="I357">
            <v>0</v>
          </cell>
          <cell r="J357">
            <v>30690.7</v>
          </cell>
          <cell r="K357">
            <v>0</v>
          </cell>
          <cell r="L357">
            <v>0</v>
          </cell>
        </row>
        <row r="358">
          <cell r="A358">
            <v>1</v>
          </cell>
          <cell r="B358">
            <v>2</v>
          </cell>
          <cell r="C358">
            <v>891</v>
          </cell>
          <cell r="D358" t="str">
            <v xml:space="preserve">  </v>
          </cell>
          <cell r="E358" t="str">
            <v xml:space="preserve">    </v>
          </cell>
          <cell r="F358" t="str">
            <v xml:space="preserve">   </v>
          </cell>
          <cell r="G358">
            <v>12891</v>
          </cell>
          <cell r="H358">
            <v>0</v>
          </cell>
          <cell r="I358">
            <v>0</v>
          </cell>
          <cell r="J358">
            <v>0</v>
          </cell>
          <cell r="K358">
            <v>0</v>
          </cell>
          <cell r="L358">
            <v>0</v>
          </cell>
        </row>
        <row r="359">
          <cell r="A359">
            <v>2</v>
          </cell>
          <cell r="B359">
            <v>2</v>
          </cell>
          <cell r="C359">
            <v>891</v>
          </cell>
          <cell r="D359" t="str">
            <v xml:space="preserve">  </v>
          </cell>
          <cell r="E359" t="str">
            <v xml:space="preserve">    </v>
          </cell>
          <cell r="F359" t="str">
            <v xml:space="preserve">   </v>
          </cell>
          <cell r="G359">
            <v>22891</v>
          </cell>
          <cell r="H359">
            <v>221.84</v>
          </cell>
          <cell r="I359">
            <v>0</v>
          </cell>
          <cell r="J359">
            <v>221.84</v>
          </cell>
          <cell r="K359">
            <v>0</v>
          </cell>
          <cell r="L359">
            <v>0</v>
          </cell>
        </row>
        <row r="360">
          <cell r="A360">
            <v>1</v>
          </cell>
          <cell r="B360">
            <v>2</v>
          </cell>
          <cell r="C360">
            <v>892</v>
          </cell>
          <cell r="D360" t="str">
            <v xml:space="preserve">  </v>
          </cell>
          <cell r="E360" t="str">
            <v xml:space="preserve">    </v>
          </cell>
          <cell r="F360" t="str">
            <v xml:space="preserve">   </v>
          </cell>
          <cell r="G360">
            <v>12892</v>
          </cell>
          <cell r="H360">
            <v>19601.97</v>
          </cell>
          <cell r="I360">
            <v>15379</v>
          </cell>
          <cell r="J360">
            <v>3820.74</v>
          </cell>
          <cell r="K360">
            <v>402.23</v>
          </cell>
          <cell r="L360">
            <v>0</v>
          </cell>
        </row>
        <row r="361">
          <cell r="A361">
            <v>2</v>
          </cell>
          <cell r="B361">
            <v>2</v>
          </cell>
          <cell r="C361">
            <v>892</v>
          </cell>
          <cell r="D361" t="str">
            <v xml:space="preserve">  </v>
          </cell>
          <cell r="E361" t="str">
            <v xml:space="preserve">    </v>
          </cell>
          <cell r="F361" t="str">
            <v xml:space="preserve">   </v>
          </cell>
          <cell r="G361">
            <v>22892</v>
          </cell>
          <cell r="H361">
            <v>90033.1</v>
          </cell>
          <cell r="I361">
            <v>15379</v>
          </cell>
          <cell r="J361">
            <v>63331.25</v>
          </cell>
          <cell r="K361">
            <v>11322.85</v>
          </cell>
          <cell r="L361">
            <v>0</v>
          </cell>
        </row>
        <row r="362">
          <cell r="A362">
            <v>1</v>
          </cell>
          <cell r="B362">
            <v>2</v>
          </cell>
          <cell r="C362">
            <v>893</v>
          </cell>
          <cell r="D362" t="str">
            <v xml:space="preserve">  </v>
          </cell>
          <cell r="E362" t="str">
            <v xml:space="preserve">    </v>
          </cell>
          <cell r="F362" t="str">
            <v xml:space="preserve">   </v>
          </cell>
          <cell r="G362">
            <v>12893</v>
          </cell>
          <cell r="H362">
            <v>22441.69</v>
          </cell>
          <cell r="I362">
            <v>11278.71</v>
          </cell>
          <cell r="J362">
            <v>2745.26</v>
          </cell>
          <cell r="K362">
            <v>8417.7199999999993</v>
          </cell>
          <cell r="L362">
            <v>0</v>
          </cell>
        </row>
        <row r="363">
          <cell r="A363">
            <v>2</v>
          </cell>
          <cell r="B363">
            <v>2</v>
          </cell>
          <cell r="C363">
            <v>893</v>
          </cell>
          <cell r="D363" t="str">
            <v xml:space="preserve">  </v>
          </cell>
          <cell r="E363" t="str">
            <v xml:space="preserve">    </v>
          </cell>
          <cell r="F363" t="str">
            <v xml:space="preserve">   </v>
          </cell>
          <cell r="G363">
            <v>22893</v>
          </cell>
          <cell r="H363">
            <v>154603.01999999999</v>
          </cell>
          <cell r="I363">
            <v>77705.09</v>
          </cell>
          <cell r="J363">
            <v>45344.62</v>
          </cell>
          <cell r="K363">
            <v>31553.31</v>
          </cell>
          <cell r="L363">
            <v>0</v>
          </cell>
        </row>
        <row r="364">
          <cell r="A364">
            <v>1</v>
          </cell>
          <cell r="B364">
            <v>2</v>
          </cell>
          <cell r="C364">
            <v>894</v>
          </cell>
          <cell r="D364" t="str">
            <v xml:space="preserve">  </v>
          </cell>
          <cell r="E364" t="str">
            <v xml:space="preserve">    </v>
          </cell>
          <cell r="F364" t="str">
            <v xml:space="preserve">   </v>
          </cell>
          <cell r="G364">
            <v>12894</v>
          </cell>
          <cell r="H364">
            <v>0</v>
          </cell>
          <cell r="I364">
            <v>0</v>
          </cell>
          <cell r="J364">
            <v>0</v>
          </cell>
          <cell r="K364">
            <v>0</v>
          </cell>
          <cell r="L364">
            <v>0</v>
          </cell>
        </row>
        <row r="365">
          <cell r="A365">
            <v>2</v>
          </cell>
          <cell r="B365">
            <v>2</v>
          </cell>
          <cell r="C365">
            <v>894</v>
          </cell>
          <cell r="D365" t="str">
            <v xml:space="preserve">  </v>
          </cell>
          <cell r="E365" t="str">
            <v xml:space="preserve">    </v>
          </cell>
          <cell r="F365" t="str">
            <v xml:space="preserve">   </v>
          </cell>
          <cell r="G365">
            <v>22894</v>
          </cell>
          <cell r="H365">
            <v>27.63</v>
          </cell>
          <cell r="I365">
            <v>0</v>
          </cell>
          <cell r="J365">
            <v>0</v>
          </cell>
          <cell r="K365">
            <v>27.63</v>
          </cell>
          <cell r="L365">
            <v>0</v>
          </cell>
        </row>
        <row r="366">
          <cell r="A366">
            <v>1</v>
          </cell>
          <cell r="B366">
            <v>2</v>
          </cell>
          <cell r="C366">
            <v>901</v>
          </cell>
          <cell r="D366" t="str">
            <v xml:space="preserve">  </v>
          </cell>
          <cell r="E366" t="str">
            <v xml:space="preserve">    </v>
          </cell>
          <cell r="F366" t="str">
            <v xml:space="preserve">   </v>
          </cell>
          <cell r="G366">
            <v>12901</v>
          </cell>
          <cell r="H366">
            <v>6823.11</v>
          </cell>
          <cell r="I366">
            <v>6255.52</v>
          </cell>
          <cell r="J366">
            <v>567.59</v>
          </cell>
          <cell r="K366">
            <v>0</v>
          </cell>
          <cell r="L366">
            <v>0</v>
          </cell>
        </row>
        <row r="367">
          <cell r="A367">
            <v>2</v>
          </cell>
          <cell r="B367">
            <v>2</v>
          </cell>
          <cell r="C367">
            <v>901</v>
          </cell>
          <cell r="D367" t="str">
            <v xml:space="preserve">  </v>
          </cell>
          <cell r="E367" t="str">
            <v xml:space="preserve">    </v>
          </cell>
          <cell r="F367" t="str">
            <v xml:space="preserve">   </v>
          </cell>
          <cell r="G367">
            <v>22901</v>
          </cell>
          <cell r="H367">
            <v>102808.86</v>
          </cell>
          <cell r="I367">
            <v>98857.54</v>
          </cell>
          <cell r="J367">
            <v>3543.59</v>
          </cell>
          <cell r="K367">
            <v>407.73</v>
          </cell>
          <cell r="L367">
            <v>0</v>
          </cell>
        </row>
        <row r="368">
          <cell r="A368">
            <v>1</v>
          </cell>
          <cell r="B368">
            <v>2</v>
          </cell>
          <cell r="C368">
            <v>902</v>
          </cell>
          <cell r="D368" t="str">
            <v xml:space="preserve">  </v>
          </cell>
          <cell r="E368" t="str">
            <v xml:space="preserve">    </v>
          </cell>
          <cell r="F368" t="str">
            <v xml:space="preserve">   </v>
          </cell>
          <cell r="G368">
            <v>12902</v>
          </cell>
          <cell r="H368">
            <v>51164.06</v>
          </cell>
          <cell r="I368">
            <v>0</v>
          </cell>
          <cell r="J368">
            <v>44721.8</v>
          </cell>
          <cell r="K368">
            <v>6442.26</v>
          </cell>
          <cell r="L368">
            <v>0</v>
          </cell>
        </row>
        <row r="369">
          <cell r="A369">
            <v>2</v>
          </cell>
          <cell r="B369">
            <v>2</v>
          </cell>
          <cell r="C369">
            <v>902</v>
          </cell>
          <cell r="D369" t="str">
            <v xml:space="preserve">  </v>
          </cell>
          <cell r="E369" t="str">
            <v xml:space="preserve">    </v>
          </cell>
          <cell r="F369" t="str">
            <v xml:space="preserve">   </v>
          </cell>
          <cell r="G369">
            <v>22902</v>
          </cell>
          <cell r="H369">
            <v>548120.23</v>
          </cell>
          <cell r="I369">
            <v>8484.6200000000008</v>
          </cell>
          <cell r="J369">
            <v>463951.78</v>
          </cell>
          <cell r="K369">
            <v>75683.83</v>
          </cell>
          <cell r="L369">
            <v>0</v>
          </cell>
        </row>
        <row r="370">
          <cell r="A370">
            <v>1</v>
          </cell>
          <cell r="B370">
            <v>2</v>
          </cell>
          <cell r="C370">
            <v>904</v>
          </cell>
          <cell r="D370" t="str">
            <v xml:space="preserve">  </v>
          </cell>
          <cell r="E370" t="str">
            <v xml:space="preserve">    </v>
          </cell>
          <cell r="F370" t="str">
            <v xml:space="preserve">   </v>
          </cell>
          <cell r="G370">
            <v>12904</v>
          </cell>
          <cell r="H370">
            <v>23892</v>
          </cell>
          <cell r="I370">
            <v>0</v>
          </cell>
          <cell r="J370">
            <v>16666</v>
          </cell>
          <cell r="K370">
            <v>7226</v>
          </cell>
          <cell r="L370">
            <v>0</v>
          </cell>
        </row>
        <row r="371">
          <cell r="A371">
            <v>2</v>
          </cell>
          <cell r="B371">
            <v>2</v>
          </cell>
          <cell r="C371">
            <v>904</v>
          </cell>
          <cell r="D371" t="str">
            <v xml:space="preserve">  </v>
          </cell>
          <cell r="E371" t="str">
            <v xml:space="preserve">    </v>
          </cell>
          <cell r="F371" t="str">
            <v xml:space="preserve">   </v>
          </cell>
          <cell r="G371">
            <v>22904</v>
          </cell>
          <cell r="H371">
            <v>286704</v>
          </cell>
          <cell r="I371">
            <v>0</v>
          </cell>
          <cell r="J371">
            <v>199992</v>
          </cell>
          <cell r="K371">
            <v>86712</v>
          </cell>
          <cell r="L371">
            <v>0</v>
          </cell>
        </row>
        <row r="372">
          <cell r="A372">
            <v>1</v>
          </cell>
          <cell r="B372">
            <v>2</v>
          </cell>
          <cell r="C372">
            <v>905</v>
          </cell>
          <cell r="D372" t="str">
            <v xml:space="preserve">  </v>
          </cell>
          <cell r="E372" t="str">
            <v xml:space="preserve">    </v>
          </cell>
          <cell r="F372" t="str">
            <v xml:space="preserve">   </v>
          </cell>
          <cell r="G372">
            <v>12905</v>
          </cell>
          <cell r="H372">
            <v>5330</v>
          </cell>
          <cell r="I372">
            <v>5330</v>
          </cell>
          <cell r="J372">
            <v>0</v>
          </cell>
          <cell r="K372">
            <v>0</v>
          </cell>
          <cell r="L372">
            <v>0</v>
          </cell>
        </row>
        <row r="373">
          <cell r="A373">
            <v>2</v>
          </cell>
          <cell r="B373">
            <v>2</v>
          </cell>
          <cell r="C373">
            <v>905</v>
          </cell>
          <cell r="D373" t="str">
            <v xml:space="preserve">  </v>
          </cell>
          <cell r="E373" t="str">
            <v xml:space="preserve">    </v>
          </cell>
          <cell r="F373" t="str">
            <v xml:space="preserve">   </v>
          </cell>
          <cell r="G373">
            <v>22905</v>
          </cell>
          <cell r="H373">
            <v>66257.33</v>
          </cell>
          <cell r="I373">
            <v>66257.33</v>
          </cell>
          <cell r="J373">
            <v>0</v>
          </cell>
          <cell r="K373">
            <v>0</v>
          </cell>
          <cell r="L373">
            <v>0</v>
          </cell>
        </row>
        <row r="374">
          <cell r="A374">
            <v>1</v>
          </cell>
          <cell r="B374">
            <v>2</v>
          </cell>
          <cell r="C374">
            <v>908</v>
          </cell>
          <cell r="D374" t="str">
            <v xml:space="preserve">  </v>
          </cell>
          <cell r="E374" t="str">
            <v xml:space="preserve">    </v>
          </cell>
          <cell r="F374" t="str">
            <v xml:space="preserve">   </v>
          </cell>
          <cell r="G374">
            <v>12908</v>
          </cell>
          <cell r="H374">
            <v>43376.08</v>
          </cell>
          <cell r="I374">
            <v>3643.02</v>
          </cell>
          <cell r="J374">
            <v>23976.639999999999</v>
          </cell>
          <cell r="K374">
            <v>15756.42</v>
          </cell>
          <cell r="L374">
            <v>0</v>
          </cell>
        </row>
        <row r="375">
          <cell r="A375">
            <v>2</v>
          </cell>
          <cell r="B375">
            <v>2</v>
          </cell>
          <cell r="C375">
            <v>908</v>
          </cell>
          <cell r="D375" t="str">
            <v xml:space="preserve">  </v>
          </cell>
          <cell r="E375" t="str">
            <v xml:space="preserve">    </v>
          </cell>
          <cell r="F375" t="str">
            <v xml:space="preserve">   </v>
          </cell>
          <cell r="G375">
            <v>22908</v>
          </cell>
          <cell r="H375">
            <v>406500.52</v>
          </cell>
          <cell r="I375">
            <v>35160.04</v>
          </cell>
          <cell r="J375">
            <v>269058.56</v>
          </cell>
          <cell r="K375">
            <v>102281.92</v>
          </cell>
          <cell r="L375">
            <v>0</v>
          </cell>
        </row>
        <row r="376">
          <cell r="A376">
            <v>1</v>
          </cell>
          <cell r="B376">
            <v>2</v>
          </cell>
          <cell r="C376">
            <v>909</v>
          </cell>
          <cell r="D376" t="str">
            <v xml:space="preserve">  </v>
          </cell>
          <cell r="E376" t="str">
            <v xml:space="preserve">    </v>
          </cell>
          <cell r="F376" t="str">
            <v xml:space="preserve">   </v>
          </cell>
          <cell r="G376">
            <v>12909</v>
          </cell>
          <cell r="H376">
            <v>2082.09</v>
          </cell>
          <cell r="I376">
            <v>2082.09</v>
          </cell>
          <cell r="J376">
            <v>0</v>
          </cell>
          <cell r="K376">
            <v>0</v>
          </cell>
          <cell r="L376">
            <v>0</v>
          </cell>
        </row>
        <row r="377">
          <cell r="A377">
            <v>2</v>
          </cell>
          <cell r="B377">
            <v>2</v>
          </cell>
          <cell r="C377">
            <v>909</v>
          </cell>
          <cell r="D377" t="str">
            <v xml:space="preserve">  </v>
          </cell>
          <cell r="E377" t="str">
            <v xml:space="preserve">    </v>
          </cell>
          <cell r="F377" t="str">
            <v xml:space="preserve">   </v>
          </cell>
          <cell r="G377">
            <v>22909</v>
          </cell>
          <cell r="H377">
            <v>41694.120000000003</v>
          </cell>
          <cell r="I377">
            <v>41652.720000000001</v>
          </cell>
          <cell r="J377">
            <v>41.4</v>
          </cell>
          <cell r="K377">
            <v>0</v>
          </cell>
          <cell r="L377">
            <v>0</v>
          </cell>
        </row>
        <row r="378">
          <cell r="A378">
            <v>1</v>
          </cell>
          <cell r="B378">
            <v>2</v>
          </cell>
          <cell r="C378">
            <v>912</v>
          </cell>
          <cell r="D378" t="str">
            <v xml:space="preserve">  </v>
          </cell>
          <cell r="E378" t="str">
            <v xml:space="preserve">    </v>
          </cell>
          <cell r="F378" t="str">
            <v xml:space="preserve">   </v>
          </cell>
          <cell r="G378">
            <v>12912</v>
          </cell>
          <cell r="H378">
            <v>34583.24</v>
          </cell>
          <cell r="I378">
            <v>455.24</v>
          </cell>
          <cell r="J378">
            <v>34128</v>
          </cell>
          <cell r="K378">
            <v>0</v>
          </cell>
          <cell r="L378">
            <v>0</v>
          </cell>
        </row>
        <row r="379">
          <cell r="A379">
            <v>2</v>
          </cell>
          <cell r="B379">
            <v>2</v>
          </cell>
          <cell r="C379">
            <v>912</v>
          </cell>
          <cell r="D379" t="str">
            <v xml:space="preserve">  </v>
          </cell>
          <cell r="E379" t="str">
            <v xml:space="preserve">    </v>
          </cell>
          <cell r="F379" t="str">
            <v xml:space="preserve">   </v>
          </cell>
          <cell r="G379">
            <v>22912</v>
          </cell>
          <cell r="H379">
            <v>242082.7</v>
          </cell>
          <cell r="I379">
            <v>3244.16</v>
          </cell>
          <cell r="J379">
            <v>238838.54</v>
          </cell>
          <cell r="K379">
            <v>0</v>
          </cell>
          <cell r="L379">
            <v>0</v>
          </cell>
        </row>
        <row r="380">
          <cell r="A380">
            <v>1</v>
          </cell>
          <cell r="B380">
            <v>2</v>
          </cell>
          <cell r="C380">
            <v>913</v>
          </cell>
          <cell r="D380" t="str">
            <v xml:space="preserve">  </v>
          </cell>
          <cell r="E380" t="str">
            <v xml:space="preserve">    </v>
          </cell>
          <cell r="F380" t="str">
            <v xml:space="preserve">   </v>
          </cell>
          <cell r="G380">
            <v>12913</v>
          </cell>
          <cell r="H380">
            <v>0</v>
          </cell>
          <cell r="I380">
            <v>0</v>
          </cell>
          <cell r="J380">
            <v>0</v>
          </cell>
          <cell r="K380">
            <v>0</v>
          </cell>
          <cell r="L380">
            <v>0</v>
          </cell>
        </row>
        <row r="381">
          <cell r="A381">
            <v>2</v>
          </cell>
          <cell r="B381">
            <v>2</v>
          </cell>
          <cell r="C381">
            <v>913</v>
          </cell>
          <cell r="D381" t="str">
            <v xml:space="preserve">  </v>
          </cell>
          <cell r="E381" t="str">
            <v xml:space="preserve">    </v>
          </cell>
          <cell r="F381" t="str">
            <v xml:space="preserve">   </v>
          </cell>
          <cell r="G381">
            <v>22913</v>
          </cell>
          <cell r="H381">
            <v>67.900000000000006</v>
          </cell>
          <cell r="I381">
            <v>0</v>
          </cell>
          <cell r="J381">
            <v>67.900000000000006</v>
          </cell>
          <cell r="K381">
            <v>0</v>
          </cell>
          <cell r="L381">
            <v>0</v>
          </cell>
        </row>
        <row r="382">
          <cell r="A382">
            <v>1</v>
          </cell>
          <cell r="B382">
            <v>2</v>
          </cell>
          <cell r="C382">
            <v>920</v>
          </cell>
          <cell r="D382" t="str">
            <v xml:space="preserve">  </v>
          </cell>
          <cell r="E382" t="str">
            <v xml:space="preserve">    </v>
          </cell>
          <cell r="F382" t="str">
            <v xml:space="preserve">   </v>
          </cell>
          <cell r="G382">
            <v>12920</v>
          </cell>
          <cell r="H382">
            <v>167333.07</v>
          </cell>
          <cell r="I382">
            <v>157646.25</v>
          </cell>
          <cell r="J382">
            <v>9686.82</v>
          </cell>
          <cell r="K382">
            <v>0</v>
          </cell>
          <cell r="L382">
            <v>0</v>
          </cell>
        </row>
        <row r="383">
          <cell r="A383">
            <v>2</v>
          </cell>
          <cell r="B383">
            <v>2</v>
          </cell>
          <cell r="C383">
            <v>920</v>
          </cell>
          <cell r="D383" t="str">
            <v xml:space="preserve">  </v>
          </cell>
          <cell r="E383" t="str">
            <v xml:space="preserve">    </v>
          </cell>
          <cell r="F383" t="str">
            <v xml:space="preserve">   </v>
          </cell>
          <cell r="G383">
            <v>22920</v>
          </cell>
          <cell r="H383">
            <v>1783110.39</v>
          </cell>
          <cell r="I383">
            <v>1690809.67</v>
          </cell>
          <cell r="J383">
            <v>92170.59</v>
          </cell>
          <cell r="K383">
            <v>130.13</v>
          </cell>
          <cell r="L383">
            <v>0</v>
          </cell>
        </row>
        <row r="384">
          <cell r="A384">
            <v>1</v>
          </cell>
          <cell r="B384">
            <v>2</v>
          </cell>
          <cell r="C384">
            <v>921</v>
          </cell>
          <cell r="D384" t="str">
            <v xml:space="preserve">  </v>
          </cell>
          <cell r="E384" t="str">
            <v xml:space="preserve">    </v>
          </cell>
          <cell r="F384" t="str">
            <v xml:space="preserve">   </v>
          </cell>
          <cell r="G384">
            <v>12921</v>
          </cell>
          <cell r="H384">
            <v>191419.69</v>
          </cell>
          <cell r="I384">
            <v>169254.58</v>
          </cell>
          <cell r="J384">
            <v>20865.66</v>
          </cell>
          <cell r="K384">
            <v>1299.45</v>
          </cell>
          <cell r="L384">
            <v>0</v>
          </cell>
        </row>
        <row r="385">
          <cell r="A385">
            <v>2</v>
          </cell>
          <cell r="B385">
            <v>2</v>
          </cell>
          <cell r="C385">
            <v>921</v>
          </cell>
          <cell r="D385" t="str">
            <v xml:space="preserve">  </v>
          </cell>
          <cell r="E385" t="str">
            <v xml:space="preserve">    </v>
          </cell>
          <cell r="F385" t="str">
            <v xml:space="preserve">   </v>
          </cell>
          <cell r="G385">
            <v>22921</v>
          </cell>
          <cell r="H385">
            <v>1054302.97</v>
          </cell>
          <cell r="I385">
            <v>778736.38</v>
          </cell>
          <cell r="J385">
            <v>255687.13</v>
          </cell>
          <cell r="K385">
            <v>19879.46</v>
          </cell>
          <cell r="L385">
            <v>0</v>
          </cell>
        </row>
        <row r="386">
          <cell r="A386">
            <v>1</v>
          </cell>
          <cell r="B386">
            <v>2</v>
          </cell>
          <cell r="C386">
            <v>922</v>
          </cell>
          <cell r="D386" t="str">
            <v xml:space="preserve">  </v>
          </cell>
          <cell r="E386" t="str">
            <v xml:space="preserve">    </v>
          </cell>
          <cell r="F386" t="str">
            <v xml:space="preserve">   </v>
          </cell>
          <cell r="G386">
            <v>12922</v>
          </cell>
          <cell r="H386">
            <v>-261.02</v>
          </cell>
          <cell r="I386">
            <v>-261.02</v>
          </cell>
          <cell r="J386">
            <v>0</v>
          </cell>
          <cell r="K386">
            <v>0</v>
          </cell>
          <cell r="L386">
            <v>0</v>
          </cell>
        </row>
        <row r="387">
          <cell r="A387">
            <v>2</v>
          </cell>
          <cell r="B387">
            <v>2</v>
          </cell>
          <cell r="C387">
            <v>922</v>
          </cell>
          <cell r="D387" t="str">
            <v xml:space="preserve">  </v>
          </cell>
          <cell r="E387" t="str">
            <v xml:space="preserve">    </v>
          </cell>
          <cell r="F387" t="str">
            <v xml:space="preserve">   </v>
          </cell>
          <cell r="G387">
            <v>22922</v>
          </cell>
          <cell r="H387">
            <v>-1246.8800000000001</v>
          </cell>
          <cell r="I387">
            <v>-1246.8800000000001</v>
          </cell>
          <cell r="J387">
            <v>0</v>
          </cell>
          <cell r="K387">
            <v>0</v>
          </cell>
          <cell r="L387">
            <v>0</v>
          </cell>
        </row>
        <row r="388">
          <cell r="A388">
            <v>1</v>
          </cell>
          <cell r="B388">
            <v>2</v>
          </cell>
          <cell r="C388">
            <v>923</v>
          </cell>
          <cell r="D388" t="str">
            <v xml:space="preserve">  </v>
          </cell>
          <cell r="E388" t="str">
            <v xml:space="preserve">    </v>
          </cell>
          <cell r="F388" t="str">
            <v xml:space="preserve">   </v>
          </cell>
          <cell r="G388">
            <v>12923</v>
          </cell>
          <cell r="H388">
            <v>89678.03</v>
          </cell>
          <cell r="I388">
            <v>89678.03</v>
          </cell>
          <cell r="J388">
            <v>0</v>
          </cell>
          <cell r="K388">
            <v>0</v>
          </cell>
          <cell r="L388">
            <v>0</v>
          </cell>
        </row>
        <row r="389">
          <cell r="A389">
            <v>2</v>
          </cell>
          <cell r="B389">
            <v>2</v>
          </cell>
          <cell r="C389">
            <v>923</v>
          </cell>
          <cell r="D389" t="str">
            <v xml:space="preserve">  </v>
          </cell>
          <cell r="E389" t="str">
            <v xml:space="preserve">    </v>
          </cell>
          <cell r="F389" t="str">
            <v xml:space="preserve">   </v>
          </cell>
          <cell r="G389">
            <v>22923</v>
          </cell>
          <cell r="H389">
            <v>898076.84</v>
          </cell>
          <cell r="I389">
            <v>896485.12</v>
          </cell>
          <cell r="J389">
            <v>1591.72</v>
          </cell>
          <cell r="K389">
            <v>0</v>
          </cell>
          <cell r="L389">
            <v>0</v>
          </cell>
        </row>
        <row r="390">
          <cell r="A390">
            <v>1</v>
          </cell>
          <cell r="B390">
            <v>2</v>
          </cell>
          <cell r="C390">
            <v>924</v>
          </cell>
          <cell r="D390" t="str">
            <v xml:space="preserve">  </v>
          </cell>
          <cell r="E390" t="str">
            <v xml:space="preserve">    </v>
          </cell>
          <cell r="F390" t="str">
            <v xml:space="preserve">   </v>
          </cell>
          <cell r="G390">
            <v>12924</v>
          </cell>
          <cell r="H390">
            <v>2265.44</v>
          </cell>
          <cell r="I390">
            <v>2265.44</v>
          </cell>
          <cell r="J390">
            <v>0</v>
          </cell>
          <cell r="K390">
            <v>0</v>
          </cell>
          <cell r="L390">
            <v>0</v>
          </cell>
        </row>
        <row r="391">
          <cell r="A391">
            <v>2</v>
          </cell>
          <cell r="B391">
            <v>2</v>
          </cell>
          <cell r="C391">
            <v>924</v>
          </cell>
          <cell r="D391" t="str">
            <v xml:space="preserve">  </v>
          </cell>
          <cell r="E391" t="str">
            <v xml:space="preserve">    </v>
          </cell>
          <cell r="F391" t="str">
            <v xml:space="preserve">   </v>
          </cell>
          <cell r="G391">
            <v>22924</v>
          </cell>
          <cell r="H391">
            <v>29817.7</v>
          </cell>
          <cell r="I391">
            <v>29817.7</v>
          </cell>
          <cell r="J391">
            <v>0</v>
          </cell>
          <cell r="K391">
            <v>0</v>
          </cell>
          <cell r="L391">
            <v>0</v>
          </cell>
        </row>
        <row r="392">
          <cell r="A392">
            <v>1</v>
          </cell>
          <cell r="B392">
            <v>2</v>
          </cell>
          <cell r="C392">
            <v>925</v>
          </cell>
          <cell r="D392" t="str">
            <v xml:space="preserve">  </v>
          </cell>
          <cell r="E392" t="str">
            <v xml:space="preserve">    </v>
          </cell>
          <cell r="F392" t="str">
            <v xml:space="preserve">   </v>
          </cell>
          <cell r="G392">
            <v>12925</v>
          </cell>
          <cell r="H392">
            <v>81065.38</v>
          </cell>
          <cell r="I392">
            <v>81018.12</v>
          </cell>
          <cell r="J392">
            <v>5.59</v>
          </cell>
          <cell r="K392">
            <v>41.67</v>
          </cell>
          <cell r="L392">
            <v>0</v>
          </cell>
        </row>
        <row r="393">
          <cell r="A393">
            <v>2</v>
          </cell>
          <cell r="B393">
            <v>2</v>
          </cell>
          <cell r="C393">
            <v>925</v>
          </cell>
          <cell r="D393" t="str">
            <v xml:space="preserve">  </v>
          </cell>
          <cell r="E393" t="str">
            <v xml:space="preserve">    </v>
          </cell>
          <cell r="F393" t="str">
            <v xml:space="preserve">   </v>
          </cell>
          <cell r="G393">
            <v>22925</v>
          </cell>
          <cell r="H393">
            <v>122402.18</v>
          </cell>
          <cell r="I393">
            <v>116213.62</v>
          </cell>
          <cell r="J393">
            <v>890.55</v>
          </cell>
          <cell r="K393">
            <v>5298.01</v>
          </cell>
          <cell r="L393">
            <v>0</v>
          </cell>
        </row>
        <row r="394">
          <cell r="A394">
            <v>1</v>
          </cell>
          <cell r="B394">
            <v>2</v>
          </cell>
          <cell r="C394">
            <v>926</v>
          </cell>
          <cell r="D394" t="str">
            <v xml:space="preserve">  </v>
          </cell>
          <cell r="E394" t="str">
            <v xml:space="preserve">    </v>
          </cell>
          <cell r="F394" t="str">
            <v xml:space="preserve">   </v>
          </cell>
          <cell r="G394">
            <v>12926</v>
          </cell>
          <cell r="H394">
            <v>27883.39</v>
          </cell>
          <cell r="I394">
            <v>22473.7</v>
          </cell>
          <cell r="J394">
            <v>4427.88</v>
          </cell>
          <cell r="K394">
            <v>981.81</v>
          </cell>
          <cell r="L394">
            <v>0</v>
          </cell>
        </row>
        <row r="395">
          <cell r="A395">
            <v>2</v>
          </cell>
          <cell r="B395">
            <v>2</v>
          </cell>
          <cell r="C395">
            <v>926</v>
          </cell>
          <cell r="D395" t="str">
            <v xml:space="preserve">  </v>
          </cell>
          <cell r="E395" t="str">
            <v xml:space="preserve">    </v>
          </cell>
          <cell r="F395" t="str">
            <v xml:space="preserve">   </v>
          </cell>
          <cell r="G395">
            <v>22926</v>
          </cell>
          <cell r="H395">
            <v>258406.98</v>
          </cell>
          <cell r="I395">
            <v>186685.65</v>
          </cell>
          <cell r="J395">
            <v>50661.96</v>
          </cell>
          <cell r="K395">
            <v>21059.37</v>
          </cell>
          <cell r="L395">
            <v>0</v>
          </cell>
        </row>
        <row r="396">
          <cell r="A396">
            <v>1</v>
          </cell>
          <cell r="B396">
            <v>2</v>
          </cell>
          <cell r="C396">
            <v>930</v>
          </cell>
          <cell r="D396" t="str">
            <v xml:space="preserve">  </v>
          </cell>
          <cell r="E396" t="str">
            <v xml:space="preserve">    </v>
          </cell>
          <cell r="F396" t="str">
            <v xml:space="preserve">   </v>
          </cell>
          <cell r="G396">
            <v>12930</v>
          </cell>
          <cell r="H396">
            <v>20726.86</v>
          </cell>
          <cell r="I396">
            <v>20024.87</v>
          </cell>
          <cell r="J396">
            <v>590</v>
          </cell>
          <cell r="K396">
            <v>111.99</v>
          </cell>
          <cell r="L396">
            <v>0</v>
          </cell>
        </row>
        <row r="397">
          <cell r="A397">
            <v>2</v>
          </cell>
          <cell r="B397">
            <v>2</v>
          </cell>
          <cell r="C397">
            <v>930</v>
          </cell>
          <cell r="D397" t="str">
            <v xml:space="preserve">  </v>
          </cell>
          <cell r="E397" t="str">
            <v xml:space="preserve">    </v>
          </cell>
          <cell r="F397" t="str">
            <v xml:space="preserve">   </v>
          </cell>
          <cell r="G397">
            <v>22930</v>
          </cell>
          <cell r="H397">
            <v>218124.16</v>
          </cell>
          <cell r="I397">
            <v>203947.16</v>
          </cell>
          <cell r="J397">
            <v>13792.52</v>
          </cell>
          <cell r="K397">
            <v>384.48</v>
          </cell>
          <cell r="L397">
            <v>0</v>
          </cell>
        </row>
        <row r="398">
          <cell r="A398">
            <v>1</v>
          </cell>
          <cell r="B398">
            <v>2</v>
          </cell>
          <cell r="C398">
            <v>931</v>
          </cell>
          <cell r="D398" t="str">
            <v xml:space="preserve">  </v>
          </cell>
          <cell r="E398" t="str">
            <v xml:space="preserve">    </v>
          </cell>
          <cell r="F398" t="str">
            <v xml:space="preserve">   </v>
          </cell>
          <cell r="G398">
            <v>12931</v>
          </cell>
          <cell r="H398">
            <v>56672.51</v>
          </cell>
          <cell r="I398">
            <v>52002.51</v>
          </cell>
          <cell r="J398">
            <v>4670</v>
          </cell>
          <cell r="K398">
            <v>0</v>
          </cell>
          <cell r="L398">
            <v>0</v>
          </cell>
        </row>
        <row r="399">
          <cell r="A399">
            <v>2</v>
          </cell>
          <cell r="B399">
            <v>2</v>
          </cell>
          <cell r="C399">
            <v>931</v>
          </cell>
          <cell r="D399" t="str">
            <v xml:space="preserve">  </v>
          </cell>
          <cell r="E399" t="str">
            <v xml:space="preserve">    </v>
          </cell>
          <cell r="F399" t="str">
            <v xml:space="preserve">   </v>
          </cell>
          <cell r="G399">
            <v>22931</v>
          </cell>
          <cell r="H399">
            <v>638851.39</v>
          </cell>
          <cell r="I399">
            <v>583791.39</v>
          </cell>
          <cell r="J399">
            <v>55060</v>
          </cell>
          <cell r="K399">
            <v>0</v>
          </cell>
          <cell r="L399">
            <v>0</v>
          </cell>
        </row>
        <row r="400">
          <cell r="A400">
            <v>1</v>
          </cell>
          <cell r="B400">
            <v>2</v>
          </cell>
          <cell r="C400">
            <v>935</v>
          </cell>
          <cell r="D400" t="str">
            <v xml:space="preserve">  </v>
          </cell>
          <cell r="E400" t="str">
            <v xml:space="preserve">    </v>
          </cell>
          <cell r="F400" t="str">
            <v xml:space="preserve">   </v>
          </cell>
          <cell r="G400">
            <v>12935</v>
          </cell>
          <cell r="H400">
            <v>27628.639999999999</v>
          </cell>
          <cell r="I400">
            <v>19541.12</v>
          </cell>
          <cell r="J400">
            <v>3586.43</v>
          </cell>
          <cell r="K400">
            <v>4501.09</v>
          </cell>
          <cell r="L400">
            <v>0</v>
          </cell>
        </row>
        <row r="401">
          <cell r="A401">
            <v>2</v>
          </cell>
          <cell r="B401">
            <v>2</v>
          </cell>
          <cell r="C401">
            <v>935</v>
          </cell>
          <cell r="D401" t="str">
            <v xml:space="preserve">  </v>
          </cell>
          <cell r="E401" t="str">
            <v xml:space="preserve">    </v>
          </cell>
          <cell r="F401" t="str">
            <v xml:space="preserve">   </v>
          </cell>
          <cell r="G401">
            <v>22935</v>
          </cell>
          <cell r="H401">
            <v>189875.12</v>
          </cell>
          <cell r="I401">
            <v>119044.64</v>
          </cell>
          <cell r="J401">
            <v>38330.800000000003</v>
          </cell>
          <cell r="K401">
            <v>32499.68</v>
          </cell>
          <cell r="L401">
            <v>0</v>
          </cell>
        </row>
        <row r="402">
          <cell r="A402">
            <v>1</v>
          </cell>
          <cell r="B402">
            <v>0</v>
          </cell>
          <cell r="C402">
            <v>411</v>
          </cell>
          <cell r="D402" t="str">
            <v>4X</v>
          </cell>
          <cell r="E402" t="str">
            <v xml:space="preserve">    </v>
          </cell>
          <cell r="F402" t="str">
            <v xml:space="preserve">   </v>
          </cell>
          <cell r="G402" t="str">
            <v xml:space="preserve">104114X       </v>
          </cell>
          <cell r="H402">
            <v>-4045</v>
          </cell>
          <cell r="I402">
            <v>0</v>
          </cell>
          <cell r="J402">
            <v>-2162</v>
          </cell>
          <cell r="K402">
            <v>-1883</v>
          </cell>
          <cell r="L402">
            <v>0</v>
          </cell>
        </row>
        <row r="403">
          <cell r="A403">
            <v>2</v>
          </cell>
          <cell r="B403">
            <v>0</v>
          </cell>
          <cell r="C403">
            <v>411</v>
          </cell>
          <cell r="D403" t="str">
            <v>4X</v>
          </cell>
          <cell r="E403" t="str">
            <v xml:space="preserve">    </v>
          </cell>
          <cell r="F403" t="str">
            <v xml:space="preserve">   </v>
          </cell>
          <cell r="G403" t="str">
            <v xml:space="preserve">204114X       </v>
          </cell>
          <cell r="H403">
            <v>-48540</v>
          </cell>
          <cell r="I403">
            <v>0</v>
          </cell>
          <cell r="J403">
            <v>-25944</v>
          </cell>
          <cell r="K403">
            <v>-22596</v>
          </cell>
          <cell r="L403">
            <v>0</v>
          </cell>
        </row>
        <row r="404">
          <cell r="A404">
            <v>1</v>
          </cell>
          <cell r="B404">
            <v>0</v>
          </cell>
          <cell r="C404">
            <v>442</v>
          </cell>
          <cell r="D404" t="str">
            <v>2X</v>
          </cell>
          <cell r="E404" t="str">
            <v xml:space="preserve">    </v>
          </cell>
          <cell r="F404" t="str">
            <v xml:space="preserve">   </v>
          </cell>
          <cell r="G404" t="str">
            <v xml:space="preserve">104422X       </v>
          </cell>
          <cell r="H404">
            <v>-13257893.550000001</v>
          </cell>
          <cell r="I404">
            <v>0</v>
          </cell>
          <cell r="J404">
            <v>-9212851.6799999997</v>
          </cell>
          <cell r="K404">
            <v>-4045041.87</v>
          </cell>
          <cell r="L404">
            <v>0</v>
          </cell>
        </row>
        <row r="405">
          <cell r="A405">
            <v>2</v>
          </cell>
          <cell r="B405">
            <v>0</v>
          </cell>
          <cell r="C405">
            <v>442</v>
          </cell>
          <cell r="D405" t="str">
            <v>2X</v>
          </cell>
          <cell r="E405" t="str">
            <v xml:space="preserve">    </v>
          </cell>
          <cell r="F405" t="str">
            <v xml:space="preserve">   </v>
          </cell>
          <cell r="G405" t="str">
            <v xml:space="preserve">204422X       </v>
          </cell>
          <cell r="H405">
            <v>-149240050.38999999</v>
          </cell>
          <cell r="I405">
            <v>0</v>
          </cell>
          <cell r="J405">
            <v>-103751349.39</v>
          </cell>
          <cell r="K405">
            <v>-45488701</v>
          </cell>
          <cell r="L405">
            <v>0</v>
          </cell>
        </row>
        <row r="406">
          <cell r="A406">
            <v>1</v>
          </cell>
          <cell r="B406">
            <v>0</v>
          </cell>
          <cell r="C406">
            <v>442</v>
          </cell>
          <cell r="D406" t="str">
            <v>3X</v>
          </cell>
          <cell r="E406" t="str">
            <v xml:space="preserve">    </v>
          </cell>
          <cell r="F406" t="str">
            <v xml:space="preserve">   </v>
          </cell>
          <cell r="G406" t="str">
            <v xml:space="preserve">104423X       </v>
          </cell>
          <cell r="H406">
            <v>-5058394.6500000004</v>
          </cell>
          <cell r="I406">
            <v>-1438730</v>
          </cell>
          <cell r="J406">
            <v>-2083209.52</v>
          </cell>
          <cell r="K406">
            <v>-1536455.13</v>
          </cell>
          <cell r="L406">
            <v>0</v>
          </cell>
        </row>
        <row r="407">
          <cell r="A407">
            <v>2</v>
          </cell>
          <cell r="B407">
            <v>0</v>
          </cell>
          <cell r="C407">
            <v>442</v>
          </cell>
          <cell r="D407" t="str">
            <v>3X</v>
          </cell>
          <cell r="E407" t="str">
            <v xml:space="preserve">    </v>
          </cell>
          <cell r="F407" t="str">
            <v xml:space="preserve">   </v>
          </cell>
          <cell r="G407" t="str">
            <v xml:space="preserve">204423X       </v>
          </cell>
          <cell r="H407">
            <v>-59215031.579999998</v>
          </cell>
          <cell r="I407">
            <v>-16840065.370000001</v>
          </cell>
          <cell r="J407">
            <v>-23397866.100000001</v>
          </cell>
          <cell r="K407">
            <v>-18977100.109999999</v>
          </cell>
          <cell r="L407">
            <v>0</v>
          </cell>
        </row>
        <row r="408">
          <cell r="A408">
            <v>1</v>
          </cell>
          <cell r="B408">
            <v>0</v>
          </cell>
          <cell r="C408">
            <v>442</v>
          </cell>
          <cell r="D408" t="str">
            <v>4X</v>
          </cell>
          <cell r="E408" t="str">
            <v xml:space="preserve">    </v>
          </cell>
          <cell r="F408" t="str">
            <v xml:space="preserve">   </v>
          </cell>
          <cell r="G408" t="str">
            <v xml:space="preserve">104424X       </v>
          </cell>
          <cell r="H408">
            <v>-445191.43</v>
          </cell>
          <cell r="I408">
            <v>-445191.43</v>
          </cell>
          <cell r="J408">
            <v>0</v>
          </cell>
          <cell r="K408">
            <v>0</v>
          </cell>
          <cell r="L408">
            <v>0</v>
          </cell>
        </row>
        <row r="409">
          <cell r="A409">
            <v>2</v>
          </cell>
          <cell r="B409">
            <v>0</v>
          </cell>
          <cell r="C409">
            <v>442</v>
          </cell>
          <cell r="D409" t="str">
            <v>4X</v>
          </cell>
          <cell r="E409" t="str">
            <v xml:space="preserve">    </v>
          </cell>
          <cell r="F409" t="str">
            <v xml:space="preserve">   </v>
          </cell>
          <cell r="G409" t="str">
            <v xml:space="preserve">204424X       </v>
          </cell>
          <cell r="H409">
            <v>-4752361.9000000004</v>
          </cell>
          <cell r="I409">
            <v>-4752361.9000000004</v>
          </cell>
          <cell r="J409">
            <v>0</v>
          </cell>
          <cell r="K409">
            <v>0</v>
          </cell>
          <cell r="L409">
            <v>0</v>
          </cell>
        </row>
        <row r="410">
          <cell r="A410">
            <v>1</v>
          </cell>
          <cell r="B410">
            <v>0</v>
          </cell>
          <cell r="C410">
            <v>456</v>
          </cell>
          <cell r="D410" t="str">
            <v>1X</v>
          </cell>
          <cell r="E410" t="str">
            <v xml:space="preserve">    </v>
          </cell>
          <cell r="F410" t="str">
            <v xml:space="preserve">   </v>
          </cell>
          <cell r="G410" t="str">
            <v xml:space="preserve">104561X       </v>
          </cell>
          <cell r="H410">
            <v>-414989</v>
          </cell>
          <cell r="I410">
            <v>-414989</v>
          </cell>
          <cell r="J410">
            <v>0</v>
          </cell>
          <cell r="K410">
            <v>0</v>
          </cell>
          <cell r="L410">
            <v>0</v>
          </cell>
        </row>
        <row r="411">
          <cell r="A411">
            <v>2</v>
          </cell>
          <cell r="B411">
            <v>0</v>
          </cell>
          <cell r="C411">
            <v>456</v>
          </cell>
          <cell r="D411" t="str">
            <v>1X</v>
          </cell>
          <cell r="E411" t="str">
            <v xml:space="preserve">    </v>
          </cell>
          <cell r="F411" t="str">
            <v xml:space="preserve">   </v>
          </cell>
          <cell r="G411" t="str">
            <v xml:space="preserve">204561X       </v>
          </cell>
          <cell r="H411">
            <v>-414989</v>
          </cell>
          <cell r="I411">
            <v>-414989</v>
          </cell>
          <cell r="J411">
            <v>0</v>
          </cell>
          <cell r="K411">
            <v>0</v>
          </cell>
          <cell r="L411">
            <v>0</v>
          </cell>
        </row>
        <row r="412">
          <cell r="A412">
            <v>1</v>
          </cell>
          <cell r="B412">
            <v>0</v>
          </cell>
          <cell r="C412">
            <v>456</v>
          </cell>
          <cell r="D412" t="str">
            <v>7X</v>
          </cell>
          <cell r="E412" t="str">
            <v xml:space="preserve">    </v>
          </cell>
          <cell r="F412" t="str">
            <v xml:space="preserve">   </v>
          </cell>
          <cell r="G412" t="str">
            <v xml:space="preserve">104567X       </v>
          </cell>
          <cell r="H412">
            <v>-1191036.92</v>
          </cell>
          <cell r="I412">
            <v>-1191036.92</v>
          </cell>
          <cell r="J412">
            <v>0</v>
          </cell>
          <cell r="K412">
            <v>0</v>
          </cell>
          <cell r="L412">
            <v>0</v>
          </cell>
        </row>
        <row r="413">
          <cell r="A413">
            <v>2</v>
          </cell>
          <cell r="B413">
            <v>0</v>
          </cell>
          <cell r="C413">
            <v>456</v>
          </cell>
          <cell r="D413" t="str">
            <v>7X</v>
          </cell>
          <cell r="E413" t="str">
            <v xml:space="preserve">    </v>
          </cell>
          <cell r="F413" t="str">
            <v xml:space="preserve">   </v>
          </cell>
          <cell r="G413" t="str">
            <v xml:space="preserve">204567X       </v>
          </cell>
          <cell r="H413">
            <v>-18380548.52</v>
          </cell>
          <cell r="I413">
            <v>-16398595.85</v>
          </cell>
          <cell r="J413">
            <v>-1735720.97</v>
          </cell>
          <cell r="K413">
            <v>-246231.7</v>
          </cell>
          <cell r="L413">
            <v>0</v>
          </cell>
        </row>
        <row r="414">
          <cell r="A414">
            <v>1</v>
          </cell>
          <cell r="B414">
            <v>0</v>
          </cell>
          <cell r="C414">
            <v>456</v>
          </cell>
          <cell r="D414" t="str">
            <v>8X</v>
          </cell>
          <cell r="E414" t="str">
            <v xml:space="preserve">    </v>
          </cell>
          <cell r="F414" t="str">
            <v xml:space="preserve">   </v>
          </cell>
          <cell r="G414" t="str">
            <v xml:space="preserve">104568X       </v>
          </cell>
          <cell r="H414">
            <v>-23141.78</v>
          </cell>
          <cell r="I414">
            <v>-6495.71</v>
          </cell>
          <cell r="J414">
            <v>-16646.07</v>
          </cell>
          <cell r="K414">
            <v>0</v>
          </cell>
          <cell r="L414">
            <v>0</v>
          </cell>
        </row>
        <row r="415">
          <cell r="A415">
            <v>2</v>
          </cell>
          <cell r="B415">
            <v>0</v>
          </cell>
          <cell r="C415">
            <v>456</v>
          </cell>
          <cell r="D415" t="str">
            <v>8X</v>
          </cell>
          <cell r="E415" t="str">
            <v xml:space="preserve">    </v>
          </cell>
          <cell r="F415" t="str">
            <v xml:space="preserve">   </v>
          </cell>
          <cell r="G415" t="str">
            <v xml:space="preserve">204568X       </v>
          </cell>
          <cell r="H415">
            <v>-245986.83</v>
          </cell>
          <cell r="I415">
            <v>-40960.910000000003</v>
          </cell>
          <cell r="J415">
            <v>-205025.92000000001</v>
          </cell>
          <cell r="K415">
            <v>0</v>
          </cell>
          <cell r="L415">
            <v>0</v>
          </cell>
        </row>
        <row r="416">
          <cell r="A416">
            <v>1</v>
          </cell>
          <cell r="B416">
            <v>1</v>
          </cell>
          <cell r="C416">
            <v>411</v>
          </cell>
          <cell r="D416" t="str">
            <v>4X</v>
          </cell>
          <cell r="E416" t="str">
            <v xml:space="preserve">    </v>
          </cell>
          <cell r="F416" t="str">
            <v xml:space="preserve">   </v>
          </cell>
          <cell r="G416" t="str">
            <v xml:space="preserve">114114X       </v>
          </cell>
          <cell r="H416">
            <v>-4109</v>
          </cell>
          <cell r="I416">
            <v>0</v>
          </cell>
          <cell r="J416">
            <v>-2555</v>
          </cell>
          <cell r="K416">
            <v>-1554</v>
          </cell>
          <cell r="L416">
            <v>0</v>
          </cell>
        </row>
        <row r="417">
          <cell r="A417">
            <v>2</v>
          </cell>
          <cell r="B417">
            <v>1</v>
          </cell>
          <cell r="C417">
            <v>411</v>
          </cell>
          <cell r="D417" t="str">
            <v>4X</v>
          </cell>
          <cell r="E417" t="str">
            <v xml:space="preserve">    </v>
          </cell>
          <cell r="F417" t="str">
            <v xml:space="preserve">   </v>
          </cell>
          <cell r="G417" t="str">
            <v xml:space="preserve">214114X       </v>
          </cell>
          <cell r="H417">
            <v>-49308</v>
          </cell>
          <cell r="I417">
            <v>0</v>
          </cell>
          <cell r="J417">
            <v>-30627</v>
          </cell>
          <cell r="K417">
            <v>-18681</v>
          </cell>
          <cell r="L417">
            <v>0</v>
          </cell>
        </row>
        <row r="418">
          <cell r="A418">
            <v>1</v>
          </cell>
          <cell r="B418">
            <v>1</v>
          </cell>
          <cell r="C418">
            <v>481</v>
          </cell>
          <cell r="D418" t="str">
            <v>1X</v>
          </cell>
          <cell r="E418" t="str">
            <v xml:space="preserve">    </v>
          </cell>
          <cell r="F418" t="str">
            <v xml:space="preserve">   </v>
          </cell>
          <cell r="G418" t="str">
            <v xml:space="preserve">114811X       </v>
          </cell>
          <cell r="H418">
            <v>0</v>
          </cell>
          <cell r="I418">
            <v>0</v>
          </cell>
          <cell r="J418">
            <v>0</v>
          </cell>
          <cell r="K418">
            <v>0</v>
          </cell>
          <cell r="L418">
            <v>0</v>
          </cell>
        </row>
        <row r="419">
          <cell r="A419">
            <v>2</v>
          </cell>
          <cell r="B419">
            <v>1</v>
          </cell>
          <cell r="C419">
            <v>481</v>
          </cell>
          <cell r="D419" t="str">
            <v>1X</v>
          </cell>
          <cell r="E419" t="str">
            <v xml:space="preserve">    </v>
          </cell>
          <cell r="F419" t="str">
            <v xml:space="preserve">   </v>
          </cell>
          <cell r="G419" t="str">
            <v xml:space="preserve">214811X       </v>
          </cell>
          <cell r="H419">
            <v>249049.92</v>
          </cell>
          <cell r="I419">
            <v>0</v>
          </cell>
          <cell r="J419">
            <v>245488.64000000001</v>
          </cell>
          <cell r="K419">
            <v>3561.28</v>
          </cell>
          <cell r="L419">
            <v>0</v>
          </cell>
        </row>
        <row r="420">
          <cell r="A420">
            <v>1</v>
          </cell>
          <cell r="B420">
            <v>1</v>
          </cell>
          <cell r="C420">
            <v>481</v>
          </cell>
          <cell r="D420" t="str">
            <v>2X</v>
          </cell>
          <cell r="E420" t="str">
            <v xml:space="preserve">    </v>
          </cell>
          <cell r="F420" t="str">
            <v xml:space="preserve">   </v>
          </cell>
          <cell r="G420" t="str">
            <v xml:space="preserve">114812X       </v>
          </cell>
          <cell r="H420">
            <v>-4184138.84</v>
          </cell>
          <cell r="I420">
            <v>0</v>
          </cell>
          <cell r="J420">
            <v>-2960781.27</v>
          </cell>
          <cell r="K420">
            <v>-1223357.57</v>
          </cell>
          <cell r="L420">
            <v>0</v>
          </cell>
        </row>
        <row r="421">
          <cell r="A421">
            <v>2</v>
          </cell>
          <cell r="B421">
            <v>1</v>
          </cell>
          <cell r="C421">
            <v>481</v>
          </cell>
          <cell r="D421" t="str">
            <v>2X</v>
          </cell>
          <cell r="E421" t="str">
            <v xml:space="preserve">    </v>
          </cell>
          <cell r="F421" t="str">
            <v xml:space="preserve">   </v>
          </cell>
          <cell r="G421" t="str">
            <v xml:space="preserve">214812X       </v>
          </cell>
          <cell r="H421">
            <v>-30321121.18</v>
          </cell>
          <cell r="I421">
            <v>0</v>
          </cell>
          <cell r="J421">
            <v>-20729603.210000001</v>
          </cell>
          <cell r="K421">
            <v>-9591517.9700000007</v>
          </cell>
          <cell r="L421">
            <v>0</v>
          </cell>
        </row>
        <row r="422">
          <cell r="A422">
            <v>1</v>
          </cell>
          <cell r="B422">
            <v>1</v>
          </cell>
          <cell r="C422">
            <v>481</v>
          </cell>
          <cell r="D422" t="str">
            <v>3X</v>
          </cell>
          <cell r="E422" t="str">
            <v xml:space="preserve">    </v>
          </cell>
          <cell r="F422" t="str">
            <v xml:space="preserve">   </v>
          </cell>
          <cell r="G422" t="str">
            <v xml:space="preserve">114813X       </v>
          </cell>
          <cell r="H422">
            <v>-368370.08</v>
          </cell>
          <cell r="I422">
            <v>0</v>
          </cell>
          <cell r="J422">
            <v>-215539.96</v>
          </cell>
          <cell r="K422">
            <v>-152830.12</v>
          </cell>
          <cell r="L422">
            <v>0</v>
          </cell>
        </row>
        <row r="423">
          <cell r="A423">
            <v>2</v>
          </cell>
          <cell r="B423">
            <v>1</v>
          </cell>
          <cell r="C423">
            <v>481</v>
          </cell>
          <cell r="D423" t="str">
            <v>3X</v>
          </cell>
          <cell r="E423" t="str">
            <v xml:space="preserve">    </v>
          </cell>
          <cell r="F423" t="str">
            <v xml:space="preserve">   </v>
          </cell>
          <cell r="G423" t="str">
            <v xml:space="preserve">214813X       </v>
          </cell>
          <cell r="H423">
            <v>-3287107.47</v>
          </cell>
          <cell r="I423">
            <v>0</v>
          </cell>
          <cell r="J423">
            <v>-1785485.59</v>
          </cell>
          <cell r="K423">
            <v>-1501621.88</v>
          </cell>
          <cell r="L423">
            <v>0</v>
          </cell>
        </row>
        <row r="424">
          <cell r="A424">
            <v>1</v>
          </cell>
          <cell r="B424">
            <v>1</v>
          </cell>
          <cell r="C424">
            <v>481</v>
          </cell>
          <cell r="D424" t="str">
            <v>4X</v>
          </cell>
          <cell r="E424" t="str">
            <v xml:space="preserve">    </v>
          </cell>
          <cell r="F424" t="str">
            <v xml:space="preserve">   </v>
          </cell>
          <cell r="G424" t="str">
            <v xml:space="preserve">114814X       </v>
          </cell>
          <cell r="H424">
            <v>-4022.33</v>
          </cell>
          <cell r="I424">
            <v>0</v>
          </cell>
          <cell r="J424">
            <v>0</v>
          </cell>
          <cell r="K424">
            <v>-4022.33</v>
          </cell>
          <cell r="L424">
            <v>0</v>
          </cell>
        </row>
        <row r="425">
          <cell r="A425">
            <v>2</v>
          </cell>
          <cell r="B425">
            <v>1</v>
          </cell>
          <cell r="C425">
            <v>481</v>
          </cell>
          <cell r="D425" t="str">
            <v>4X</v>
          </cell>
          <cell r="E425" t="str">
            <v xml:space="preserve">    </v>
          </cell>
          <cell r="F425" t="str">
            <v xml:space="preserve">   </v>
          </cell>
          <cell r="G425" t="str">
            <v xml:space="preserve">214814X       </v>
          </cell>
          <cell r="H425">
            <v>-159049.81</v>
          </cell>
          <cell r="I425">
            <v>0</v>
          </cell>
          <cell r="J425">
            <v>-78554.48</v>
          </cell>
          <cell r="K425">
            <v>-80495.33</v>
          </cell>
          <cell r="L425">
            <v>0</v>
          </cell>
        </row>
        <row r="426">
          <cell r="A426">
            <v>1</v>
          </cell>
          <cell r="B426">
            <v>1</v>
          </cell>
          <cell r="C426">
            <v>495</v>
          </cell>
          <cell r="D426" t="str">
            <v>9X</v>
          </cell>
          <cell r="E426" t="str">
            <v xml:space="preserve">    </v>
          </cell>
          <cell r="F426" t="str">
            <v xml:space="preserve">   </v>
          </cell>
          <cell r="G426" t="str">
            <v xml:space="preserve">114959X       </v>
          </cell>
          <cell r="H426">
            <v>-245241.83</v>
          </cell>
          <cell r="I426">
            <v>-245241.83</v>
          </cell>
          <cell r="J426">
            <v>0</v>
          </cell>
          <cell r="K426">
            <v>0</v>
          </cell>
          <cell r="L426">
            <v>0</v>
          </cell>
        </row>
        <row r="427">
          <cell r="A427">
            <v>2</v>
          </cell>
          <cell r="B427">
            <v>1</v>
          </cell>
          <cell r="C427">
            <v>495</v>
          </cell>
          <cell r="D427" t="str">
            <v>9X</v>
          </cell>
          <cell r="E427" t="str">
            <v xml:space="preserve">    </v>
          </cell>
          <cell r="F427" t="str">
            <v xml:space="preserve">   </v>
          </cell>
          <cell r="G427" t="str">
            <v xml:space="preserve">214959X       </v>
          </cell>
          <cell r="H427">
            <v>-2942901.96</v>
          </cell>
          <cell r="I427">
            <v>-2942901.96</v>
          </cell>
          <cell r="J427">
            <v>0</v>
          </cell>
          <cell r="K427">
            <v>0</v>
          </cell>
          <cell r="L427">
            <v>0</v>
          </cell>
        </row>
        <row r="428">
          <cell r="A428">
            <v>1</v>
          </cell>
          <cell r="B428">
            <v>2</v>
          </cell>
          <cell r="C428">
            <v>481</v>
          </cell>
          <cell r="D428" t="str">
            <v>2X</v>
          </cell>
          <cell r="E428" t="str">
            <v xml:space="preserve">    </v>
          </cell>
          <cell r="F428" t="str">
            <v xml:space="preserve">   </v>
          </cell>
          <cell r="G428" t="str">
            <v xml:space="preserve">124812X       </v>
          </cell>
          <cell r="H428">
            <v>-2297875.88</v>
          </cell>
          <cell r="I428">
            <v>0</v>
          </cell>
          <cell r="J428">
            <v>-1909649.74</v>
          </cell>
          <cell r="K428">
            <v>-388226.14</v>
          </cell>
          <cell r="L428">
            <v>0</v>
          </cell>
        </row>
        <row r="429">
          <cell r="A429">
            <v>2</v>
          </cell>
          <cell r="B429">
            <v>2</v>
          </cell>
          <cell r="C429">
            <v>481</v>
          </cell>
          <cell r="D429" t="str">
            <v>2X</v>
          </cell>
          <cell r="E429" t="str">
            <v xml:space="preserve">    </v>
          </cell>
          <cell r="F429" t="str">
            <v xml:space="preserve">   </v>
          </cell>
          <cell r="G429" t="str">
            <v xml:space="preserve">224812X       </v>
          </cell>
          <cell r="H429">
            <v>-18321438.890000001</v>
          </cell>
          <cell r="I429">
            <v>0</v>
          </cell>
          <cell r="J429">
            <v>-14594069.17</v>
          </cell>
          <cell r="K429">
            <v>-3727369.72</v>
          </cell>
          <cell r="L429">
            <v>0</v>
          </cell>
        </row>
        <row r="430">
          <cell r="A430">
            <v>1</v>
          </cell>
          <cell r="B430">
            <v>2</v>
          </cell>
          <cell r="C430">
            <v>481</v>
          </cell>
          <cell r="D430" t="str">
            <v>3X</v>
          </cell>
          <cell r="E430" t="str">
            <v xml:space="preserve">    </v>
          </cell>
          <cell r="F430" t="str">
            <v xml:space="preserve">   </v>
          </cell>
          <cell r="G430" t="str">
            <v xml:space="preserve">124813X       </v>
          </cell>
          <cell r="H430">
            <v>-30291.91</v>
          </cell>
          <cell r="I430">
            <v>0</v>
          </cell>
          <cell r="J430">
            <v>-30291.91</v>
          </cell>
          <cell r="K430">
            <v>0</v>
          </cell>
          <cell r="L430">
            <v>0</v>
          </cell>
        </row>
        <row r="431">
          <cell r="A431">
            <v>2</v>
          </cell>
          <cell r="B431">
            <v>2</v>
          </cell>
          <cell r="C431">
            <v>481</v>
          </cell>
          <cell r="D431" t="str">
            <v>3X</v>
          </cell>
          <cell r="E431" t="str">
            <v xml:space="preserve">    </v>
          </cell>
          <cell r="F431" t="str">
            <v xml:space="preserve">   </v>
          </cell>
          <cell r="G431" t="str">
            <v xml:space="preserve">224813X       </v>
          </cell>
          <cell r="H431">
            <v>-352126.09</v>
          </cell>
          <cell r="I431">
            <v>0</v>
          </cell>
          <cell r="J431">
            <v>-352126.09</v>
          </cell>
          <cell r="K431">
            <v>0</v>
          </cell>
          <cell r="L431">
            <v>0</v>
          </cell>
        </row>
        <row r="432">
          <cell r="A432">
            <v>1</v>
          </cell>
          <cell r="B432">
            <v>2</v>
          </cell>
          <cell r="C432">
            <v>481</v>
          </cell>
          <cell r="D432" t="str">
            <v>4X</v>
          </cell>
          <cell r="E432" t="str">
            <v xml:space="preserve">    </v>
          </cell>
          <cell r="F432" t="str">
            <v xml:space="preserve">   </v>
          </cell>
          <cell r="G432" t="str">
            <v xml:space="preserve">124814X       </v>
          </cell>
          <cell r="H432">
            <v>-163155.5</v>
          </cell>
          <cell r="I432">
            <v>0</v>
          </cell>
          <cell r="J432">
            <v>-163155.5</v>
          </cell>
          <cell r="K432">
            <v>0</v>
          </cell>
          <cell r="L432">
            <v>0</v>
          </cell>
        </row>
        <row r="433">
          <cell r="A433">
            <v>2</v>
          </cell>
          <cell r="B433">
            <v>2</v>
          </cell>
          <cell r="C433">
            <v>481</v>
          </cell>
          <cell r="D433" t="str">
            <v>4X</v>
          </cell>
          <cell r="E433" t="str">
            <v xml:space="preserve">    </v>
          </cell>
          <cell r="F433" t="str">
            <v xml:space="preserve">   </v>
          </cell>
          <cell r="G433" t="str">
            <v xml:space="preserve">224814X       </v>
          </cell>
          <cell r="H433">
            <v>-1491589.6</v>
          </cell>
          <cell r="I433">
            <v>0</v>
          </cell>
          <cell r="J433">
            <v>-1491589.6</v>
          </cell>
          <cell r="K433">
            <v>0</v>
          </cell>
          <cell r="L433">
            <v>0</v>
          </cell>
        </row>
        <row r="434">
          <cell r="A434">
            <v>1</v>
          </cell>
          <cell r="B434">
            <v>0</v>
          </cell>
          <cell r="C434">
            <v>403</v>
          </cell>
          <cell r="D434">
            <v>10</v>
          </cell>
          <cell r="E434" t="str">
            <v xml:space="preserve">    </v>
          </cell>
          <cell r="F434" t="str">
            <v xml:space="preserve">   </v>
          </cell>
          <cell r="G434">
            <v>1040310</v>
          </cell>
          <cell r="H434">
            <v>1083913</v>
          </cell>
          <cell r="I434">
            <v>1083913</v>
          </cell>
          <cell r="J434">
            <v>0</v>
          </cell>
          <cell r="K434">
            <v>0</v>
          </cell>
          <cell r="L434">
            <v>0</v>
          </cell>
        </row>
        <row r="435">
          <cell r="A435">
            <v>2</v>
          </cell>
          <cell r="B435">
            <v>0</v>
          </cell>
          <cell r="C435">
            <v>403</v>
          </cell>
          <cell r="D435">
            <v>10</v>
          </cell>
          <cell r="E435" t="str">
            <v xml:space="preserve">    </v>
          </cell>
          <cell r="F435" t="str">
            <v xml:space="preserve">   </v>
          </cell>
          <cell r="G435">
            <v>2040310</v>
          </cell>
          <cell r="H435">
            <v>12942358</v>
          </cell>
          <cell r="I435">
            <v>12942358</v>
          </cell>
          <cell r="J435">
            <v>0</v>
          </cell>
          <cell r="K435">
            <v>0</v>
          </cell>
          <cell r="L435">
            <v>0</v>
          </cell>
        </row>
        <row r="436">
          <cell r="A436">
            <v>1</v>
          </cell>
          <cell r="B436">
            <v>0</v>
          </cell>
          <cell r="C436">
            <v>403</v>
          </cell>
          <cell r="D436">
            <v>20</v>
          </cell>
          <cell r="E436" t="str">
            <v xml:space="preserve">    </v>
          </cell>
          <cell r="F436" t="str">
            <v xml:space="preserve">   </v>
          </cell>
          <cell r="G436">
            <v>1040320</v>
          </cell>
          <cell r="H436">
            <v>285575</v>
          </cell>
          <cell r="I436">
            <v>285575</v>
          </cell>
          <cell r="J436">
            <v>0</v>
          </cell>
          <cell r="K436">
            <v>0</v>
          </cell>
          <cell r="L436">
            <v>0</v>
          </cell>
        </row>
        <row r="437">
          <cell r="A437">
            <v>2</v>
          </cell>
          <cell r="B437">
            <v>0</v>
          </cell>
          <cell r="C437">
            <v>403</v>
          </cell>
          <cell r="D437">
            <v>20</v>
          </cell>
          <cell r="E437" t="str">
            <v xml:space="preserve">    </v>
          </cell>
          <cell r="F437" t="str">
            <v xml:space="preserve">   </v>
          </cell>
          <cell r="G437">
            <v>2040320</v>
          </cell>
          <cell r="H437">
            <v>3014629</v>
          </cell>
          <cell r="I437">
            <v>3014629</v>
          </cell>
          <cell r="J437">
            <v>0</v>
          </cell>
          <cell r="K437">
            <v>0</v>
          </cell>
          <cell r="L437">
            <v>0</v>
          </cell>
        </row>
        <row r="438">
          <cell r="A438">
            <v>1</v>
          </cell>
          <cell r="B438">
            <v>0</v>
          </cell>
          <cell r="C438">
            <v>403</v>
          </cell>
          <cell r="D438">
            <v>30</v>
          </cell>
          <cell r="E438" t="str">
            <v xml:space="preserve">    </v>
          </cell>
          <cell r="F438" t="str">
            <v xml:space="preserve">   </v>
          </cell>
          <cell r="G438">
            <v>1040330</v>
          </cell>
          <cell r="H438">
            <v>42444</v>
          </cell>
          <cell r="I438">
            <v>42444</v>
          </cell>
          <cell r="J438">
            <v>0</v>
          </cell>
          <cell r="K438">
            <v>0</v>
          </cell>
          <cell r="L438">
            <v>0</v>
          </cell>
        </row>
        <row r="439">
          <cell r="A439">
            <v>2</v>
          </cell>
          <cell r="B439">
            <v>0</v>
          </cell>
          <cell r="C439">
            <v>403</v>
          </cell>
          <cell r="D439">
            <v>30</v>
          </cell>
          <cell r="E439" t="str">
            <v xml:space="preserve">    </v>
          </cell>
          <cell r="F439" t="str">
            <v xml:space="preserve">   </v>
          </cell>
          <cell r="G439">
            <v>2040330</v>
          </cell>
          <cell r="H439">
            <v>501288</v>
          </cell>
          <cell r="I439">
            <v>501288</v>
          </cell>
          <cell r="J439">
            <v>0</v>
          </cell>
          <cell r="K439">
            <v>0</v>
          </cell>
          <cell r="L439">
            <v>0</v>
          </cell>
        </row>
        <row r="440">
          <cell r="A440">
            <v>1</v>
          </cell>
          <cell r="B440">
            <v>0</v>
          </cell>
          <cell r="C440">
            <v>403</v>
          </cell>
          <cell r="D440">
            <v>40</v>
          </cell>
          <cell r="E440" t="str">
            <v xml:space="preserve">    </v>
          </cell>
          <cell r="F440" t="str">
            <v xml:space="preserve">   </v>
          </cell>
          <cell r="G440">
            <v>1040340</v>
          </cell>
          <cell r="H440">
            <v>501511</v>
          </cell>
          <cell r="I440">
            <v>501511</v>
          </cell>
          <cell r="J440">
            <v>0</v>
          </cell>
          <cell r="K440">
            <v>0</v>
          </cell>
          <cell r="L440">
            <v>0</v>
          </cell>
        </row>
        <row r="441">
          <cell r="A441">
            <v>2</v>
          </cell>
          <cell r="B441">
            <v>0</v>
          </cell>
          <cell r="C441">
            <v>403</v>
          </cell>
          <cell r="D441">
            <v>40</v>
          </cell>
          <cell r="E441" t="str">
            <v xml:space="preserve">    </v>
          </cell>
          <cell r="F441" t="str">
            <v xml:space="preserve">   </v>
          </cell>
          <cell r="G441">
            <v>2040340</v>
          </cell>
          <cell r="H441">
            <v>6368323</v>
          </cell>
          <cell r="I441">
            <v>6368323</v>
          </cell>
          <cell r="J441">
            <v>0</v>
          </cell>
          <cell r="K441">
            <v>0</v>
          </cell>
          <cell r="L441">
            <v>0</v>
          </cell>
        </row>
        <row r="442">
          <cell r="A442">
            <v>1</v>
          </cell>
          <cell r="B442">
            <v>0</v>
          </cell>
          <cell r="C442">
            <v>403</v>
          </cell>
          <cell r="D442">
            <v>50</v>
          </cell>
          <cell r="E442" t="str">
            <v xml:space="preserve">    </v>
          </cell>
          <cell r="F442" t="str">
            <v xml:space="preserve">   </v>
          </cell>
          <cell r="G442">
            <v>1040350</v>
          </cell>
          <cell r="H442">
            <v>1073738</v>
          </cell>
          <cell r="I442">
            <v>1073738</v>
          </cell>
          <cell r="J442">
            <v>0</v>
          </cell>
          <cell r="K442">
            <v>0</v>
          </cell>
          <cell r="L442">
            <v>0</v>
          </cell>
        </row>
        <row r="443">
          <cell r="A443">
            <v>2</v>
          </cell>
          <cell r="B443">
            <v>0</v>
          </cell>
          <cell r="C443">
            <v>403</v>
          </cell>
          <cell r="D443">
            <v>50</v>
          </cell>
          <cell r="E443" t="str">
            <v xml:space="preserve">    </v>
          </cell>
          <cell r="F443" t="str">
            <v xml:space="preserve">   </v>
          </cell>
          <cell r="G443">
            <v>2040350</v>
          </cell>
          <cell r="H443">
            <v>13066467</v>
          </cell>
          <cell r="I443">
            <v>13066467</v>
          </cell>
          <cell r="J443">
            <v>0</v>
          </cell>
          <cell r="K443">
            <v>0</v>
          </cell>
          <cell r="L443">
            <v>0</v>
          </cell>
        </row>
        <row r="444">
          <cell r="A444">
            <v>1</v>
          </cell>
          <cell r="B444">
            <v>0</v>
          </cell>
          <cell r="C444">
            <v>403</v>
          </cell>
          <cell r="D444">
            <v>60</v>
          </cell>
          <cell r="E444" t="str">
            <v xml:space="preserve">    </v>
          </cell>
          <cell r="F444" t="str">
            <v xml:space="preserve">   </v>
          </cell>
          <cell r="G444">
            <v>1040360</v>
          </cell>
          <cell r="H444">
            <v>186057.45</v>
          </cell>
          <cell r="I444">
            <v>186057.45</v>
          </cell>
          <cell r="J444">
            <v>0</v>
          </cell>
          <cell r="K444">
            <v>0</v>
          </cell>
          <cell r="L444">
            <v>0</v>
          </cell>
        </row>
        <row r="445">
          <cell r="A445">
            <v>2</v>
          </cell>
          <cell r="B445">
            <v>0</v>
          </cell>
          <cell r="C445">
            <v>403</v>
          </cell>
          <cell r="D445">
            <v>60</v>
          </cell>
          <cell r="E445" t="str">
            <v xml:space="preserve">    </v>
          </cell>
          <cell r="F445" t="str">
            <v xml:space="preserve">   </v>
          </cell>
          <cell r="G445">
            <v>2040360</v>
          </cell>
          <cell r="H445">
            <v>3042723.11</v>
          </cell>
          <cell r="I445">
            <v>3042723.11</v>
          </cell>
          <cell r="J445">
            <v>0</v>
          </cell>
          <cell r="K445">
            <v>0</v>
          </cell>
          <cell r="L445">
            <v>0</v>
          </cell>
        </row>
        <row r="446">
          <cell r="A446">
            <v>1</v>
          </cell>
          <cell r="B446">
            <v>0</v>
          </cell>
          <cell r="C446">
            <v>403</v>
          </cell>
          <cell r="D446">
            <v>70</v>
          </cell>
          <cell r="E446" t="str">
            <v xml:space="preserve">    </v>
          </cell>
          <cell r="F446" t="str">
            <v xml:space="preserve">   </v>
          </cell>
          <cell r="G446">
            <v>1040370</v>
          </cell>
          <cell r="H446">
            <v>16020.14</v>
          </cell>
          <cell r="I446">
            <v>16020.14</v>
          </cell>
          <cell r="J446">
            <v>0</v>
          </cell>
          <cell r="K446">
            <v>0</v>
          </cell>
          <cell r="L446">
            <v>0</v>
          </cell>
        </row>
        <row r="447">
          <cell r="A447">
            <v>2</v>
          </cell>
          <cell r="B447">
            <v>0</v>
          </cell>
          <cell r="C447">
            <v>403</v>
          </cell>
          <cell r="D447">
            <v>70</v>
          </cell>
          <cell r="E447" t="str">
            <v xml:space="preserve">    </v>
          </cell>
          <cell r="F447" t="str">
            <v xml:space="preserve">   </v>
          </cell>
          <cell r="G447">
            <v>2040370</v>
          </cell>
          <cell r="H447">
            <v>191414.05</v>
          </cell>
          <cell r="I447">
            <v>191414.05</v>
          </cell>
          <cell r="J447">
            <v>0</v>
          </cell>
          <cell r="K447">
            <v>0</v>
          </cell>
          <cell r="L447">
            <v>0</v>
          </cell>
        </row>
        <row r="448">
          <cell r="A448">
            <v>1</v>
          </cell>
          <cell r="B448">
            <v>0</v>
          </cell>
          <cell r="C448">
            <v>404</v>
          </cell>
          <cell r="D448">
            <v>0</v>
          </cell>
          <cell r="E448" t="str">
            <v xml:space="preserve">    </v>
          </cell>
          <cell r="F448" t="str">
            <v xml:space="preserve">   </v>
          </cell>
          <cell r="G448">
            <v>1040400</v>
          </cell>
          <cell r="H448">
            <v>1152</v>
          </cell>
          <cell r="I448">
            <v>1152</v>
          </cell>
          <cell r="J448">
            <v>0</v>
          </cell>
          <cell r="K448">
            <v>0</v>
          </cell>
          <cell r="L448">
            <v>0</v>
          </cell>
        </row>
        <row r="449">
          <cell r="A449">
            <v>2</v>
          </cell>
          <cell r="B449">
            <v>0</v>
          </cell>
          <cell r="C449">
            <v>404</v>
          </cell>
          <cell r="D449">
            <v>0</v>
          </cell>
          <cell r="E449" t="str">
            <v xml:space="preserve">    </v>
          </cell>
          <cell r="F449" t="str">
            <v xml:space="preserve">   </v>
          </cell>
          <cell r="G449">
            <v>2040400</v>
          </cell>
          <cell r="H449">
            <v>13824</v>
          </cell>
          <cell r="I449">
            <v>13824</v>
          </cell>
          <cell r="J449">
            <v>0</v>
          </cell>
          <cell r="K449">
            <v>0</v>
          </cell>
          <cell r="L449">
            <v>0</v>
          </cell>
        </row>
        <row r="450">
          <cell r="A450">
            <v>1</v>
          </cell>
          <cell r="B450">
            <v>0</v>
          </cell>
          <cell r="C450">
            <v>404</v>
          </cell>
          <cell r="D450">
            <v>30</v>
          </cell>
          <cell r="E450" t="str">
            <v xml:space="preserve">    </v>
          </cell>
          <cell r="F450" t="str">
            <v xml:space="preserve">   </v>
          </cell>
          <cell r="G450">
            <v>1040430</v>
          </cell>
          <cell r="H450">
            <v>-63808.82</v>
          </cell>
          <cell r="I450">
            <v>-63808.82</v>
          </cell>
          <cell r="J450">
            <v>0</v>
          </cell>
          <cell r="K450">
            <v>0</v>
          </cell>
          <cell r="L450">
            <v>0</v>
          </cell>
        </row>
        <row r="451">
          <cell r="A451">
            <v>2</v>
          </cell>
          <cell r="B451">
            <v>0</v>
          </cell>
          <cell r="C451">
            <v>404</v>
          </cell>
          <cell r="D451">
            <v>30</v>
          </cell>
          <cell r="E451" t="str">
            <v xml:space="preserve">    </v>
          </cell>
          <cell r="F451" t="str">
            <v xml:space="preserve">   </v>
          </cell>
          <cell r="G451">
            <v>2040430</v>
          </cell>
          <cell r="H451">
            <v>628573.65</v>
          </cell>
          <cell r="I451">
            <v>628573.65</v>
          </cell>
          <cell r="J451">
            <v>0</v>
          </cell>
          <cell r="K451">
            <v>0</v>
          </cell>
          <cell r="L451">
            <v>0</v>
          </cell>
        </row>
        <row r="452">
          <cell r="A452">
            <v>1</v>
          </cell>
          <cell r="B452">
            <v>0</v>
          </cell>
          <cell r="C452">
            <v>404</v>
          </cell>
          <cell r="D452">
            <v>60</v>
          </cell>
          <cell r="E452" t="str">
            <v xml:space="preserve">    </v>
          </cell>
          <cell r="F452" t="str">
            <v xml:space="preserve">   </v>
          </cell>
          <cell r="G452">
            <v>1040460</v>
          </cell>
          <cell r="H452">
            <v>55522.58</v>
          </cell>
          <cell r="I452">
            <v>55522.58</v>
          </cell>
          <cell r="J452">
            <v>0</v>
          </cell>
          <cell r="K452">
            <v>0</v>
          </cell>
          <cell r="L452">
            <v>0</v>
          </cell>
        </row>
        <row r="453">
          <cell r="A453">
            <v>2</v>
          </cell>
          <cell r="B453">
            <v>0</v>
          </cell>
          <cell r="C453">
            <v>404</v>
          </cell>
          <cell r="D453">
            <v>60</v>
          </cell>
          <cell r="E453" t="str">
            <v xml:space="preserve">    </v>
          </cell>
          <cell r="F453" t="str">
            <v xml:space="preserve">   </v>
          </cell>
          <cell r="G453">
            <v>2040460</v>
          </cell>
          <cell r="H453">
            <v>458802.44</v>
          </cell>
          <cell r="I453">
            <v>458802.44</v>
          </cell>
          <cell r="J453">
            <v>0</v>
          </cell>
          <cell r="K453">
            <v>0</v>
          </cell>
          <cell r="L453">
            <v>0</v>
          </cell>
        </row>
        <row r="454">
          <cell r="A454">
            <v>1</v>
          </cell>
          <cell r="B454">
            <v>0</v>
          </cell>
          <cell r="C454">
            <v>407</v>
          </cell>
          <cell r="D454">
            <v>0</v>
          </cell>
          <cell r="E454" t="str">
            <v xml:space="preserve">    </v>
          </cell>
          <cell r="F454" t="str">
            <v xml:space="preserve">   </v>
          </cell>
          <cell r="G454">
            <v>1040700</v>
          </cell>
          <cell r="H454">
            <v>37922</v>
          </cell>
          <cell r="I454">
            <v>0</v>
          </cell>
          <cell r="J454">
            <v>0</v>
          </cell>
          <cell r="K454">
            <v>37922</v>
          </cell>
          <cell r="L454">
            <v>0</v>
          </cell>
        </row>
        <row r="455">
          <cell r="A455">
            <v>2</v>
          </cell>
          <cell r="B455">
            <v>0</v>
          </cell>
          <cell r="C455">
            <v>407</v>
          </cell>
          <cell r="D455">
            <v>0</v>
          </cell>
          <cell r="E455" t="str">
            <v xml:space="preserve">    </v>
          </cell>
          <cell r="F455" t="str">
            <v xml:space="preserve">   </v>
          </cell>
          <cell r="G455">
            <v>2040700</v>
          </cell>
          <cell r="H455">
            <v>455064</v>
          </cell>
          <cell r="I455">
            <v>0</v>
          </cell>
          <cell r="J455">
            <v>0</v>
          </cell>
          <cell r="K455">
            <v>455064</v>
          </cell>
          <cell r="L455">
            <v>0</v>
          </cell>
        </row>
        <row r="456">
          <cell r="A456">
            <v>1</v>
          </cell>
          <cell r="B456">
            <v>0</v>
          </cell>
          <cell r="C456">
            <v>407</v>
          </cell>
          <cell r="D456">
            <v>4</v>
          </cell>
          <cell r="E456" t="str">
            <v xml:space="preserve">    </v>
          </cell>
          <cell r="F456" t="str">
            <v xml:space="preserve">   </v>
          </cell>
          <cell r="G456">
            <v>1040704</v>
          </cell>
          <cell r="H456">
            <v>0</v>
          </cell>
          <cell r="I456">
            <v>0</v>
          </cell>
          <cell r="J456">
            <v>0</v>
          </cell>
          <cell r="K456">
            <v>0</v>
          </cell>
          <cell r="L456">
            <v>0</v>
          </cell>
        </row>
        <row r="457">
          <cell r="A457">
            <v>2</v>
          </cell>
          <cell r="B457">
            <v>0</v>
          </cell>
          <cell r="C457">
            <v>407</v>
          </cell>
          <cell r="D457">
            <v>4</v>
          </cell>
          <cell r="E457" t="str">
            <v xml:space="preserve">    </v>
          </cell>
          <cell r="F457" t="str">
            <v xml:space="preserve">   </v>
          </cell>
          <cell r="G457">
            <v>2040704</v>
          </cell>
          <cell r="H457">
            <v>-11077.4</v>
          </cell>
          <cell r="I457">
            <v>-11077.4</v>
          </cell>
          <cell r="J457">
            <v>0</v>
          </cell>
          <cell r="K457">
            <v>0</v>
          </cell>
          <cell r="L457">
            <v>0</v>
          </cell>
        </row>
        <row r="458">
          <cell r="A458">
            <v>1</v>
          </cell>
          <cell r="B458">
            <v>0</v>
          </cell>
          <cell r="C458">
            <v>408</v>
          </cell>
          <cell r="D458">
            <v>11</v>
          </cell>
          <cell r="E458" t="str">
            <v xml:space="preserve">    </v>
          </cell>
          <cell r="F458" t="str">
            <v xml:space="preserve">   </v>
          </cell>
          <cell r="G458">
            <v>1040811</v>
          </cell>
          <cell r="H458">
            <v>1695093.64</v>
          </cell>
          <cell r="I458">
            <v>0</v>
          </cell>
          <cell r="J458">
            <v>1694918.02</v>
          </cell>
          <cell r="K458">
            <v>175.62</v>
          </cell>
          <cell r="L458">
            <v>0</v>
          </cell>
        </row>
        <row r="459">
          <cell r="A459">
            <v>2</v>
          </cell>
          <cell r="B459">
            <v>0</v>
          </cell>
          <cell r="C459">
            <v>408</v>
          </cell>
          <cell r="D459">
            <v>11</v>
          </cell>
          <cell r="E459" t="str">
            <v xml:space="preserve">    </v>
          </cell>
          <cell r="F459" t="str">
            <v xml:space="preserve">   </v>
          </cell>
          <cell r="G459">
            <v>2040811</v>
          </cell>
          <cell r="H459">
            <v>10334577.880000001</v>
          </cell>
          <cell r="I459">
            <v>0</v>
          </cell>
          <cell r="J459">
            <v>10340750.859999999</v>
          </cell>
          <cell r="K459">
            <v>-6172.98</v>
          </cell>
          <cell r="L459">
            <v>0</v>
          </cell>
        </row>
        <row r="460">
          <cell r="A460">
            <v>1</v>
          </cell>
          <cell r="B460">
            <v>0</v>
          </cell>
          <cell r="C460">
            <v>408</v>
          </cell>
          <cell r="D460">
            <v>12</v>
          </cell>
          <cell r="E460" t="str">
            <v xml:space="preserve">    </v>
          </cell>
          <cell r="F460" t="str">
            <v xml:space="preserve">   </v>
          </cell>
          <cell r="G460">
            <v>1040812</v>
          </cell>
          <cell r="H460">
            <v>593207.68000000005</v>
          </cell>
          <cell r="I460">
            <v>0</v>
          </cell>
          <cell r="J460">
            <v>593207.68000000005</v>
          </cell>
          <cell r="K460">
            <v>0</v>
          </cell>
          <cell r="L460">
            <v>0</v>
          </cell>
        </row>
        <row r="461">
          <cell r="A461">
            <v>2</v>
          </cell>
          <cell r="B461">
            <v>0</v>
          </cell>
          <cell r="C461">
            <v>408</v>
          </cell>
          <cell r="D461">
            <v>12</v>
          </cell>
          <cell r="E461" t="str">
            <v xml:space="preserve">    </v>
          </cell>
          <cell r="F461" t="str">
            <v xml:space="preserve">   </v>
          </cell>
          <cell r="G461">
            <v>2040812</v>
          </cell>
          <cell r="H461">
            <v>7982235.2699999996</v>
          </cell>
          <cell r="I461">
            <v>0</v>
          </cell>
          <cell r="J461">
            <v>7982235.2699999996</v>
          </cell>
          <cell r="K461">
            <v>0</v>
          </cell>
          <cell r="L461">
            <v>0</v>
          </cell>
        </row>
        <row r="462">
          <cell r="A462">
            <v>1</v>
          </cell>
          <cell r="B462">
            <v>0</v>
          </cell>
          <cell r="C462">
            <v>408</v>
          </cell>
          <cell r="D462">
            <v>13</v>
          </cell>
          <cell r="E462" t="str">
            <v xml:space="preserve">    </v>
          </cell>
          <cell r="F462" t="str">
            <v xml:space="preserve">   </v>
          </cell>
          <cell r="G462">
            <v>1040813</v>
          </cell>
          <cell r="H462">
            <v>0</v>
          </cell>
          <cell r="I462">
            <v>0</v>
          </cell>
          <cell r="J462">
            <v>0</v>
          </cell>
          <cell r="K462">
            <v>0</v>
          </cell>
          <cell r="L462">
            <v>0</v>
          </cell>
        </row>
        <row r="463">
          <cell r="A463">
            <v>2</v>
          </cell>
          <cell r="B463">
            <v>0</v>
          </cell>
          <cell r="C463">
            <v>408</v>
          </cell>
          <cell r="D463">
            <v>13</v>
          </cell>
          <cell r="E463" t="str">
            <v xml:space="preserve">    </v>
          </cell>
          <cell r="F463" t="str">
            <v xml:space="preserve">   </v>
          </cell>
          <cell r="G463">
            <v>2040813</v>
          </cell>
          <cell r="H463">
            <v>2375.5300000000002</v>
          </cell>
          <cell r="I463">
            <v>0</v>
          </cell>
          <cell r="J463">
            <v>2375.5300000000002</v>
          </cell>
          <cell r="K463">
            <v>0</v>
          </cell>
          <cell r="L463">
            <v>0</v>
          </cell>
        </row>
        <row r="464">
          <cell r="A464">
            <v>1</v>
          </cell>
          <cell r="B464">
            <v>0</v>
          </cell>
          <cell r="C464">
            <v>408</v>
          </cell>
          <cell r="D464">
            <v>14</v>
          </cell>
          <cell r="E464" t="str">
            <v xml:space="preserve">    </v>
          </cell>
          <cell r="F464" t="str">
            <v xml:space="preserve">   </v>
          </cell>
          <cell r="G464">
            <v>1040814</v>
          </cell>
          <cell r="H464">
            <v>83247.7</v>
          </cell>
          <cell r="I464">
            <v>83247.7</v>
          </cell>
          <cell r="J464">
            <v>0</v>
          </cell>
          <cell r="K464">
            <v>0</v>
          </cell>
          <cell r="L464">
            <v>0</v>
          </cell>
        </row>
        <row r="465">
          <cell r="A465">
            <v>2</v>
          </cell>
          <cell r="B465">
            <v>0</v>
          </cell>
          <cell r="C465">
            <v>408</v>
          </cell>
          <cell r="D465">
            <v>14</v>
          </cell>
          <cell r="E465" t="str">
            <v xml:space="preserve">    </v>
          </cell>
          <cell r="F465" t="str">
            <v xml:space="preserve">   </v>
          </cell>
          <cell r="G465">
            <v>2040814</v>
          </cell>
          <cell r="H465">
            <v>1056105.18</v>
          </cell>
          <cell r="I465">
            <v>1056105.18</v>
          </cell>
          <cell r="J465">
            <v>0</v>
          </cell>
          <cell r="K465">
            <v>0</v>
          </cell>
          <cell r="L465">
            <v>0</v>
          </cell>
        </row>
        <row r="466">
          <cell r="A466">
            <v>1</v>
          </cell>
          <cell r="B466">
            <v>0</v>
          </cell>
          <cell r="C466">
            <v>408</v>
          </cell>
          <cell r="D466">
            <v>15</v>
          </cell>
          <cell r="E466" t="str">
            <v xml:space="preserve">    </v>
          </cell>
          <cell r="F466" t="str">
            <v xml:space="preserve">   </v>
          </cell>
          <cell r="G466">
            <v>1040815</v>
          </cell>
          <cell r="H466">
            <v>1445937</v>
          </cell>
          <cell r="I466">
            <v>505872</v>
          </cell>
          <cell r="J466">
            <v>696900</v>
          </cell>
          <cell r="K466">
            <v>243165</v>
          </cell>
          <cell r="L466">
            <v>0</v>
          </cell>
        </row>
        <row r="467">
          <cell r="A467">
            <v>2</v>
          </cell>
          <cell r="B467">
            <v>0</v>
          </cell>
          <cell r="C467">
            <v>408</v>
          </cell>
          <cell r="D467">
            <v>15</v>
          </cell>
          <cell r="E467" t="str">
            <v xml:space="preserve">    </v>
          </cell>
          <cell r="F467" t="str">
            <v xml:space="preserve">   </v>
          </cell>
          <cell r="G467">
            <v>2040815</v>
          </cell>
          <cell r="H467">
            <v>20403000.030000001</v>
          </cell>
          <cell r="I467">
            <v>8533000.0199999996</v>
          </cell>
          <cell r="J467">
            <v>8100000.0099999998</v>
          </cell>
          <cell r="K467">
            <v>3770000</v>
          </cell>
          <cell r="L467">
            <v>0</v>
          </cell>
        </row>
        <row r="468">
          <cell r="A468">
            <v>1</v>
          </cell>
          <cell r="B468">
            <v>0</v>
          </cell>
          <cell r="C468">
            <v>408</v>
          </cell>
          <cell r="D468">
            <v>16</v>
          </cell>
          <cell r="E468" t="str">
            <v xml:space="preserve">    </v>
          </cell>
          <cell r="F468" t="str">
            <v xml:space="preserve">   </v>
          </cell>
          <cell r="G468">
            <v>1040816</v>
          </cell>
          <cell r="H468">
            <v>7</v>
          </cell>
          <cell r="I468">
            <v>0</v>
          </cell>
          <cell r="J468">
            <v>0</v>
          </cell>
          <cell r="K468">
            <v>7</v>
          </cell>
          <cell r="L468">
            <v>0</v>
          </cell>
        </row>
        <row r="469">
          <cell r="A469">
            <v>2</v>
          </cell>
          <cell r="B469">
            <v>0</v>
          </cell>
          <cell r="C469">
            <v>408</v>
          </cell>
          <cell r="D469">
            <v>16</v>
          </cell>
          <cell r="E469" t="str">
            <v xml:space="preserve">    </v>
          </cell>
          <cell r="F469" t="str">
            <v xml:space="preserve">   </v>
          </cell>
          <cell r="G469">
            <v>2040816</v>
          </cell>
          <cell r="H469">
            <v>29381.13</v>
          </cell>
          <cell r="I469">
            <v>5966.23</v>
          </cell>
          <cell r="J469">
            <v>16448.830000000002</v>
          </cell>
          <cell r="K469">
            <v>6966.07</v>
          </cell>
          <cell r="L469">
            <v>0</v>
          </cell>
        </row>
        <row r="470">
          <cell r="A470">
            <v>1</v>
          </cell>
          <cell r="B470">
            <v>0</v>
          </cell>
          <cell r="C470">
            <v>409</v>
          </cell>
          <cell r="D470">
            <v>11</v>
          </cell>
          <cell r="E470" t="str">
            <v xml:space="preserve">    </v>
          </cell>
          <cell r="F470" t="str">
            <v xml:space="preserve">   </v>
          </cell>
          <cell r="G470">
            <v>1040911</v>
          </cell>
          <cell r="H470">
            <v>-547006</v>
          </cell>
          <cell r="I470">
            <v>-547006</v>
          </cell>
          <cell r="J470">
            <v>0</v>
          </cell>
          <cell r="K470">
            <v>0</v>
          </cell>
          <cell r="L470">
            <v>0</v>
          </cell>
        </row>
        <row r="471">
          <cell r="A471">
            <v>2</v>
          </cell>
          <cell r="B471">
            <v>0</v>
          </cell>
          <cell r="C471">
            <v>409</v>
          </cell>
          <cell r="D471">
            <v>11</v>
          </cell>
          <cell r="E471" t="str">
            <v xml:space="preserve">    </v>
          </cell>
          <cell r="F471" t="str">
            <v xml:space="preserve">   </v>
          </cell>
          <cell r="G471">
            <v>2040911</v>
          </cell>
          <cell r="H471">
            <v>18316140</v>
          </cell>
          <cell r="I471">
            <v>18316140</v>
          </cell>
          <cell r="J471">
            <v>0</v>
          </cell>
          <cell r="K471">
            <v>0</v>
          </cell>
          <cell r="L471">
            <v>0</v>
          </cell>
        </row>
        <row r="472">
          <cell r="A472">
            <v>1</v>
          </cell>
          <cell r="B472">
            <v>0</v>
          </cell>
          <cell r="C472">
            <v>409</v>
          </cell>
          <cell r="D472">
            <v>13</v>
          </cell>
          <cell r="E472" t="str">
            <v xml:space="preserve">    </v>
          </cell>
          <cell r="F472" t="str">
            <v xml:space="preserve">   </v>
          </cell>
          <cell r="G472">
            <v>1040913</v>
          </cell>
          <cell r="H472">
            <v>70198</v>
          </cell>
          <cell r="I472">
            <v>0</v>
          </cell>
          <cell r="J472">
            <v>0</v>
          </cell>
          <cell r="K472">
            <v>70198</v>
          </cell>
          <cell r="L472">
            <v>0</v>
          </cell>
        </row>
        <row r="473">
          <cell r="A473">
            <v>2</v>
          </cell>
          <cell r="B473">
            <v>0</v>
          </cell>
          <cell r="C473">
            <v>409</v>
          </cell>
          <cell r="D473">
            <v>13</v>
          </cell>
          <cell r="E473" t="str">
            <v xml:space="preserve">    </v>
          </cell>
          <cell r="F473" t="str">
            <v xml:space="preserve">   </v>
          </cell>
          <cell r="G473">
            <v>2040913</v>
          </cell>
          <cell r="H473">
            <v>1147219.18</v>
          </cell>
          <cell r="I473">
            <v>0</v>
          </cell>
          <cell r="J473">
            <v>0</v>
          </cell>
          <cell r="K473">
            <v>1147219.18</v>
          </cell>
          <cell r="L473">
            <v>0</v>
          </cell>
        </row>
        <row r="474">
          <cell r="A474">
            <v>1</v>
          </cell>
          <cell r="B474">
            <v>0</v>
          </cell>
          <cell r="C474">
            <v>409</v>
          </cell>
          <cell r="D474">
            <v>14</v>
          </cell>
          <cell r="E474" t="str">
            <v xml:space="preserve">    </v>
          </cell>
          <cell r="F474" t="str">
            <v xml:space="preserve">   </v>
          </cell>
          <cell r="G474">
            <v>1040914</v>
          </cell>
          <cell r="H474">
            <v>27176</v>
          </cell>
          <cell r="I474">
            <v>27176</v>
          </cell>
          <cell r="J474">
            <v>0</v>
          </cell>
          <cell r="K474">
            <v>0</v>
          </cell>
          <cell r="L474">
            <v>0</v>
          </cell>
        </row>
        <row r="475">
          <cell r="A475">
            <v>2</v>
          </cell>
          <cell r="B475">
            <v>0</v>
          </cell>
          <cell r="C475">
            <v>409</v>
          </cell>
          <cell r="D475">
            <v>14</v>
          </cell>
          <cell r="E475" t="str">
            <v xml:space="preserve">    </v>
          </cell>
          <cell r="F475" t="str">
            <v xml:space="preserve">   </v>
          </cell>
          <cell r="G475">
            <v>2040914</v>
          </cell>
          <cell r="H475">
            <v>518999</v>
          </cell>
          <cell r="I475">
            <v>518999</v>
          </cell>
          <cell r="J475">
            <v>0</v>
          </cell>
          <cell r="K475">
            <v>0</v>
          </cell>
          <cell r="L475">
            <v>0</v>
          </cell>
        </row>
        <row r="476">
          <cell r="A476">
            <v>1</v>
          </cell>
          <cell r="B476">
            <v>0</v>
          </cell>
          <cell r="C476">
            <v>410</v>
          </cell>
          <cell r="D476">
            <v>10</v>
          </cell>
          <cell r="E476" t="str">
            <v xml:space="preserve">    </v>
          </cell>
          <cell r="F476" t="str">
            <v xml:space="preserve">   </v>
          </cell>
          <cell r="G476">
            <v>1041010</v>
          </cell>
          <cell r="H476">
            <v>1006253.03</v>
          </cell>
          <cell r="I476">
            <v>732128.03</v>
          </cell>
          <cell r="J476">
            <v>-3289</v>
          </cell>
          <cell r="K476">
            <v>277414</v>
          </cell>
          <cell r="L476">
            <v>0</v>
          </cell>
        </row>
        <row r="477">
          <cell r="A477">
            <v>2</v>
          </cell>
          <cell r="B477">
            <v>0</v>
          </cell>
          <cell r="C477">
            <v>410</v>
          </cell>
          <cell r="D477">
            <v>10</v>
          </cell>
          <cell r="E477" t="str">
            <v xml:space="preserve">    </v>
          </cell>
          <cell r="F477" t="str">
            <v xml:space="preserve">   </v>
          </cell>
          <cell r="G477">
            <v>2041010</v>
          </cell>
          <cell r="H477">
            <v>11460926.02</v>
          </cell>
          <cell r="I477">
            <v>6842902.0199999996</v>
          </cell>
          <cell r="J477">
            <v>-39468</v>
          </cell>
          <cell r="K477">
            <v>4657492</v>
          </cell>
          <cell r="L477">
            <v>0</v>
          </cell>
        </row>
        <row r="478">
          <cell r="A478">
            <v>1</v>
          </cell>
          <cell r="B478">
            <v>0</v>
          </cell>
          <cell r="C478">
            <v>410</v>
          </cell>
          <cell r="D478">
            <v>14</v>
          </cell>
          <cell r="E478" t="str">
            <v xml:space="preserve">    </v>
          </cell>
          <cell r="F478" t="str">
            <v xml:space="preserve">   </v>
          </cell>
          <cell r="G478">
            <v>1041014</v>
          </cell>
          <cell r="H478">
            <v>77165.66</v>
          </cell>
          <cell r="I478">
            <v>0</v>
          </cell>
          <cell r="J478">
            <v>0</v>
          </cell>
          <cell r="K478">
            <v>77165.66</v>
          </cell>
          <cell r="L478">
            <v>0</v>
          </cell>
        </row>
        <row r="479">
          <cell r="A479">
            <v>2</v>
          </cell>
          <cell r="B479">
            <v>0</v>
          </cell>
          <cell r="C479">
            <v>410</v>
          </cell>
          <cell r="D479">
            <v>14</v>
          </cell>
          <cell r="E479" t="str">
            <v xml:space="preserve">    </v>
          </cell>
          <cell r="F479" t="str">
            <v xml:space="preserve">   </v>
          </cell>
          <cell r="G479">
            <v>2041014</v>
          </cell>
          <cell r="H479">
            <v>571173.52</v>
          </cell>
          <cell r="I479">
            <v>0</v>
          </cell>
          <cell r="J479">
            <v>0</v>
          </cell>
          <cell r="K479">
            <v>571173.52</v>
          </cell>
          <cell r="L479">
            <v>0</v>
          </cell>
        </row>
        <row r="480">
          <cell r="A480">
            <v>1</v>
          </cell>
          <cell r="B480">
            <v>0</v>
          </cell>
          <cell r="C480">
            <v>411</v>
          </cell>
          <cell r="D480">
            <v>10</v>
          </cell>
          <cell r="E480" t="str">
            <v xml:space="preserve">    </v>
          </cell>
          <cell r="F480" t="str">
            <v xml:space="preserve">   </v>
          </cell>
          <cell r="G480">
            <v>1041110</v>
          </cell>
          <cell r="H480">
            <v>-434985.27</v>
          </cell>
          <cell r="I480">
            <v>-285982.27</v>
          </cell>
          <cell r="J480">
            <v>-37931</v>
          </cell>
          <cell r="K480">
            <v>-111072</v>
          </cell>
          <cell r="L480">
            <v>0</v>
          </cell>
        </row>
        <row r="481">
          <cell r="A481">
            <v>2</v>
          </cell>
          <cell r="B481">
            <v>0</v>
          </cell>
          <cell r="C481">
            <v>411</v>
          </cell>
          <cell r="D481">
            <v>10</v>
          </cell>
          <cell r="E481" t="str">
            <v xml:space="preserve">    </v>
          </cell>
          <cell r="F481" t="str">
            <v xml:space="preserve">   </v>
          </cell>
          <cell r="G481">
            <v>2041110</v>
          </cell>
          <cell r="H481">
            <v>-4326463.08</v>
          </cell>
          <cell r="I481">
            <v>-1914304.33</v>
          </cell>
          <cell r="J481">
            <v>-469661</v>
          </cell>
          <cell r="K481">
            <v>-1942497.75</v>
          </cell>
          <cell r="L481">
            <v>0</v>
          </cell>
        </row>
        <row r="482">
          <cell r="A482">
            <v>1</v>
          </cell>
          <cell r="B482">
            <v>0</v>
          </cell>
          <cell r="C482">
            <v>903</v>
          </cell>
          <cell r="D482">
            <v>10</v>
          </cell>
          <cell r="E482" t="str">
            <v xml:space="preserve">    </v>
          </cell>
          <cell r="F482" t="str">
            <v xml:space="preserve">   </v>
          </cell>
          <cell r="G482">
            <v>1090310</v>
          </cell>
          <cell r="H482">
            <v>79.13</v>
          </cell>
          <cell r="I482">
            <v>0</v>
          </cell>
          <cell r="J482">
            <v>79.13</v>
          </cell>
          <cell r="K482">
            <v>0</v>
          </cell>
          <cell r="L482">
            <v>0</v>
          </cell>
        </row>
        <row r="483">
          <cell r="A483">
            <v>2</v>
          </cell>
          <cell r="B483">
            <v>0</v>
          </cell>
          <cell r="C483">
            <v>903</v>
          </cell>
          <cell r="D483">
            <v>10</v>
          </cell>
          <cell r="E483" t="str">
            <v xml:space="preserve">    </v>
          </cell>
          <cell r="F483" t="str">
            <v xml:space="preserve">   </v>
          </cell>
          <cell r="G483">
            <v>2090310</v>
          </cell>
          <cell r="H483">
            <v>2966.54</v>
          </cell>
          <cell r="I483">
            <v>1459.44</v>
          </cell>
          <cell r="J483">
            <v>1507.1</v>
          </cell>
          <cell r="K483">
            <v>0</v>
          </cell>
          <cell r="L483">
            <v>0</v>
          </cell>
        </row>
        <row r="484">
          <cell r="A484">
            <v>1</v>
          </cell>
          <cell r="B484">
            <v>0</v>
          </cell>
          <cell r="C484">
            <v>903</v>
          </cell>
          <cell r="D484">
            <v>20</v>
          </cell>
          <cell r="E484" t="str">
            <v xml:space="preserve">    </v>
          </cell>
          <cell r="F484" t="str">
            <v xml:space="preserve">   </v>
          </cell>
          <cell r="G484">
            <v>1090320</v>
          </cell>
          <cell r="H484">
            <v>200683.71</v>
          </cell>
          <cell r="I484">
            <v>118863.94</v>
          </cell>
          <cell r="J484">
            <v>55042.54</v>
          </cell>
          <cell r="K484">
            <v>26777.23</v>
          </cell>
          <cell r="L484">
            <v>0</v>
          </cell>
        </row>
        <row r="485">
          <cell r="A485">
            <v>2</v>
          </cell>
          <cell r="B485">
            <v>0</v>
          </cell>
          <cell r="C485">
            <v>903</v>
          </cell>
          <cell r="D485">
            <v>20</v>
          </cell>
          <cell r="E485" t="str">
            <v xml:space="preserve">    </v>
          </cell>
          <cell r="F485" t="str">
            <v xml:space="preserve">   </v>
          </cell>
          <cell r="G485">
            <v>2090320</v>
          </cell>
          <cell r="H485">
            <v>2015034.16</v>
          </cell>
          <cell r="I485">
            <v>1177060.04</v>
          </cell>
          <cell r="J485">
            <v>545883.80000000005</v>
          </cell>
          <cell r="K485">
            <v>292090.32</v>
          </cell>
          <cell r="L485">
            <v>0</v>
          </cell>
        </row>
        <row r="486">
          <cell r="A486">
            <v>1</v>
          </cell>
          <cell r="B486">
            <v>0</v>
          </cell>
          <cell r="C486">
            <v>903</v>
          </cell>
          <cell r="D486">
            <v>21</v>
          </cell>
          <cell r="E486" t="str">
            <v xml:space="preserve">    </v>
          </cell>
          <cell r="F486" t="str">
            <v xml:space="preserve">   </v>
          </cell>
          <cell r="G486">
            <v>1090321</v>
          </cell>
          <cell r="H486">
            <v>34399.46</v>
          </cell>
          <cell r="I486">
            <v>393.34</v>
          </cell>
          <cell r="J486">
            <v>33589.379999999997</v>
          </cell>
          <cell r="K486">
            <v>416.74</v>
          </cell>
          <cell r="L486">
            <v>0</v>
          </cell>
        </row>
        <row r="487">
          <cell r="A487">
            <v>2</v>
          </cell>
          <cell r="B487">
            <v>0</v>
          </cell>
          <cell r="C487">
            <v>903</v>
          </cell>
          <cell r="D487">
            <v>21</v>
          </cell>
          <cell r="E487" t="str">
            <v xml:space="preserve">    </v>
          </cell>
          <cell r="F487" t="str">
            <v xml:space="preserve">   </v>
          </cell>
          <cell r="G487">
            <v>2090321</v>
          </cell>
          <cell r="H487">
            <v>127088.11</v>
          </cell>
          <cell r="I487">
            <v>17265.189999999999</v>
          </cell>
          <cell r="J487">
            <v>107045.43</v>
          </cell>
          <cell r="K487">
            <v>2777.49</v>
          </cell>
          <cell r="L487">
            <v>0</v>
          </cell>
        </row>
        <row r="488">
          <cell r="A488">
            <v>1</v>
          </cell>
          <cell r="B488">
            <v>0</v>
          </cell>
          <cell r="C488">
            <v>903</v>
          </cell>
          <cell r="D488">
            <v>23</v>
          </cell>
          <cell r="E488" t="str">
            <v xml:space="preserve">    </v>
          </cell>
          <cell r="F488" t="str">
            <v xml:space="preserve">   </v>
          </cell>
          <cell r="G488">
            <v>1090323</v>
          </cell>
          <cell r="H488">
            <v>106.38</v>
          </cell>
          <cell r="I488">
            <v>0</v>
          </cell>
          <cell r="J488">
            <v>106.38</v>
          </cell>
          <cell r="K488">
            <v>0</v>
          </cell>
          <cell r="L488">
            <v>0</v>
          </cell>
        </row>
        <row r="489">
          <cell r="A489">
            <v>2</v>
          </cell>
          <cell r="B489">
            <v>0</v>
          </cell>
          <cell r="C489">
            <v>903</v>
          </cell>
          <cell r="D489">
            <v>23</v>
          </cell>
          <cell r="E489" t="str">
            <v xml:space="preserve">    </v>
          </cell>
          <cell r="F489" t="str">
            <v xml:space="preserve">   </v>
          </cell>
          <cell r="G489">
            <v>2090323</v>
          </cell>
          <cell r="H489">
            <v>106.38</v>
          </cell>
          <cell r="I489">
            <v>0</v>
          </cell>
          <cell r="J489">
            <v>106.38</v>
          </cell>
          <cell r="K489">
            <v>0</v>
          </cell>
          <cell r="L489">
            <v>0</v>
          </cell>
        </row>
        <row r="490">
          <cell r="A490">
            <v>1</v>
          </cell>
          <cell r="B490">
            <v>0</v>
          </cell>
          <cell r="C490">
            <v>903</v>
          </cell>
          <cell r="D490">
            <v>25</v>
          </cell>
          <cell r="E490" t="str">
            <v xml:space="preserve">    </v>
          </cell>
          <cell r="F490" t="str">
            <v xml:space="preserve">   </v>
          </cell>
          <cell r="G490">
            <v>1090325</v>
          </cell>
          <cell r="H490">
            <v>6328.17</v>
          </cell>
          <cell r="I490">
            <v>5699.53</v>
          </cell>
          <cell r="J490">
            <v>628.64</v>
          </cell>
          <cell r="K490">
            <v>0</v>
          </cell>
          <cell r="L490">
            <v>0</v>
          </cell>
        </row>
        <row r="491">
          <cell r="A491">
            <v>2</v>
          </cell>
          <cell r="B491">
            <v>0</v>
          </cell>
          <cell r="C491">
            <v>903</v>
          </cell>
          <cell r="D491">
            <v>25</v>
          </cell>
          <cell r="E491" t="str">
            <v xml:space="preserve">    </v>
          </cell>
          <cell r="F491" t="str">
            <v xml:space="preserve">   </v>
          </cell>
          <cell r="G491">
            <v>2090325</v>
          </cell>
          <cell r="H491">
            <v>98317.59</v>
          </cell>
          <cell r="I491">
            <v>92049.31</v>
          </cell>
          <cell r="J491">
            <v>6268.28</v>
          </cell>
          <cell r="K491">
            <v>0</v>
          </cell>
          <cell r="L491">
            <v>0</v>
          </cell>
        </row>
        <row r="492">
          <cell r="A492">
            <v>1</v>
          </cell>
          <cell r="B492">
            <v>0</v>
          </cell>
          <cell r="C492">
            <v>903</v>
          </cell>
          <cell r="D492">
            <v>27</v>
          </cell>
          <cell r="E492" t="str">
            <v xml:space="preserve">    </v>
          </cell>
          <cell r="F492" t="str">
            <v xml:space="preserve">   </v>
          </cell>
          <cell r="G492">
            <v>1090327</v>
          </cell>
          <cell r="H492">
            <v>2509.9</v>
          </cell>
          <cell r="I492">
            <v>2509.9</v>
          </cell>
          <cell r="J492">
            <v>0</v>
          </cell>
          <cell r="K492">
            <v>0</v>
          </cell>
          <cell r="L492">
            <v>0</v>
          </cell>
        </row>
        <row r="493">
          <cell r="A493">
            <v>2</v>
          </cell>
          <cell r="B493">
            <v>0</v>
          </cell>
          <cell r="C493">
            <v>903</v>
          </cell>
          <cell r="D493">
            <v>27</v>
          </cell>
          <cell r="E493" t="str">
            <v xml:space="preserve">    </v>
          </cell>
          <cell r="F493" t="str">
            <v xml:space="preserve">   </v>
          </cell>
          <cell r="G493">
            <v>2090327</v>
          </cell>
          <cell r="H493">
            <v>30248.12</v>
          </cell>
          <cell r="I493">
            <v>30248.12</v>
          </cell>
          <cell r="J493">
            <v>0</v>
          </cell>
          <cell r="K493">
            <v>0</v>
          </cell>
          <cell r="L493">
            <v>0</v>
          </cell>
        </row>
        <row r="494">
          <cell r="A494">
            <v>1</v>
          </cell>
          <cell r="B494">
            <v>0</v>
          </cell>
          <cell r="C494">
            <v>903</v>
          </cell>
          <cell r="D494">
            <v>30</v>
          </cell>
          <cell r="E494" t="str">
            <v xml:space="preserve">    </v>
          </cell>
          <cell r="F494" t="str">
            <v xml:space="preserve">   </v>
          </cell>
          <cell r="G494">
            <v>1090330</v>
          </cell>
          <cell r="H494">
            <v>228301.54</v>
          </cell>
          <cell r="I494">
            <v>220494.87</v>
          </cell>
          <cell r="J494">
            <v>912.63</v>
          </cell>
          <cell r="K494">
            <v>6894.04</v>
          </cell>
          <cell r="L494">
            <v>0</v>
          </cell>
        </row>
        <row r="495">
          <cell r="A495">
            <v>2</v>
          </cell>
          <cell r="B495">
            <v>0</v>
          </cell>
          <cell r="C495">
            <v>903</v>
          </cell>
          <cell r="D495">
            <v>30</v>
          </cell>
          <cell r="E495" t="str">
            <v xml:space="preserve">    </v>
          </cell>
          <cell r="F495" t="str">
            <v xml:space="preserve">   </v>
          </cell>
          <cell r="G495">
            <v>2090330</v>
          </cell>
          <cell r="H495">
            <v>2552041.19</v>
          </cell>
          <cell r="I495">
            <v>2493342.44</v>
          </cell>
          <cell r="J495">
            <v>14055.15</v>
          </cell>
          <cell r="K495">
            <v>44643.6</v>
          </cell>
          <cell r="L495">
            <v>0</v>
          </cell>
        </row>
        <row r="496">
          <cell r="A496">
            <v>1</v>
          </cell>
          <cell r="B496">
            <v>0</v>
          </cell>
          <cell r="C496">
            <v>903</v>
          </cell>
          <cell r="D496">
            <v>35</v>
          </cell>
          <cell r="E496" t="str">
            <v xml:space="preserve">    </v>
          </cell>
          <cell r="F496" t="str">
            <v xml:space="preserve">   </v>
          </cell>
          <cell r="G496">
            <v>1090335</v>
          </cell>
          <cell r="H496">
            <v>2060.37</v>
          </cell>
          <cell r="I496">
            <v>2060.37</v>
          </cell>
          <cell r="J496">
            <v>0</v>
          </cell>
          <cell r="K496">
            <v>0</v>
          </cell>
          <cell r="L496">
            <v>0</v>
          </cell>
        </row>
        <row r="497">
          <cell r="A497">
            <v>2</v>
          </cell>
          <cell r="B497">
            <v>0</v>
          </cell>
          <cell r="C497">
            <v>903</v>
          </cell>
          <cell r="D497">
            <v>35</v>
          </cell>
          <cell r="E497" t="str">
            <v xml:space="preserve">    </v>
          </cell>
          <cell r="F497" t="str">
            <v xml:space="preserve">   </v>
          </cell>
          <cell r="G497">
            <v>2090335</v>
          </cell>
          <cell r="H497">
            <v>26080.42</v>
          </cell>
          <cell r="I497">
            <v>26080.42</v>
          </cell>
          <cell r="J497">
            <v>0</v>
          </cell>
          <cell r="K497">
            <v>0</v>
          </cell>
          <cell r="L497">
            <v>0</v>
          </cell>
        </row>
        <row r="498">
          <cell r="A498">
            <v>1</v>
          </cell>
          <cell r="B498">
            <v>0</v>
          </cell>
          <cell r="C498">
            <v>903</v>
          </cell>
          <cell r="D498">
            <v>39</v>
          </cell>
          <cell r="E498" t="str">
            <v xml:space="preserve">    </v>
          </cell>
          <cell r="F498" t="str">
            <v xml:space="preserve">   </v>
          </cell>
          <cell r="G498">
            <v>1090339</v>
          </cell>
          <cell r="H498">
            <v>-261.54000000000002</v>
          </cell>
          <cell r="I498">
            <v>-160.65</v>
          </cell>
          <cell r="J498">
            <v>-86.34</v>
          </cell>
          <cell r="K498">
            <v>-14.55</v>
          </cell>
          <cell r="L498">
            <v>0</v>
          </cell>
        </row>
        <row r="499">
          <cell r="A499">
            <v>2</v>
          </cell>
          <cell r="B499">
            <v>0</v>
          </cell>
          <cell r="C499">
            <v>903</v>
          </cell>
          <cell r="D499">
            <v>39</v>
          </cell>
          <cell r="E499" t="str">
            <v xml:space="preserve">    </v>
          </cell>
          <cell r="F499" t="str">
            <v xml:space="preserve">   </v>
          </cell>
          <cell r="G499">
            <v>2090339</v>
          </cell>
          <cell r="H499">
            <v>101.47</v>
          </cell>
          <cell r="I499">
            <v>561.45000000000005</v>
          </cell>
          <cell r="J499">
            <v>-377.69</v>
          </cell>
          <cell r="K499">
            <v>-82.29</v>
          </cell>
          <cell r="L499">
            <v>0</v>
          </cell>
        </row>
        <row r="500">
          <cell r="A500">
            <v>1</v>
          </cell>
          <cell r="B500">
            <v>0</v>
          </cell>
          <cell r="C500">
            <v>903</v>
          </cell>
          <cell r="D500">
            <v>40</v>
          </cell>
          <cell r="E500" t="str">
            <v xml:space="preserve">    </v>
          </cell>
          <cell r="F500" t="str">
            <v xml:space="preserve">   </v>
          </cell>
          <cell r="G500">
            <v>1090340</v>
          </cell>
          <cell r="H500">
            <v>10685.43</v>
          </cell>
          <cell r="I500">
            <v>0</v>
          </cell>
          <cell r="J500">
            <v>10685.43</v>
          </cell>
          <cell r="K500">
            <v>0</v>
          </cell>
          <cell r="L500">
            <v>0</v>
          </cell>
        </row>
        <row r="501">
          <cell r="A501">
            <v>2</v>
          </cell>
          <cell r="B501">
            <v>0</v>
          </cell>
          <cell r="C501">
            <v>903</v>
          </cell>
          <cell r="D501">
            <v>40</v>
          </cell>
          <cell r="E501" t="str">
            <v xml:space="preserve">    </v>
          </cell>
          <cell r="F501" t="str">
            <v xml:space="preserve">   </v>
          </cell>
          <cell r="G501">
            <v>2090340</v>
          </cell>
          <cell r="H501">
            <v>12848.75</v>
          </cell>
          <cell r="I501">
            <v>0</v>
          </cell>
          <cell r="J501">
            <v>12848.75</v>
          </cell>
          <cell r="K501">
            <v>0</v>
          </cell>
          <cell r="L501">
            <v>0</v>
          </cell>
        </row>
        <row r="502">
          <cell r="A502">
            <v>1</v>
          </cell>
          <cell r="B502">
            <v>0</v>
          </cell>
          <cell r="C502">
            <v>903</v>
          </cell>
          <cell r="D502">
            <v>92</v>
          </cell>
          <cell r="E502" t="str">
            <v xml:space="preserve">    </v>
          </cell>
          <cell r="F502" t="str">
            <v xml:space="preserve">   </v>
          </cell>
          <cell r="G502">
            <v>1090392</v>
          </cell>
          <cell r="H502">
            <v>14452.36</v>
          </cell>
          <cell r="I502">
            <v>14452.36</v>
          </cell>
          <cell r="J502">
            <v>0</v>
          </cell>
          <cell r="K502">
            <v>0</v>
          </cell>
          <cell r="L502">
            <v>0</v>
          </cell>
        </row>
        <row r="503">
          <cell r="A503">
            <v>2</v>
          </cell>
          <cell r="B503">
            <v>0</v>
          </cell>
          <cell r="C503">
            <v>903</v>
          </cell>
          <cell r="D503">
            <v>92</v>
          </cell>
          <cell r="E503" t="str">
            <v xml:space="preserve">    </v>
          </cell>
          <cell r="F503" t="str">
            <v xml:space="preserve">   </v>
          </cell>
          <cell r="G503">
            <v>2090392</v>
          </cell>
          <cell r="H503">
            <v>150240.45000000001</v>
          </cell>
          <cell r="I503">
            <v>150240.45000000001</v>
          </cell>
          <cell r="J503">
            <v>0</v>
          </cell>
          <cell r="K503">
            <v>0</v>
          </cell>
          <cell r="L503">
            <v>0</v>
          </cell>
        </row>
        <row r="504">
          <cell r="A504">
            <v>1</v>
          </cell>
          <cell r="B504">
            <v>0</v>
          </cell>
          <cell r="C504">
            <v>903</v>
          </cell>
          <cell r="D504">
            <v>93</v>
          </cell>
          <cell r="E504" t="str">
            <v xml:space="preserve">    </v>
          </cell>
          <cell r="F504" t="str">
            <v xml:space="preserve">   </v>
          </cell>
          <cell r="G504">
            <v>1090393</v>
          </cell>
          <cell r="H504">
            <v>90734.88</v>
          </cell>
          <cell r="I504">
            <v>90734.88</v>
          </cell>
          <cell r="J504">
            <v>0</v>
          </cell>
          <cell r="K504">
            <v>0</v>
          </cell>
          <cell r="L504">
            <v>0</v>
          </cell>
        </row>
        <row r="505">
          <cell r="A505">
            <v>2</v>
          </cell>
          <cell r="B505">
            <v>0</v>
          </cell>
          <cell r="C505">
            <v>903</v>
          </cell>
          <cell r="D505">
            <v>93</v>
          </cell>
          <cell r="E505" t="str">
            <v xml:space="preserve">    </v>
          </cell>
          <cell r="F505" t="str">
            <v xml:space="preserve">   </v>
          </cell>
          <cell r="G505">
            <v>2090393</v>
          </cell>
          <cell r="H505">
            <v>2148352.85</v>
          </cell>
          <cell r="I505">
            <v>2148352.85</v>
          </cell>
          <cell r="J505">
            <v>0</v>
          </cell>
          <cell r="K505">
            <v>0</v>
          </cell>
          <cell r="L505">
            <v>0</v>
          </cell>
        </row>
        <row r="506">
          <cell r="A506">
            <v>1</v>
          </cell>
          <cell r="B506">
            <v>0</v>
          </cell>
          <cell r="C506">
            <v>908</v>
          </cell>
          <cell r="D506">
            <v>0</v>
          </cell>
          <cell r="E506" t="str">
            <v xml:space="preserve">    </v>
          </cell>
          <cell r="F506" t="str">
            <v xml:space="preserve">   </v>
          </cell>
          <cell r="G506">
            <v>1090800</v>
          </cell>
          <cell r="H506">
            <v>27131.61</v>
          </cell>
          <cell r="I506">
            <v>16195.95</v>
          </cell>
          <cell r="J506">
            <v>3842.75</v>
          </cell>
          <cell r="K506">
            <v>7092.91</v>
          </cell>
          <cell r="L506">
            <v>0</v>
          </cell>
        </row>
        <row r="507">
          <cell r="A507">
            <v>2</v>
          </cell>
          <cell r="B507">
            <v>0</v>
          </cell>
          <cell r="C507">
            <v>908</v>
          </cell>
          <cell r="D507">
            <v>0</v>
          </cell>
          <cell r="E507" t="str">
            <v xml:space="preserve">    </v>
          </cell>
          <cell r="F507" t="str">
            <v xml:space="preserve">   </v>
          </cell>
          <cell r="G507">
            <v>2090800</v>
          </cell>
          <cell r="H507">
            <v>200899.86</v>
          </cell>
          <cell r="I507">
            <v>81454.62</v>
          </cell>
          <cell r="J507">
            <v>47159.19</v>
          </cell>
          <cell r="K507">
            <v>72286.05</v>
          </cell>
          <cell r="L507">
            <v>0</v>
          </cell>
        </row>
        <row r="508">
          <cell r="A508">
            <v>1</v>
          </cell>
          <cell r="B508">
            <v>0</v>
          </cell>
          <cell r="C508">
            <v>908</v>
          </cell>
          <cell r="D508">
            <v>10</v>
          </cell>
          <cell r="E508" t="str">
            <v xml:space="preserve">    </v>
          </cell>
          <cell r="F508" t="str">
            <v xml:space="preserve">   </v>
          </cell>
          <cell r="G508">
            <v>1090810</v>
          </cell>
          <cell r="H508">
            <v>9032.3700000000008</v>
          </cell>
          <cell r="I508">
            <v>8641.67</v>
          </cell>
          <cell r="J508">
            <v>0</v>
          </cell>
          <cell r="K508">
            <v>390.7</v>
          </cell>
          <cell r="L508">
            <v>0</v>
          </cell>
        </row>
        <row r="509">
          <cell r="A509">
            <v>2</v>
          </cell>
          <cell r="B509">
            <v>0</v>
          </cell>
          <cell r="C509">
            <v>908</v>
          </cell>
          <cell r="D509">
            <v>10</v>
          </cell>
          <cell r="E509" t="str">
            <v xml:space="preserve">    </v>
          </cell>
          <cell r="F509" t="str">
            <v xml:space="preserve">   </v>
          </cell>
          <cell r="G509">
            <v>2090810</v>
          </cell>
          <cell r="H509">
            <v>90372.68</v>
          </cell>
          <cell r="I509">
            <v>87147.98</v>
          </cell>
          <cell r="J509">
            <v>0</v>
          </cell>
          <cell r="K509">
            <v>3224.7</v>
          </cell>
          <cell r="L509">
            <v>0</v>
          </cell>
        </row>
        <row r="510">
          <cell r="A510">
            <v>1</v>
          </cell>
          <cell r="B510">
            <v>0</v>
          </cell>
          <cell r="C510">
            <v>908</v>
          </cell>
          <cell r="D510">
            <v>25</v>
          </cell>
          <cell r="E510" t="str">
            <v xml:space="preserve">    </v>
          </cell>
          <cell r="F510" t="str">
            <v xml:space="preserve">   </v>
          </cell>
          <cell r="G510">
            <v>1090825</v>
          </cell>
          <cell r="H510">
            <v>10199.15</v>
          </cell>
          <cell r="I510">
            <v>10199.15</v>
          </cell>
          <cell r="J510">
            <v>0</v>
          </cell>
          <cell r="K510">
            <v>0</v>
          </cell>
          <cell r="L510">
            <v>0</v>
          </cell>
        </row>
        <row r="511">
          <cell r="A511">
            <v>2</v>
          </cell>
          <cell r="B511">
            <v>0</v>
          </cell>
          <cell r="C511">
            <v>908</v>
          </cell>
          <cell r="D511">
            <v>25</v>
          </cell>
          <cell r="E511" t="str">
            <v xml:space="preserve">    </v>
          </cell>
          <cell r="F511" t="str">
            <v xml:space="preserve">   </v>
          </cell>
          <cell r="G511">
            <v>2090825</v>
          </cell>
          <cell r="H511">
            <v>122167.78</v>
          </cell>
          <cell r="I511">
            <v>122167.78</v>
          </cell>
          <cell r="J511">
            <v>0</v>
          </cell>
          <cell r="K511">
            <v>0</v>
          </cell>
          <cell r="L511">
            <v>0</v>
          </cell>
        </row>
        <row r="512">
          <cell r="A512">
            <v>1</v>
          </cell>
          <cell r="B512">
            <v>0</v>
          </cell>
          <cell r="C512">
            <v>908</v>
          </cell>
          <cell r="D512">
            <v>60</v>
          </cell>
          <cell r="E512" t="str">
            <v xml:space="preserve">    </v>
          </cell>
          <cell r="F512" t="str">
            <v xml:space="preserve">   </v>
          </cell>
          <cell r="G512">
            <v>1090860</v>
          </cell>
          <cell r="H512">
            <v>452176.48</v>
          </cell>
          <cell r="I512">
            <v>0</v>
          </cell>
          <cell r="J512">
            <v>320042.06</v>
          </cell>
          <cell r="K512">
            <v>132134.42000000001</v>
          </cell>
          <cell r="L512">
            <v>0</v>
          </cell>
        </row>
        <row r="513">
          <cell r="A513">
            <v>2</v>
          </cell>
          <cell r="B513">
            <v>0</v>
          </cell>
          <cell r="C513">
            <v>908</v>
          </cell>
          <cell r="D513">
            <v>60</v>
          </cell>
          <cell r="E513" t="str">
            <v xml:space="preserve">    </v>
          </cell>
          <cell r="F513" t="str">
            <v xml:space="preserve">   </v>
          </cell>
          <cell r="G513">
            <v>2090860</v>
          </cell>
          <cell r="H513">
            <v>4796264.92</v>
          </cell>
          <cell r="I513">
            <v>0</v>
          </cell>
          <cell r="J513">
            <v>3373420.51</v>
          </cell>
          <cell r="K513">
            <v>1422844.41</v>
          </cell>
          <cell r="L513">
            <v>0</v>
          </cell>
        </row>
        <row r="514">
          <cell r="A514">
            <v>1</v>
          </cell>
          <cell r="B514">
            <v>0</v>
          </cell>
          <cell r="C514">
            <v>908</v>
          </cell>
          <cell r="D514">
            <v>75</v>
          </cell>
          <cell r="E514" t="str">
            <v xml:space="preserve">    </v>
          </cell>
          <cell r="F514" t="str">
            <v xml:space="preserve">   </v>
          </cell>
          <cell r="G514">
            <v>1090875</v>
          </cell>
          <cell r="H514">
            <v>19133.900000000001</v>
          </cell>
          <cell r="I514">
            <v>0</v>
          </cell>
          <cell r="J514">
            <v>9139.91</v>
          </cell>
          <cell r="K514">
            <v>9993.99</v>
          </cell>
          <cell r="L514">
            <v>0</v>
          </cell>
        </row>
        <row r="515">
          <cell r="A515">
            <v>2</v>
          </cell>
          <cell r="B515">
            <v>0</v>
          </cell>
          <cell r="C515">
            <v>908</v>
          </cell>
          <cell r="D515">
            <v>75</v>
          </cell>
          <cell r="E515" t="str">
            <v xml:space="preserve">    </v>
          </cell>
          <cell r="F515" t="str">
            <v xml:space="preserve">   </v>
          </cell>
          <cell r="G515">
            <v>2090875</v>
          </cell>
          <cell r="H515">
            <v>229606.8</v>
          </cell>
          <cell r="I515">
            <v>0</v>
          </cell>
          <cell r="J515">
            <v>109678.92</v>
          </cell>
          <cell r="K515">
            <v>119927.88</v>
          </cell>
          <cell r="L515">
            <v>0</v>
          </cell>
        </row>
        <row r="516">
          <cell r="A516">
            <v>1</v>
          </cell>
          <cell r="B516">
            <v>0</v>
          </cell>
          <cell r="C516">
            <v>908</v>
          </cell>
          <cell r="D516">
            <v>79</v>
          </cell>
          <cell r="E516" t="str">
            <v xml:space="preserve">    </v>
          </cell>
          <cell r="F516" t="str">
            <v xml:space="preserve">   </v>
          </cell>
          <cell r="G516">
            <v>1090879</v>
          </cell>
          <cell r="H516">
            <v>338666.76</v>
          </cell>
          <cell r="I516">
            <v>0</v>
          </cell>
          <cell r="J516">
            <v>235808.5</v>
          </cell>
          <cell r="K516">
            <v>102858.26</v>
          </cell>
          <cell r="L516">
            <v>0</v>
          </cell>
        </row>
        <row r="517">
          <cell r="A517">
            <v>2</v>
          </cell>
          <cell r="B517">
            <v>0</v>
          </cell>
          <cell r="C517">
            <v>908</v>
          </cell>
          <cell r="D517">
            <v>79</v>
          </cell>
          <cell r="E517" t="str">
            <v xml:space="preserve">    </v>
          </cell>
          <cell r="F517" t="str">
            <v xml:space="preserve">   </v>
          </cell>
          <cell r="G517">
            <v>2090879</v>
          </cell>
          <cell r="H517">
            <v>4064001.12</v>
          </cell>
          <cell r="I517">
            <v>0</v>
          </cell>
          <cell r="J517">
            <v>2829702</v>
          </cell>
          <cell r="K517">
            <v>1234299.1200000001</v>
          </cell>
          <cell r="L517">
            <v>0</v>
          </cell>
        </row>
        <row r="518">
          <cell r="A518">
            <v>1</v>
          </cell>
          <cell r="B518">
            <v>0</v>
          </cell>
          <cell r="C518">
            <v>908</v>
          </cell>
          <cell r="D518">
            <v>90</v>
          </cell>
          <cell r="E518" t="str">
            <v xml:space="preserve">    </v>
          </cell>
          <cell r="F518" t="str">
            <v xml:space="preserve">   </v>
          </cell>
          <cell r="G518">
            <v>1090890</v>
          </cell>
          <cell r="H518">
            <v>986.91</v>
          </cell>
          <cell r="I518">
            <v>986.91</v>
          </cell>
          <cell r="J518">
            <v>0</v>
          </cell>
          <cell r="K518">
            <v>0</v>
          </cell>
          <cell r="L518">
            <v>0</v>
          </cell>
        </row>
        <row r="519">
          <cell r="A519">
            <v>2</v>
          </cell>
          <cell r="B519">
            <v>0</v>
          </cell>
          <cell r="C519">
            <v>908</v>
          </cell>
          <cell r="D519">
            <v>90</v>
          </cell>
          <cell r="E519" t="str">
            <v xml:space="preserve">    </v>
          </cell>
          <cell r="F519" t="str">
            <v xml:space="preserve">   </v>
          </cell>
          <cell r="G519">
            <v>2090890</v>
          </cell>
          <cell r="H519">
            <v>6510.01</v>
          </cell>
          <cell r="I519">
            <v>6510.01</v>
          </cell>
          <cell r="J519">
            <v>0</v>
          </cell>
          <cell r="K519">
            <v>0</v>
          </cell>
          <cell r="L519">
            <v>0</v>
          </cell>
        </row>
        <row r="520">
          <cell r="A520">
            <v>1</v>
          </cell>
          <cell r="B520">
            <v>0</v>
          </cell>
          <cell r="C520">
            <v>999</v>
          </cell>
          <cell r="D520">
            <v>1</v>
          </cell>
          <cell r="E520" t="str">
            <v xml:space="preserve">    </v>
          </cell>
          <cell r="F520" t="str">
            <v xml:space="preserve">   </v>
          </cell>
          <cell r="G520">
            <v>1099901</v>
          </cell>
          <cell r="H520">
            <v>-3190378</v>
          </cell>
          <cell r="I520">
            <v>-3190378</v>
          </cell>
          <cell r="J520">
            <v>0</v>
          </cell>
          <cell r="K520">
            <v>0</v>
          </cell>
          <cell r="L520">
            <v>0</v>
          </cell>
        </row>
        <row r="521">
          <cell r="A521">
            <v>2</v>
          </cell>
          <cell r="B521">
            <v>0</v>
          </cell>
          <cell r="C521">
            <v>999</v>
          </cell>
          <cell r="D521">
            <v>1</v>
          </cell>
          <cell r="E521" t="str">
            <v xml:space="preserve">    </v>
          </cell>
          <cell r="F521" t="str">
            <v xml:space="preserve">   </v>
          </cell>
          <cell r="G521">
            <v>2099901</v>
          </cell>
          <cell r="H521">
            <v>-40327452</v>
          </cell>
          <cell r="I521">
            <v>-40327452</v>
          </cell>
          <cell r="J521">
            <v>0</v>
          </cell>
          <cell r="K521">
            <v>0</v>
          </cell>
          <cell r="L521">
            <v>0</v>
          </cell>
        </row>
        <row r="522">
          <cell r="A522">
            <v>1</v>
          </cell>
          <cell r="B522">
            <v>0</v>
          </cell>
          <cell r="C522">
            <v>999</v>
          </cell>
          <cell r="D522">
            <v>2</v>
          </cell>
          <cell r="E522" t="str">
            <v xml:space="preserve">    </v>
          </cell>
          <cell r="F522" t="str">
            <v xml:space="preserve">   </v>
          </cell>
          <cell r="G522">
            <v>1099902</v>
          </cell>
          <cell r="H522">
            <v>-153113</v>
          </cell>
          <cell r="I522">
            <v>-153113</v>
          </cell>
          <cell r="J522">
            <v>0</v>
          </cell>
          <cell r="K522">
            <v>0</v>
          </cell>
          <cell r="L522">
            <v>0</v>
          </cell>
        </row>
        <row r="523">
          <cell r="A523">
            <v>2</v>
          </cell>
          <cell r="B523">
            <v>0</v>
          </cell>
          <cell r="C523">
            <v>999</v>
          </cell>
          <cell r="D523">
            <v>2</v>
          </cell>
          <cell r="E523" t="str">
            <v xml:space="preserve">    </v>
          </cell>
          <cell r="F523" t="str">
            <v xml:space="preserve">   </v>
          </cell>
          <cell r="G523">
            <v>2099902</v>
          </cell>
          <cell r="H523">
            <v>-3290455</v>
          </cell>
          <cell r="I523">
            <v>-3290455</v>
          </cell>
          <cell r="J523">
            <v>0</v>
          </cell>
          <cell r="K523">
            <v>0</v>
          </cell>
          <cell r="L523">
            <v>0</v>
          </cell>
        </row>
        <row r="524">
          <cell r="A524">
            <v>1</v>
          </cell>
          <cell r="B524">
            <v>0</v>
          </cell>
          <cell r="C524">
            <v>999</v>
          </cell>
          <cell r="D524">
            <v>3</v>
          </cell>
          <cell r="E524" t="str">
            <v xml:space="preserve">    </v>
          </cell>
          <cell r="F524" t="str">
            <v xml:space="preserve">   </v>
          </cell>
          <cell r="G524">
            <v>1099903</v>
          </cell>
          <cell r="H524">
            <v>-62886</v>
          </cell>
          <cell r="I524">
            <v>-62886</v>
          </cell>
          <cell r="J524">
            <v>0</v>
          </cell>
          <cell r="K524">
            <v>0</v>
          </cell>
          <cell r="L524">
            <v>0</v>
          </cell>
        </row>
        <row r="525">
          <cell r="A525">
            <v>2</v>
          </cell>
          <cell r="B525">
            <v>0</v>
          </cell>
          <cell r="C525">
            <v>999</v>
          </cell>
          <cell r="D525">
            <v>3</v>
          </cell>
          <cell r="E525" t="str">
            <v xml:space="preserve">    </v>
          </cell>
          <cell r="F525" t="str">
            <v xml:space="preserve">   </v>
          </cell>
          <cell r="G525">
            <v>2099903</v>
          </cell>
          <cell r="H525">
            <v>-374746</v>
          </cell>
          <cell r="I525">
            <v>-374746</v>
          </cell>
          <cell r="J525">
            <v>0</v>
          </cell>
          <cell r="K525">
            <v>0</v>
          </cell>
          <cell r="L525">
            <v>0</v>
          </cell>
        </row>
        <row r="526">
          <cell r="A526">
            <v>1</v>
          </cell>
          <cell r="B526">
            <v>0</v>
          </cell>
          <cell r="C526">
            <v>999</v>
          </cell>
          <cell r="D526">
            <v>4</v>
          </cell>
          <cell r="E526" t="str">
            <v xml:space="preserve">    </v>
          </cell>
          <cell r="F526" t="str">
            <v xml:space="preserve">   </v>
          </cell>
          <cell r="G526">
            <v>1099904</v>
          </cell>
          <cell r="H526">
            <v>-92804</v>
          </cell>
          <cell r="I526">
            <v>-92804</v>
          </cell>
          <cell r="J526">
            <v>0</v>
          </cell>
          <cell r="K526">
            <v>0</v>
          </cell>
          <cell r="L526">
            <v>0</v>
          </cell>
        </row>
        <row r="527">
          <cell r="A527">
            <v>2</v>
          </cell>
          <cell r="B527">
            <v>0</v>
          </cell>
          <cell r="C527">
            <v>999</v>
          </cell>
          <cell r="D527">
            <v>4</v>
          </cell>
          <cell r="E527" t="str">
            <v xml:space="preserve">    </v>
          </cell>
          <cell r="F527" t="str">
            <v xml:space="preserve">   </v>
          </cell>
          <cell r="G527">
            <v>2099904</v>
          </cell>
          <cell r="H527">
            <v>-1096069</v>
          </cell>
          <cell r="I527">
            <v>-1096069</v>
          </cell>
          <cell r="J527">
            <v>0</v>
          </cell>
          <cell r="K527">
            <v>0</v>
          </cell>
          <cell r="L527">
            <v>0</v>
          </cell>
        </row>
        <row r="528">
          <cell r="A528">
            <v>1</v>
          </cell>
          <cell r="B528">
            <v>0</v>
          </cell>
          <cell r="C528">
            <v>999</v>
          </cell>
          <cell r="D528">
            <v>5</v>
          </cell>
          <cell r="E528" t="str">
            <v xml:space="preserve">    </v>
          </cell>
          <cell r="F528" t="str">
            <v xml:space="preserve">   </v>
          </cell>
          <cell r="G528">
            <v>1099905</v>
          </cell>
          <cell r="H528">
            <v>0</v>
          </cell>
          <cell r="I528">
            <v>0</v>
          </cell>
          <cell r="J528">
            <v>0</v>
          </cell>
          <cell r="K528">
            <v>0</v>
          </cell>
          <cell r="L528">
            <v>0</v>
          </cell>
        </row>
        <row r="529">
          <cell r="A529">
            <v>2</v>
          </cell>
          <cell r="B529">
            <v>0</v>
          </cell>
          <cell r="C529">
            <v>999</v>
          </cell>
          <cell r="D529">
            <v>5</v>
          </cell>
          <cell r="E529" t="str">
            <v xml:space="preserve">    </v>
          </cell>
          <cell r="F529" t="str">
            <v xml:space="preserve">   </v>
          </cell>
          <cell r="G529">
            <v>2099905</v>
          </cell>
          <cell r="H529">
            <v>-5304</v>
          </cell>
          <cell r="I529">
            <v>-5304</v>
          </cell>
          <cell r="J529">
            <v>0</v>
          </cell>
          <cell r="K529">
            <v>0</v>
          </cell>
          <cell r="L529">
            <v>0</v>
          </cell>
        </row>
        <row r="530">
          <cell r="A530">
            <v>1</v>
          </cell>
          <cell r="B530">
            <v>0</v>
          </cell>
          <cell r="C530">
            <v>999</v>
          </cell>
          <cell r="D530">
            <v>7</v>
          </cell>
          <cell r="E530" t="str">
            <v xml:space="preserve">    </v>
          </cell>
          <cell r="F530" t="str">
            <v xml:space="preserve">   </v>
          </cell>
          <cell r="G530">
            <v>1099907</v>
          </cell>
          <cell r="H530">
            <v>-24791</v>
          </cell>
          <cell r="I530">
            <v>-24791</v>
          </cell>
          <cell r="J530">
            <v>0</v>
          </cell>
          <cell r="K530">
            <v>0</v>
          </cell>
          <cell r="L530">
            <v>0</v>
          </cell>
        </row>
        <row r="531">
          <cell r="A531">
            <v>2</v>
          </cell>
          <cell r="B531">
            <v>0</v>
          </cell>
          <cell r="C531">
            <v>999</v>
          </cell>
          <cell r="D531">
            <v>7</v>
          </cell>
          <cell r="E531" t="str">
            <v xml:space="preserve">    </v>
          </cell>
          <cell r="F531" t="str">
            <v xml:space="preserve">   </v>
          </cell>
          <cell r="G531">
            <v>2099907</v>
          </cell>
          <cell r="H531">
            <v>-286496</v>
          </cell>
          <cell r="I531">
            <v>-286496</v>
          </cell>
          <cell r="J531">
            <v>0</v>
          </cell>
          <cell r="K531">
            <v>0</v>
          </cell>
          <cell r="L531">
            <v>0</v>
          </cell>
        </row>
        <row r="532">
          <cell r="A532">
            <v>1</v>
          </cell>
          <cell r="B532">
            <v>0</v>
          </cell>
          <cell r="C532">
            <v>999</v>
          </cell>
          <cell r="D532">
            <v>8</v>
          </cell>
          <cell r="E532" t="str">
            <v xml:space="preserve">    </v>
          </cell>
          <cell r="F532" t="str">
            <v xml:space="preserve">   </v>
          </cell>
          <cell r="G532">
            <v>1099908</v>
          </cell>
          <cell r="H532">
            <v>0</v>
          </cell>
          <cell r="I532">
            <v>0</v>
          </cell>
          <cell r="J532">
            <v>0</v>
          </cell>
          <cell r="K532">
            <v>0</v>
          </cell>
          <cell r="L532">
            <v>0</v>
          </cell>
        </row>
        <row r="533">
          <cell r="A533">
            <v>2</v>
          </cell>
          <cell r="B533">
            <v>0</v>
          </cell>
          <cell r="C533">
            <v>999</v>
          </cell>
          <cell r="D533">
            <v>8</v>
          </cell>
          <cell r="E533" t="str">
            <v xml:space="preserve">    </v>
          </cell>
          <cell r="F533" t="str">
            <v xml:space="preserve">   </v>
          </cell>
          <cell r="G533">
            <v>2099908</v>
          </cell>
          <cell r="H533">
            <v>0</v>
          </cell>
          <cell r="I533">
            <v>0</v>
          </cell>
          <cell r="J533">
            <v>0</v>
          </cell>
          <cell r="K533">
            <v>0</v>
          </cell>
          <cell r="L533">
            <v>0</v>
          </cell>
        </row>
        <row r="534">
          <cell r="A534">
            <v>1</v>
          </cell>
          <cell r="B534">
            <v>0</v>
          </cell>
          <cell r="C534">
            <v>999</v>
          </cell>
          <cell r="D534">
            <v>9</v>
          </cell>
          <cell r="E534" t="str">
            <v xml:space="preserve">    </v>
          </cell>
          <cell r="F534" t="str">
            <v xml:space="preserve">   </v>
          </cell>
          <cell r="G534">
            <v>1099909</v>
          </cell>
          <cell r="H534">
            <v>0</v>
          </cell>
          <cell r="I534">
            <v>0</v>
          </cell>
          <cell r="J534">
            <v>0</v>
          </cell>
          <cell r="K534">
            <v>0</v>
          </cell>
          <cell r="L534">
            <v>0</v>
          </cell>
        </row>
        <row r="535">
          <cell r="A535">
            <v>2</v>
          </cell>
          <cell r="B535">
            <v>0</v>
          </cell>
          <cell r="C535">
            <v>999</v>
          </cell>
          <cell r="D535">
            <v>9</v>
          </cell>
          <cell r="E535" t="str">
            <v xml:space="preserve">    </v>
          </cell>
          <cell r="F535" t="str">
            <v xml:space="preserve">   </v>
          </cell>
          <cell r="G535">
            <v>2099909</v>
          </cell>
          <cell r="H535">
            <v>-41398</v>
          </cell>
          <cell r="I535">
            <v>0</v>
          </cell>
          <cell r="J535">
            <v>-41398</v>
          </cell>
          <cell r="K535">
            <v>0</v>
          </cell>
          <cell r="L535">
            <v>0</v>
          </cell>
        </row>
        <row r="536">
          <cell r="A536">
            <v>1</v>
          </cell>
          <cell r="B536">
            <v>0</v>
          </cell>
          <cell r="C536">
            <v>999</v>
          </cell>
          <cell r="D536">
            <v>10</v>
          </cell>
          <cell r="E536" t="str">
            <v xml:space="preserve">    </v>
          </cell>
          <cell r="F536" t="str">
            <v xml:space="preserve">   </v>
          </cell>
          <cell r="G536">
            <v>1099910</v>
          </cell>
          <cell r="H536">
            <v>-209000</v>
          </cell>
          <cell r="I536">
            <v>-209000</v>
          </cell>
          <cell r="J536">
            <v>0</v>
          </cell>
          <cell r="K536">
            <v>0</v>
          </cell>
          <cell r="L536">
            <v>0</v>
          </cell>
        </row>
        <row r="537">
          <cell r="A537">
            <v>2</v>
          </cell>
          <cell r="B537">
            <v>0</v>
          </cell>
          <cell r="C537">
            <v>999</v>
          </cell>
          <cell r="D537">
            <v>10</v>
          </cell>
          <cell r="E537" t="str">
            <v xml:space="preserve">    </v>
          </cell>
          <cell r="F537" t="str">
            <v xml:space="preserve">   </v>
          </cell>
          <cell r="G537">
            <v>2099910</v>
          </cell>
          <cell r="H537">
            <v>-3379000</v>
          </cell>
          <cell r="I537">
            <v>-3379000</v>
          </cell>
          <cell r="J537">
            <v>0</v>
          </cell>
          <cell r="K537">
            <v>0</v>
          </cell>
          <cell r="L537">
            <v>0</v>
          </cell>
        </row>
        <row r="538">
          <cell r="A538">
            <v>1</v>
          </cell>
          <cell r="B538">
            <v>0</v>
          </cell>
          <cell r="C538">
            <v>999</v>
          </cell>
          <cell r="D538">
            <v>11</v>
          </cell>
          <cell r="E538" t="str">
            <v xml:space="preserve">    </v>
          </cell>
          <cell r="F538" t="str">
            <v xml:space="preserve">   </v>
          </cell>
          <cell r="G538">
            <v>1099911</v>
          </cell>
          <cell r="H538">
            <v>-329218</v>
          </cell>
          <cell r="I538">
            <v>-329218</v>
          </cell>
          <cell r="J538">
            <v>0</v>
          </cell>
          <cell r="K538">
            <v>0</v>
          </cell>
          <cell r="L538">
            <v>0</v>
          </cell>
        </row>
        <row r="539">
          <cell r="A539">
            <v>2</v>
          </cell>
          <cell r="B539">
            <v>0</v>
          </cell>
          <cell r="C539">
            <v>999</v>
          </cell>
          <cell r="D539">
            <v>11</v>
          </cell>
          <cell r="E539" t="str">
            <v xml:space="preserve">    </v>
          </cell>
          <cell r="F539" t="str">
            <v xml:space="preserve">   </v>
          </cell>
          <cell r="G539">
            <v>2099911</v>
          </cell>
          <cell r="H539">
            <v>-3950616</v>
          </cell>
          <cell r="I539">
            <v>-3950616</v>
          </cell>
          <cell r="J539">
            <v>0</v>
          </cell>
          <cell r="K539">
            <v>0</v>
          </cell>
          <cell r="L539">
            <v>0</v>
          </cell>
        </row>
        <row r="540">
          <cell r="A540">
            <v>1</v>
          </cell>
          <cell r="B540">
            <v>0</v>
          </cell>
          <cell r="C540">
            <v>999</v>
          </cell>
          <cell r="D540">
            <v>12</v>
          </cell>
          <cell r="E540" t="str">
            <v xml:space="preserve">    </v>
          </cell>
          <cell r="F540" t="str">
            <v xml:space="preserve">   </v>
          </cell>
          <cell r="G540">
            <v>1099912</v>
          </cell>
          <cell r="H540">
            <v>-93937</v>
          </cell>
          <cell r="I540">
            <v>-93937</v>
          </cell>
          <cell r="J540">
            <v>0</v>
          </cell>
          <cell r="K540">
            <v>0</v>
          </cell>
          <cell r="L540">
            <v>0</v>
          </cell>
        </row>
        <row r="541">
          <cell r="A541">
            <v>2</v>
          </cell>
          <cell r="B541">
            <v>0</v>
          </cell>
          <cell r="C541">
            <v>999</v>
          </cell>
          <cell r="D541">
            <v>12</v>
          </cell>
          <cell r="E541" t="str">
            <v xml:space="preserve">    </v>
          </cell>
          <cell r="F541" t="str">
            <v xml:space="preserve">   </v>
          </cell>
          <cell r="G541">
            <v>2099912</v>
          </cell>
          <cell r="H541">
            <v>-972562</v>
          </cell>
          <cell r="I541">
            <v>-972562</v>
          </cell>
          <cell r="J541">
            <v>0</v>
          </cell>
          <cell r="K541">
            <v>0</v>
          </cell>
          <cell r="L541">
            <v>0</v>
          </cell>
        </row>
        <row r="542">
          <cell r="A542">
            <v>1</v>
          </cell>
          <cell r="B542">
            <v>0</v>
          </cell>
          <cell r="C542">
            <v>999</v>
          </cell>
          <cell r="D542">
            <v>16</v>
          </cell>
          <cell r="E542" t="str">
            <v xml:space="preserve">    </v>
          </cell>
          <cell r="F542" t="str">
            <v xml:space="preserve">   </v>
          </cell>
          <cell r="G542">
            <v>1099916</v>
          </cell>
          <cell r="H542">
            <v>-37922</v>
          </cell>
          <cell r="I542">
            <v>-37922</v>
          </cell>
          <cell r="J542">
            <v>0</v>
          </cell>
          <cell r="K542">
            <v>0</v>
          </cell>
          <cell r="L542">
            <v>0</v>
          </cell>
        </row>
        <row r="543">
          <cell r="A543">
            <v>2</v>
          </cell>
          <cell r="B543">
            <v>0</v>
          </cell>
          <cell r="C543">
            <v>999</v>
          </cell>
          <cell r="D543">
            <v>16</v>
          </cell>
          <cell r="E543" t="str">
            <v xml:space="preserve">    </v>
          </cell>
          <cell r="F543" t="str">
            <v xml:space="preserve">   </v>
          </cell>
          <cell r="G543">
            <v>2099916</v>
          </cell>
          <cell r="H543">
            <v>-455064</v>
          </cell>
          <cell r="I543">
            <v>-455064</v>
          </cell>
          <cell r="J543">
            <v>0</v>
          </cell>
          <cell r="K543">
            <v>0</v>
          </cell>
          <cell r="L543">
            <v>0</v>
          </cell>
        </row>
        <row r="544">
          <cell r="A544">
            <v>1</v>
          </cell>
          <cell r="B544">
            <v>0</v>
          </cell>
          <cell r="C544">
            <v>999</v>
          </cell>
          <cell r="D544">
            <v>19</v>
          </cell>
          <cell r="E544" t="str">
            <v xml:space="preserve">    </v>
          </cell>
          <cell r="F544" t="str">
            <v xml:space="preserve">   </v>
          </cell>
          <cell r="G544">
            <v>1099919</v>
          </cell>
          <cell r="H544">
            <v>-150836</v>
          </cell>
          <cell r="I544">
            <v>-150836</v>
          </cell>
          <cell r="J544">
            <v>0</v>
          </cell>
          <cell r="K544">
            <v>0</v>
          </cell>
          <cell r="L544">
            <v>0</v>
          </cell>
        </row>
        <row r="545">
          <cell r="A545">
            <v>2</v>
          </cell>
          <cell r="B545">
            <v>0</v>
          </cell>
          <cell r="C545">
            <v>999</v>
          </cell>
          <cell r="D545">
            <v>19</v>
          </cell>
          <cell r="E545" t="str">
            <v xml:space="preserve">    </v>
          </cell>
          <cell r="F545" t="str">
            <v xml:space="preserve">   </v>
          </cell>
          <cell r="G545">
            <v>2099919</v>
          </cell>
          <cell r="H545">
            <v>-1622463</v>
          </cell>
          <cell r="I545">
            <v>-1622463</v>
          </cell>
          <cell r="J545">
            <v>0</v>
          </cell>
          <cell r="K545">
            <v>0</v>
          </cell>
          <cell r="L545">
            <v>0</v>
          </cell>
        </row>
        <row r="546">
          <cell r="A546">
            <v>1</v>
          </cell>
          <cell r="B546">
            <v>0</v>
          </cell>
          <cell r="C546">
            <v>999</v>
          </cell>
          <cell r="D546">
            <v>20</v>
          </cell>
          <cell r="E546" t="str">
            <v xml:space="preserve">    </v>
          </cell>
          <cell r="F546" t="str">
            <v xml:space="preserve">   </v>
          </cell>
          <cell r="G546">
            <v>1099920</v>
          </cell>
          <cell r="H546">
            <v>-210994</v>
          </cell>
          <cell r="I546">
            <v>-210994</v>
          </cell>
          <cell r="J546">
            <v>0</v>
          </cell>
          <cell r="K546">
            <v>0</v>
          </cell>
          <cell r="L546">
            <v>0</v>
          </cell>
        </row>
        <row r="547">
          <cell r="A547">
            <v>2</v>
          </cell>
          <cell r="B547">
            <v>0</v>
          </cell>
          <cell r="C547">
            <v>999</v>
          </cell>
          <cell r="D547">
            <v>20</v>
          </cell>
          <cell r="E547" t="str">
            <v xml:space="preserve">    </v>
          </cell>
          <cell r="F547" t="str">
            <v xml:space="preserve">   </v>
          </cell>
          <cell r="G547">
            <v>2099920</v>
          </cell>
          <cell r="H547">
            <v>-2531928</v>
          </cell>
          <cell r="I547">
            <v>-2531928</v>
          </cell>
          <cell r="J547">
            <v>0</v>
          </cell>
          <cell r="K547">
            <v>0</v>
          </cell>
          <cell r="L547">
            <v>0</v>
          </cell>
        </row>
        <row r="548">
          <cell r="A548">
            <v>1</v>
          </cell>
          <cell r="B548">
            <v>0</v>
          </cell>
          <cell r="C548">
            <v>999</v>
          </cell>
          <cell r="D548">
            <v>22</v>
          </cell>
          <cell r="E548" t="str">
            <v xml:space="preserve">    </v>
          </cell>
          <cell r="F548" t="str">
            <v xml:space="preserve">   </v>
          </cell>
          <cell r="G548">
            <v>1099922</v>
          </cell>
          <cell r="H548">
            <v>-279429</v>
          </cell>
          <cell r="I548">
            <v>-279429</v>
          </cell>
          <cell r="J548">
            <v>0</v>
          </cell>
          <cell r="K548">
            <v>0</v>
          </cell>
          <cell r="L548">
            <v>0</v>
          </cell>
        </row>
        <row r="549">
          <cell r="A549">
            <v>2</v>
          </cell>
          <cell r="B549">
            <v>0</v>
          </cell>
          <cell r="C549">
            <v>999</v>
          </cell>
          <cell r="D549">
            <v>22</v>
          </cell>
          <cell r="E549" t="str">
            <v xml:space="preserve">    </v>
          </cell>
          <cell r="F549" t="str">
            <v xml:space="preserve">   </v>
          </cell>
          <cell r="G549">
            <v>2099922</v>
          </cell>
          <cell r="H549">
            <v>-3353148</v>
          </cell>
          <cell r="I549">
            <v>-3353148</v>
          </cell>
          <cell r="J549">
            <v>0</v>
          </cell>
          <cell r="K549">
            <v>0</v>
          </cell>
          <cell r="L549">
            <v>0</v>
          </cell>
        </row>
        <row r="550">
          <cell r="A550">
            <v>1</v>
          </cell>
          <cell r="B550">
            <v>0</v>
          </cell>
          <cell r="C550">
            <v>999</v>
          </cell>
          <cell r="D550">
            <v>26</v>
          </cell>
          <cell r="E550" t="str">
            <v xml:space="preserve">    </v>
          </cell>
          <cell r="F550" t="str">
            <v xml:space="preserve">   </v>
          </cell>
          <cell r="G550">
            <v>1099926</v>
          </cell>
          <cell r="H550">
            <v>-98959</v>
          </cell>
          <cell r="I550">
            <v>-98959</v>
          </cell>
          <cell r="J550">
            <v>0</v>
          </cell>
          <cell r="K550">
            <v>0</v>
          </cell>
          <cell r="L550">
            <v>0</v>
          </cell>
        </row>
        <row r="551">
          <cell r="A551">
            <v>2</v>
          </cell>
          <cell r="B551">
            <v>0</v>
          </cell>
          <cell r="C551">
            <v>999</v>
          </cell>
          <cell r="D551">
            <v>26</v>
          </cell>
          <cell r="E551" t="str">
            <v xml:space="preserve">    </v>
          </cell>
          <cell r="F551" t="str">
            <v xml:space="preserve">   </v>
          </cell>
          <cell r="G551">
            <v>2099926</v>
          </cell>
          <cell r="H551">
            <v>-1187507</v>
          </cell>
          <cell r="I551">
            <v>-1187507</v>
          </cell>
          <cell r="J551">
            <v>0</v>
          </cell>
          <cell r="K551">
            <v>0</v>
          </cell>
          <cell r="L551">
            <v>0</v>
          </cell>
        </row>
        <row r="552">
          <cell r="A552">
            <v>1</v>
          </cell>
          <cell r="B552">
            <v>0</v>
          </cell>
          <cell r="C552">
            <v>999</v>
          </cell>
          <cell r="D552">
            <v>27</v>
          </cell>
          <cell r="E552" t="str">
            <v xml:space="preserve">    </v>
          </cell>
          <cell r="F552" t="str">
            <v xml:space="preserve">   </v>
          </cell>
          <cell r="G552">
            <v>1099927</v>
          </cell>
          <cell r="H552">
            <v>132</v>
          </cell>
          <cell r="I552">
            <v>132</v>
          </cell>
          <cell r="J552">
            <v>0</v>
          </cell>
          <cell r="K552">
            <v>0</v>
          </cell>
          <cell r="L552">
            <v>0</v>
          </cell>
        </row>
        <row r="553">
          <cell r="A553">
            <v>2</v>
          </cell>
          <cell r="B553">
            <v>0</v>
          </cell>
          <cell r="C553">
            <v>999</v>
          </cell>
          <cell r="D553">
            <v>27</v>
          </cell>
          <cell r="E553" t="str">
            <v xml:space="preserve">    </v>
          </cell>
          <cell r="F553" t="str">
            <v xml:space="preserve">   </v>
          </cell>
          <cell r="G553">
            <v>2099927</v>
          </cell>
          <cell r="H553">
            <v>1140</v>
          </cell>
          <cell r="I553">
            <v>1140</v>
          </cell>
          <cell r="J553">
            <v>0</v>
          </cell>
          <cell r="K553">
            <v>0</v>
          </cell>
          <cell r="L553">
            <v>0</v>
          </cell>
        </row>
        <row r="554">
          <cell r="A554">
            <v>1</v>
          </cell>
          <cell r="B554">
            <v>0</v>
          </cell>
          <cell r="C554">
            <v>999</v>
          </cell>
          <cell r="D554">
            <v>29</v>
          </cell>
          <cell r="E554" t="str">
            <v xml:space="preserve">    </v>
          </cell>
          <cell r="F554" t="str">
            <v xml:space="preserve">   </v>
          </cell>
          <cell r="G554">
            <v>1099929</v>
          </cell>
          <cell r="H554">
            <v>-9449</v>
          </cell>
          <cell r="I554">
            <v>-9449</v>
          </cell>
          <cell r="J554">
            <v>0</v>
          </cell>
          <cell r="K554">
            <v>0</v>
          </cell>
          <cell r="L554">
            <v>0</v>
          </cell>
        </row>
        <row r="555">
          <cell r="A555">
            <v>2</v>
          </cell>
          <cell r="B555">
            <v>0</v>
          </cell>
          <cell r="C555">
            <v>999</v>
          </cell>
          <cell r="D555">
            <v>29</v>
          </cell>
          <cell r="E555" t="str">
            <v xml:space="preserve">    </v>
          </cell>
          <cell r="F555" t="str">
            <v xml:space="preserve">   </v>
          </cell>
          <cell r="G555">
            <v>2099929</v>
          </cell>
          <cell r="H555">
            <v>-113388</v>
          </cell>
          <cell r="I555">
            <v>-113388</v>
          </cell>
          <cell r="J555">
            <v>0</v>
          </cell>
          <cell r="K555">
            <v>0</v>
          </cell>
          <cell r="L555">
            <v>0</v>
          </cell>
        </row>
        <row r="556">
          <cell r="A556">
            <v>1</v>
          </cell>
          <cell r="B556">
            <v>0</v>
          </cell>
          <cell r="C556">
            <v>999</v>
          </cell>
          <cell r="D556">
            <v>30</v>
          </cell>
          <cell r="E556" t="str">
            <v xml:space="preserve">    </v>
          </cell>
          <cell r="F556" t="str">
            <v xml:space="preserve">   </v>
          </cell>
          <cell r="G556">
            <v>1099930</v>
          </cell>
          <cell r="H556">
            <v>-19134</v>
          </cell>
          <cell r="I556">
            <v>-19134</v>
          </cell>
          <cell r="J556">
            <v>0</v>
          </cell>
          <cell r="K556">
            <v>0</v>
          </cell>
          <cell r="L556">
            <v>0</v>
          </cell>
        </row>
        <row r="557">
          <cell r="A557">
            <v>2</v>
          </cell>
          <cell r="B557">
            <v>0</v>
          </cell>
          <cell r="C557">
            <v>999</v>
          </cell>
          <cell r="D557">
            <v>30</v>
          </cell>
          <cell r="E557" t="str">
            <v xml:space="preserve">    </v>
          </cell>
          <cell r="F557" t="str">
            <v xml:space="preserve">   </v>
          </cell>
          <cell r="G557">
            <v>2099930</v>
          </cell>
          <cell r="H557">
            <v>-229608</v>
          </cell>
          <cell r="I557">
            <v>-229608</v>
          </cell>
          <cell r="J557">
            <v>0</v>
          </cell>
          <cell r="K557">
            <v>0</v>
          </cell>
          <cell r="L557">
            <v>0</v>
          </cell>
        </row>
        <row r="558">
          <cell r="A558">
            <v>1</v>
          </cell>
          <cell r="B558">
            <v>0</v>
          </cell>
          <cell r="C558">
            <v>999</v>
          </cell>
          <cell r="D558">
            <v>33</v>
          </cell>
          <cell r="E558" t="str">
            <v xml:space="preserve">    </v>
          </cell>
          <cell r="F558" t="str">
            <v xml:space="preserve">   </v>
          </cell>
          <cell r="G558">
            <v>1099933</v>
          </cell>
          <cell r="H558">
            <v>0</v>
          </cell>
          <cell r="I558">
            <v>0</v>
          </cell>
          <cell r="J558">
            <v>0</v>
          </cell>
          <cell r="K558">
            <v>0</v>
          </cell>
          <cell r="L558">
            <v>0</v>
          </cell>
        </row>
        <row r="559">
          <cell r="A559">
            <v>2</v>
          </cell>
          <cell r="B559">
            <v>0</v>
          </cell>
          <cell r="C559">
            <v>999</v>
          </cell>
          <cell r="D559">
            <v>33</v>
          </cell>
          <cell r="E559" t="str">
            <v xml:space="preserve">    </v>
          </cell>
          <cell r="F559" t="str">
            <v xml:space="preserve">   </v>
          </cell>
          <cell r="G559">
            <v>2099933</v>
          </cell>
          <cell r="H559">
            <v>-131103</v>
          </cell>
          <cell r="I559">
            <v>-131103</v>
          </cell>
          <cell r="J559">
            <v>0</v>
          </cell>
          <cell r="K559">
            <v>0</v>
          </cell>
          <cell r="L559">
            <v>0</v>
          </cell>
        </row>
        <row r="560">
          <cell r="A560">
            <v>1</v>
          </cell>
          <cell r="B560">
            <v>0</v>
          </cell>
          <cell r="C560">
            <v>999</v>
          </cell>
          <cell r="D560">
            <v>34</v>
          </cell>
          <cell r="E560" t="str">
            <v xml:space="preserve">    </v>
          </cell>
          <cell r="F560" t="str">
            <v xml:space="preserve">   </v>
          </cell>
          <cell r="G560">
            <v>1099934</v>
          </cell>
          <cell r="H560">
            <v>-9397</v>
          </cell>
          <cell r="I560">
            <v>0</v>
          </cell>
          <cell r="J560">
            <v>-9397</v>
          </cell>
          <cell r="K560">
            <v>0</v>
          </cell>
          <cell r="L560">
            <v>0</v>
          </cell>
        </row>
        <row r="561">
          <cell r="A561">
            <v>2</v>
          </cell>
          <cell r="B561">
            <v>0</v>
          </cell>
          <cell r="C561">
            <v>999</v>
          </cell>
          <cell r="D561">
            <v>34</v>
          </cell>
          <cell r="E561" t="str">
            <v xml:space="preserve">    </v>
          </cell>
          <cell r="F561" t="str">
            <v xml:space="preserve">   </v>
          </cell>
          <cell r="G561">
            <v>2099934</v>
          </cell>
          <cell r="H561">
            <v>-112764</v>
          </cell>
          <cell r="I561">
            <v>0</v>
          </cell>
          <cell r="J561">
            <v>-112764</v>
          </cell>
          <cell r="K561">
            <v>0</v>
          </cell>
          <cell r="L561">
            <v>0</v>
          </cell>
        </row>
        <row r="562">
          <cell r="A562">
            <v>1</v>
          </cell>
          <cell r="B562">
            <v>0</v>
          </cell>
          <cell r="C562">
            <v>999</v>
          </cell>
          <cell r="D562">
            <v>35</v>
          </cell>
          <cell r="E562" t="str">
            <v xml:space="preserve">    </v>
          </cell>
          <cell r="F562" t="str">
            <v xml:space="preserve">   </v>
          </cell>
          <cell r="G562">
            <v>1099935</v>
          </cell>
          <cell r="H562">
            <v>-3329</v>
          </cell>
          <cell r="I562">
            <v>0</v>
          </cell>
          <cell r="J562">
            <v>0</v>
          </cell>
          <cell r="K562">
            <v>-3329</v>
          </cell>
          <cell r="L562">
            <v>0</v>
          </cell>
        </row>
        <row r="563">
          <cell r="A563">
            <v>2</v>
          </cell>
          <cell r="B563">
            <v>0</v>
          </cell>
          <cell r="C563">
            <v>999</v>
          </cell>
          <cell r="D563">
            <v>35</v>
          </cell>
          <cell r="E563" t="str">
            <v xml:space="preserve">    </v>
          </cell>
          <cell r="F563" t="str">
            <v xml:space="preserve">   </v>
          </cell>
          <cell r="G563">
            <v>2099935</v>
          </cell>
          <cell r="H563">
            <v>-39948</v>
          </cell>
          <cell r="I563">
            <v>0</v>
          </cell>
          <cell r="J563">
            <v>0</v>
          </cell>
          <cell r="K563">
            <v>-39948</v>
          </cell>
          <cell r="L563">
            <v>0</v>
          </cell>
        </row>
        <row r="564">
          <cell r="A564">
            <v>1</v>
          </cell>
          <cell r="B564">
            <v>0</v>
          </cell>
          <cell r="C564">
            <v>999</v>
          </cell>
          <cell r="D564">
            <v>37</v>
          </cell>
          <cell r="E564" t="str">
            <v xml:space="preserve">    </v>
          </cell>
          <cell r="F564" t="str">
            <v xml:space="preserve">   </v>
          </cell>
          <cell r="G564">
            <v>1099937</v>
          </cell>
          <cell r="H564">
            <v>-175000</v>
          </cell>
          <cell r="I564">
            <v>-175000</v>
          </cell>
          <cell r="J564">
            <v>0</v>
          </cell>
          <cell r="K564">
            <v>0</v>
          </cell>
          <cell r="L564">
            <v>0</v>
          </cell>
        </row>
        <row r="565">
          <cell r="A565">
            <v>2</v>
          </cell>
          <cell r="B565">
            <v>0</v>
          </cell>
          <cell r="C565">
            <v>999</v>
          </cell>
          <cell r="D565">
            <v>37</v>
          </cell>
          <cell r="E565" t="str">
            <v xml:space="preserve">    </v>
          </cell>
          <cell r="F565" t="str">
            <v xml:space="preserve">   </v>
          </cell>
          <cell r="G565">
            <v>2099937</v>
          </cell>
          <cell r="H565">
            <v>-550000</v>
          </cell>
          <cell r="I565">
            <v>-550000</v>
          </cell>
          <cell r="J565">
            <v>0</v>
          </cell>
          <cell r="K565">
            <v>0</v>
          </cell>
          <cell r="L565">
            <v>0</v>
          </cell>
        </row>
        <row r="566">
          <cell r="A566">
            <v>1</v>
          </cell>
          <cell r="B566">
            <v>0</v>
          </cell>
          <cell r="C566">
            <v>999</v>
          </cell>
          <cell r="D566">
            <v>40</v>
          </cell>
          <cell r="E566" t="str">
            <v xml:space="preserve">    </v>
          </cell>
          <cell r="F566" t="str">
            <v xml:space="preserve">   </v>
          </cell>
          <cell r="G566">
            <v>1099940</v>
          </cell>
          <cell r="H566">
            <v>-45156</v>
          </cell>
          <cell r="I566">
            <v>-45156</v>
          </cell>
          <cell r="J566">
            <v>0</v>
          </cell>
          <cell r="K566">
            <v>0</v>
          </cell>
          <cell r="L566">
            <v>0</v>
          </cell>
        </row>
        <row r="567">
          <cell r="A567">
            <v>2</v>
          </cell>
          <cell r="B567">
            <v>0</v>
          </cell>
          <cell r="C567">
            <v>999</v>
          </cell>
          <cell r="D567">
            <v>40</v>
          </cell>
          <cell r="E567" t="str">
            <v xml:space="preserve">    </v>
          </cell>
          <cell r="F567" t="str">
            <v xml:space="preserve">   </v>
          </cell>
          <cell r="G567">
            <v>2099940</v>
          </cell>
          <cell r="H567">
            <v>-541872</v>
          </cell>
          <cell r="I567">
            <v>-541872</v>
          </cell>
          <cell r="J567">
            <v>0</v>
          </cell>
          <cell r="K567">
            <v>0</v>
          </cell>
          <cell r="L567">
            <v>0</v>
          </cell>
        </row>
        <row r="568">
          <cell r="A568">
            <v>1</v>
          </cell>
          <cell r="B568">
            <v>0</v>
          </cell>
          <cell r="C568">
            <v>999</v>
          </cell>
          <cell r="D568">
            <v>51</v>
          </cell>
          <cell r="E568" t="str">
            <v xml:space="preserve">    </v>
          </cell>
          <cell r="F568" t="str">
            <v xml:space="preserve">   </v>
          </cell>
          <cell r="G568">
            <v>1099951</v>
          </cell>
          <cell r="H568">
            <v>341667</v>
          </cell>
          <cell r="I568">
            <v>341667</v>
          </cell>
          <cell r="J568">
            <v>0</v>
          </cell>
          <cell r="K568">
            <v>0</v>
          </cell>
          <cell r="L568">
            <v>0</v>
          </cell>
        </row>
        <row r="569">
          <cell r="A569">
            <v>2</v>
          </cell>
          <cell r="B569">
            <v>0</v>
          </cell>
          <cell r="C569">
            <v>999</v>
          </cell>
          <cell r="D569">
            <v>51</v>
          </cell>
          <cell r="E569" t="str">
            <v xml:space="preserve">    </v>
          </cell>
          <cell r="F569" t="str">
            <v xml:space="preserve">   </v>
          </cell>
          <cell r="G569">
            <v>2099951</v>
          </cell>
          <cell r="H569">
            <v>4379234</v>
          </cell>
          <cell r="I569">
            <v>4379234</v>
          </cell>
          <cell r="J569">
            <v>0</v>
          </cell>
          <cell r="K569">
            <v>0</v>
          </cell>
          <cell r="L569">
            <v>0</v>
          </cell>
        </row>
        <row r="570">
          <cell r="A570">
            <v>1</v>
          </cell>
          <cell r="B570">
            <v>0</v>
          </cell>
          <cell r="C570">
            <v>999</v>
          </cell>
          <cell r="D570">
            <v>52</v>
          </cell>
          <cell r="E570" t="str">
            <v xml:space="preserve">    </v>
          </cell>
          <cell r="F570" t="str">
            <v xml:space="preserve">   </v>
          </cell>
          <cell r="G570">
            <v>1099952</v>
          </cell>
          <cell r="H570">
            <v>7096</v>
          </cell>
          <cell r="I570">
            <v>7096</v>
          </cell>
          <cell r="J570">
            <v>0</v>
          </cell>
          <cell r="K570">
            <v>0</v>
          </cell>
          <cell r="L570">
            <v>0</v>
          </cell>
        </row>
        <row r="571">
          <cell r="A571">
            <v>2</v>
          </cell>
          <cell r="B571">
            <v>0</v>
          </cell>
          <cell r="C571">
            <v>999</v>
          </cell>
          <cell r="D571">
            <v>52</v>
          </cell>
          <cell r="E571" t="str">
            <v xml:space="preserve">    </v>
          </cell>
          <cell r="F571" t="str">
            <v xml:space="preserve">   </v>
          </cell>
          <cell r="G571">
            <v>2099952</v>
          </cell>
          <cell r="H571">
            <v>416262</v>
          </cell>
          <cell r="I571">
            <v>416262</v>
          </cell>
          <cell r="J571">
            <v>0</v>
          </cell>
          <cell r="K571">
            <v>0</v>
          </cell>
          <cell r="L571">
            <v>0</v>
          </cell>
        </row>
        <row r="572">
          <cell r="A572">
            <v>1</v>
          </cell>
          <cell r="B572">
            <v>0</v>
          </cell>
          <cell r="C572">
            <v>999</v>
          </cell>
          <cell r="D572">
            <v>57</v>
          </cell>
          <cell r="E572" t="str">
            <v xml:space="preserve">    </v>
          </cell>
          <cell r="F572" t="str">
            <v xml:space="preserve">   </v>
          </cell>
          <cell r="G572">
            <v>1099957</v>
          </cell>
          <cell r="H572">
            <v>-2232</v>
          </cell>
          <cell r="I572">
            <v>-2232</v>
          </cell>
          <cell r="J572">
            <v>0</v>
          </cell>
          <cell r="K572">
            <v>0</v>
          </cell>
          <cell r="L572">
            <v>0</v>
          </cell>
        </row>
        <row r="573">
          <cell r="A573">
            <v>2</v>
          </cell>
          <cell r="B573">
            <v>0</v>
          </cell>
          <cell r="C573">
            <v>999</v>
          </cell>
          <cell r="D573">
            <v>57</v>
          </cell>
          <cell r="E573" t="str">
            <v xml:space="preserve">    </v>
          </cell>
          <cell r="F573" t="str">
            <v xml:space="preserve">   </v>
          </cell>
          <cell r="G573">
            <v>2099957</v>
          </cell>
          <cell r="H573">
            <v>-2086</v>
          </cell>
          <cell r="I573">
            <v>-2086</v>
          </cell>
          <cell r="J573">
            <v>0</v>
          </cell>
          <cell r="K573">
            <v>0</v>
          </cell>
          <cell r="L573">
            <v>0</v>
          </cell>
        </row>
        <row r="574">
          <cell r="A574">
            <v>1</v>
          </cell>
          <cell r="B574">
            <v>0</v>
          </cell>
          <cell r="C574">
            <v>999</v>
          </cell>
          <cell r="D574">
            <v>59</v>
          </cell>
          <cell r="E574" t="str">
            <v xml:space="preserve">    </v>
          </cell>
          <cell r="F574" t="str">
            <v xml:space="preserve">   </v>
          </cell>
          <cell r="G574">
            <v>1099959</v>
          </cell>
          <cell r="H574">
            <v>47218</v>
          </cell>
          <cell r="I574">
            <v>47218</v>
          </cell>
          <cell r="J574">
            <v>0</v>
          </cell>
          <cell r="K574">
            <v>0</v>
          </cell>
          <cell r="L574">
            <v>0</v>
          </cell>
        </row>
        <row r="575">
          <cell r="A575">
            <v>2</v>
          </cell>
          <cell r="B575">
            <v>0</v>
          </cell>
          <cell r="C575">
            <v>999</v>
          </cell>
          <cell r="D575">
            <v>59</v>
          </cell>
          <cell r="E575" t="str">
            <v xml:space="preserve">    </v>
          </cell>
          <cell r="F575" t="str">
            <v xml:space="preserve">   </v>
          </cell>
          <cell r="G575">
            <v>2099959</v>
          </cell>
          <cell r="H575">
            <v>633897</v>
          </cell>
          <cell r="I575">
            <v>633897</v>
          </cell>
          <cell r="J575">
            <v>0</v>
          </cell>
          <cell r="K575">
            <v>0</v>
          </cell>
          <cell r="L575">
            <v>0</v>
          </cell>
        </row>
        <row r="576">
          <cell r="A576">
            <v>1</v>
          </cell>
          <cell r="B576">
            <v>0</v>
          </cell>
          <cell r="C576">
            <v>999</v>
          </cell>
          <cell r="D576">
            <v>60</v>
          </cell>
          <cell r="E576" t="str">
            <v xml:space="preserve">    </v>
          </cell>
          <cell r="F576" t="str">
            <v xml:space="preserve">   </v>
          </cell>
          <cell r="G576">
            <v>1099960</v>
          </cell>
          <cell r="H576">
            <v>5304218</v>
          </cell>
          <cell r="I576">
            <v>5304218</v>
          </cell>
          <cell r="J576">
            <v>0</v>
          </cell>
          <cell r="K576">
            <v>0</v>
          </cell>
          <cell r="L576">
            <v>0</v>
          </cell>
        </row>
        <row r="577">
          <cell r="A577">
            <v>2</v>
          </cell>
          <cell r="B577">
            <v>0</v>
          </cell>
          <cell r="C577">
            <v>999</v>
          </cell>
          <cell r="D577">
            <v>60</v>
          </cell>
          <cell r="E577" t="str">
            <v xml:space="preserve">    </v>
          </cell>
          <cell r="F577" t="str">
            <v xml:space="preserve">   </v>
          </cell>
          <cell r="G577">
            <v>2099960</v>
          </cell>
          <cell r="H577">
            <v>58128535</v>
          </cell>
          <cell r="I577">
            <v>58128535</v>
          </cell>
          <cell r="J577">
            <v>0</v>
          </cell>
          <cell r="K577">
            <v>0</v>
          </cell>
          <cell r="L577">
            <v>0</v>
          </cell>
        </row>
        <row r="578">
          <cell r="A578">
            <v>1</v>
          </cell>
          <cell r="B578">
            <v>0</v>
          </cell>
          <cell r="C578">
            <v>999</v>
          </cell>
          <cell r="D578">
            <v>66</v>
          </cell>
          <cell r="E578" t="str">
            <v xml:space="preserve">    </v>
          </cell>
          <cell r="F578" t="str">
            <v xml:space="preserve">   </v>
          </cell>
          <cell r="G578">
            <v>1099966</v>
          </cell>
          <cell r="H578">
            <v>-71143</v>
          </cell>
          <cell r="I578">
            <v>0</v>
          </cell>
          <cell r="J578">
            <v>0</v>
          </cell>
          <cell r="K578">
            <v>-71143</v>
          </cell>
          <cell r="L578">
            <v>0</v>
          </cell>
        </row>
        <row r="579">
          <cell r="A579">
            <v>2</v>
          </cell>
          <cell r="B579">
            <v>0</v>
          </cell>
          <cell r="C579">
            <v>999</v>
          </cell>
          <cell r="D579">
            <v>66</v>
          </cell>
          <cell r="E579" t="str">
            <v xml:space="preserve">    </v>
          </cell>
          <cell r="F579" t="str">
            <v xml:space="preserve">   </v>
          </cell>
          <cell r="G579">
            <v>2099966</v>
          </cell>
          <cell r="H579">
            <v>-706758</v>
          </cell>
          <cell r="I579">
            <v>0</v>
          </cell>
          <cell r="J579">
            <v>0</v>
          </cell>
          <cell r="K579">
            <v>-706758</v>
          </cell>
          <cell r="L579">
            <v>0</v>
          </cell>
        </row>
        <row r="580">
          <cell r="A580">
            <v>1</v>
          </cell>
          <cell r="B580">
            <v>0</v>
          </cell>
          <cell r="C580">
            <v>999</v>
          </cell>
          <cell r="D580">
            <v>68</v>
          </cell>
          <cell r="E580" t="str">
            <v xml:space="preserve">    </v>
          </cell>
          <cell r="F580" t="str">
            <v xml:space="preserve">   </v>
          </cell>
          <cell r="G580">
            <v>1099968</v>
          </cell>
          <cell r="H580">
            <v>894898</v>
          </cell>
          <cell r="I580">
            <v>0</v>
          </cell>
          <cell r="J580">
            <v>0</v>
          </cell>
          <cell r="K580">
            <v>894898</v>
          </cell>
          <cell r="L580">
            <v>0</v>
          </cell>
        </row>
        <row r="581">
          <cell r="A581">
            <v>2</v>
          </cell>
          <cell r="B581">
            <v>0</v>
          </cell>
          <cell r="C581">
            <v>999</v>
          </cell>
          <cell r="D581">
            <v>68</v>
          </cell>
          <cell r="E581" t="str">
            <v xml:space="preserve">    </v>
          </cell>
          <cell r="F581" t="str">
            <v xml:space="preserve">   </v>
          </cell>
          <cell r="G581">
            <v>2099968</v>
          </cell>
          <cell r="H581">
            <v>6222057</v>
          </cell>
          <cell r="I581">
            <v>0</v>
          </cell>
          <cell r="J581">
            <v>0</v>
          </cell>
          <cell r="K581">
            <v>6222057</v>
          </cell>
          <cell r="L581">
            <v>0</v>
          </cell>
        </row>
        <row r="582">
          <cell r="A582">
            <v>1</v>
          </cell>
          <cell r="B582">
            <v>0</v>
          </cell>
          <cell r="C582">
            <v>999</v>
          </cell>
          <cell r="D582">
            <v>70</v>
          </cell>
          <cell r="E582" t="str">
            <v xml:space="preserve">    </v>
          </cell>
          <cell r="F582" t="str">
            <v xml:space="preserve">   </v>
          </cell>
          <cell r="G582">
            <v>1099970</v>
          </cell>
          <cell r="H582">
            <v>4381386.74</v>
          </cell>
          <cell r="I582">
            <v>4381386.74</v>
          </cell>
          <cell r="J582">
            <v>0</v>
          </cell>
          <cell r="K582">
            <v>0</v>
          </cell>
          <cell r="L582">
            <v>0</v>
          </cell>
        </row>
        <row r="583">
          <cell r="A583">
            <v>2</v>
          </cell>
          <cell r="B583">
            <v>0</v>
          </cell>
          <cell r="C583">
            <v>999</v>
          </cell>
          <cell r="D583">
            <v>70</v>
          </cell>
          <cell r="E583" t="str">
            <v xml:space="preserve">    </v>
          </cell>
          <cell r="F583" t="str">
            <v xml:space="preserve">   </v>
          </cell>
          <cell r="G583">
            <v>2099970</v>
          </cell>
          <cell r="H583">
            <v>50847989.840000004</v>
          </cell>
          <cell r="I583">
            <v>50847989.840000004</v>
          </cell>
          <cell r="J583">
            <v>0</v>
          </cell>
          <cell r="K583">
            <v>0</v>
          </cell>
          <cell r="L583">
            <v>0</v>
          </cell>
        </row>
        <row r="584">
          <cell r="A584">
            <v>1</v>
          </cell>
          <cell r="B584">
            <v>0</v>
          </cell>
          <cell r="C584">
            <v>999</v>
          </cell>
          <cell r="D584">
            <v>71</v>
          </cell>
          <cell r="E584" t="str">
            <v xml:space="preserve">    </v>
          </cell>
          <cell r="F584" t="str">
            <v xml:space="preserve">   </v>
          </cell>
          <cell r="G584">
            <v>1099971</v>
          </cell>
          <cell r="H584">
            <v>124711</v>
          </cell>
          <cell r="I584">
            <v>124711</v>
          </cell>
          <cell r="J584">
            <v>0</v>
          </cell>
          <cell r="K584">
            <v>0</v>
          </cell>
          <cell r="L584">
            <v>0</v>
          </cell>
        </row>
        <row r="585">
          <cell r="A585">
            <v>2</v>
          </cell>
          <cell r="B585">
            <v>0</v>
          </cell>
          <cell r="C585">
            <v>999</v>
          </cell>
          <cell r="D585">
            <v>71</v>
          </cell>
          <cell r="E585" t="str">
            <v xml:space="preserve">    </v>
          </cell>
          <cell r="F585" t="str">
            <v xml:space="preserve">   </v>
          </cell>
          <cell r="G585">
            <v>2099971</v>
          </cell>
          <cell r="H585">
            <v>1196005</v>
          </cell>
          <cell r="I585">
            <v>1196005</v>
          </cell>
          <cell r="J585">
            <v>0</v>
          </cell>
          <cell r="K585">
            <v>0</v>
          </cell>
          <cell r="L585">
            <v>0</v>
          </cell>
        </row>
        <row r="586">
          <cell r="A586">
            <v>1</v>
          </cell>
          <cell r="B586">
            <v>0</v>
          </cell>
          <cell r="C586">
            <v>999</v>
          </cell>
          <cell r="D586">
            <v>72</v>
          </cell>
          <cell r="E586" t="str">
            <v xml:space="preserve">    </v>
          </cell>
          <cell r="F586" t="str">
            <v xml:space="preserve">   </v>
          </cell>
          <cell r="G586">
            <v>1099972</v>
          </cell>
          <cell r="H586">
            <v>670094</v>
          </cell>
          <cell r="I586">
            <v>670094</v>
          </cell>
          <cell r="J586">
            <v>0</v>
          </cell>
          <cell r="K586">
            <v>0</v>
          </cell>
          <cell r="L586">
            <v>0</v>
          </cell>
        </row>
        <row r="587">
          <cell r="A587">
            <v>2</v>
          </cell>
          <cell r="B587">
            <v>0</v>
          </cell>
          <cell r="C587">
            <v>999</v>
          </cell>
          <cell r="D587">
            <v>72</v>
          </cell>
          <cell r="E587" t="str">
            <v xml:space="preserve">    </v>
          </cell>
          <cell r="F587" t="str">
            <v xml:space="preserve">   </v>
          </cell>
          <cell r="G587">
            <v>2099972</v>
          </cell>
          <cell r="H587">
            <v>8041129</v>
          </cell>
          <cell r="I587">
            <v>8041129</v>
          </cell>
          <cell r="J587">
            <v>0</v>
          </cell>
          <cell r="K587">
            <v>0</v>
          </cell>
          <cell r="L587">
            <v>0</v>
          </cell>
        </row>
        <row r="588">
          <cell r="A588">
            <v>1</v>
          </cell>
          <cell r="B588">
            <v>0</v>
          </cell>
          <cell r="C588">
            <v>999</v>
          </cell>
          <cell r="D588">
            <v>73</v>
          </cell>
          <cell r="E588" t="str">
            <v xml:space="preserve">    </v>
          </cell>
          <cell r="F588" t="str">
            <v xml:space="preserve">   </v>
          </cell>
          <cell r="G588">
            <v>1099973</v>
          </cell>
          <cell r="H588">
            <v>23425</v>
          </cell>
          <cell r="I588">
            <v>23425</v>
          </cell>
          <cell r="J588">
            <v>0</v>
          </cell>
          <cell r="K588">
            <v>0</v>
          </cell>
          <cell r="L588">
            <v>0</v>
          </cell>
        </row>
        <row r="589">
          <cell r="A589">
            <v>2</v>
          </cell>
          <cell r="B589">
            <v>0</v>
          </cell>
          <cell r="C589">
            <v>999</v>
          </cell>
          <cell r="D589">
            <v>73</v>
          </cell>
          <cell r="E589" t="str">
            <v xml:space="preserve">    </v>
          </cell>
          <cell r="F589" t="str">
            <v xml:space="preserve">   </v>
          </cell>
          <cell r="G589">
            <v>2099973</v>
          </cell>
          <cell r="H589">
            <v>281100</v>
          </cell>
          <cell r="I589">
            <v>281100</v>
          </cell>
          <cell r="J589">
            <v>0</v>
          </cell>
          <cell r="K589">
            <v>0</v>
          </cell>
          <cell r="L589">
            <v>0</v>
          </cell>
        </row>
        <row r="590">
          <cell r="A590">
            <v>1</v>
          </cell>
          <cell r="B590">
            <v>0</v>
          </cell>
          <cell r="C590">
            <v>999</v>
          </cell>
          <cell r="D590">
            <v>75</v>
          </cell>
          <cell r="E590" t="str">
            <v xml:space="preserve">    </v>
          </cell>
          <cell r="F590" t="str">
            <v xml:space="preserve">   </v>
          </cell>
          <cell r="G590">
            <v>1099975</v>
          </cell>
          <cell r="H590">
            <v>16341</v>
          </cell>
          <cell r="I590">
            <v>16341</v>
          </cell>
          <cell r="J590">
            <v>0</v>
          </cell>
          <cell r="K590">
            <v>0</v>
          </cell>
          <cell r="L590">
            <v>0</v>
          </cell>
        </row>
        <row r="591">
          <cell r="A591">
            <v>2</v>
          </cell>
          <cell r="B591">
            <v>0</v>
          </cell>
          <cell r="C591">
            <v>999</v>
          </cell>
          <cell r="D591">
            <v>75</v>
          </cell>
          <cell r="E591" t="str">
            <v xml:space="preserve">    </v>
          </cell>
          <cell r="F591" t="str">
            <v xml:space="preserve">   </v>
          </cell>
          <cell r="G591">
            <v>2099975</v>
          </cell>
          <cell r="H591">
            <v>196092</v>
          </cell>
          <cell r="I591">
            <v>196092</v>
          </cell>
          <cell r="J591">
            <v>0</v>
          </cell>
          <cell r="K591">
            <v>0</v>
          </cell>
          <cell r="L591">
            <v>0</v>
          </cell>
        </row>
        <row r="592">
          <cell r="A592">
            <v>1</v>
          </cell>
          <cell r="B592">
            <v>0</v>
          </cell>
          <cell r="C592">
            <v>999</v>
          </cell>
          <cell r="D592">
            <v>91</v>
          </cell>
          <cell r="E592" t="str">
            <v xml:space="preserve">    </v>
          </cell>
          <cell r="F592" t="str">
            <v xml:space="preserve">   </v>
          </cell>
          <cell r="G592">
            <v>1099991</v>
          </cell>
          <cell r="H592">
            <v>-647121</v>
          </cell>
          <cell r="I592">
            <v>-647121</v>
          </cell>
          <cell r="J592">
            <v>0</v>
          </cell>
          <cell r="K592">
            <v>0</v>
          </cell>
          <cell r="L592">
            <v>0</v>
          </cell>
        </row>
        <row r="593">
          <cell r="A593">
            <v>2</v>
          </cell>
          <cell r="B593">
            <v>0</v>
          </cell>
          <cell r="C593">
            <v>999</v>
          </cell>
          <cell r="D593">
            <v>91</v>
          </cell>
          <cell r="E593" t="str">
            <v xml:space="preserve">    </v>
          </cell>
          <cell r="F593" t="str">
            <v xml:space="preserve">   </v>
          </cell>
          <cell r="G593">
            <v>2099991</v>
          </cell>
          <cell r="H593">
            <v>-12129928</v>
          </cell>
          <cell r="I593">
            <v>-12129928</v>
          </cell>
          <cell r="J593">
            <v>0</v>
          </cell>
          <cell r="K593">
            <v>0</v>
          </cell>
          <cell r="L593">
            <v>0</v>
          </cell>
        </row>
        <row r="594">
          <cell r="A594">
            <v>1</v>
          </cell>
          <cell r="B594">
            <v>0</v>
          </cell>
          <cell r="C594">
            <v>999</v>
          </cell>
          <cell r="D594">
            <v>95</v>
          </cell>
          <cell r="E594" t="str">
            <v xml:space="preserve">    </v>
          </cell>
          <cell r="F594" t="str">
            <v xml:space="preserve">   </v>
          </cell>
          <cell r="G594">
            <v>1099995</v>
          </cell>
          <cell r="H594">
            <v>1368611</v>
          </cell>
          <cell r="I594">
            <v>1368611</v>
          </cell>
          <cell r="J594">
            <v>0</v>
          </cell>
          <cell r="K594">
            <v>0</v>
          </cell>
          <cell r="L594">
            <v>0</v>
          </cell>
        </row>
        <row r="595">
          <cell r="A595">
            <v>2</v>
          </cell>
          <cell r="B595">
            <v>0</v>
          </cell>
          <cell r="C595">
            <v>999</v>
          </cell>
          <cell r="D595">
            <v>95</v>
          </cell>
          <cell r="E595" t="str">
            <v xml:space="preserve">    </v>
          </cell>
          <cell r="F595" t="str">
            <v xml:space="preserve">   </v>
          </cell>
          <cell r="G595">
            <v>2099995</v>
          </cell>
          <cell r="H595">
            <v>3851796</v>
          </cell>
          <cell r="I595">
            <v>3851796</v>
          </cell>
          <cell r="J595">
            <v>0</v>
          </cell>
          <cell r="K595">
            <v>0</v>
          </cell>
          <cell r="L595">
            <v>0</v>
          </cell>
        </row>
        <row r="596">
          <cell r="A596">
            <v>1</v>
          </cell>
          <cell r="B596">
            <v>1</v>
          </cell>
          <cell r="C596">
            <v>403</v>
          </cell>
          <cell r="D596">
            <v>10</v>
          </cell>
          <cell r="E596" t="str">
            <v xml:space="preserve">    </v>
          </cell>
          <cell r="F596" t="str">
            <v xml:space="preserve">   </v>
          </cell>
          <cell r="G596">
            <v>1140310</v>
          </cell>
          <cell r="H596">
            <v>34780</v>
          </cell>
          <cell r="I596">
            <v>34780</v>
          </cell>
          <cell r="J596">
            <v>0</v>
          </cell>
          <cell r="K596">
            <v>0</v>
          </cell>
          <cell r="L596">
            <v>0</v>
          </cell>
        </row>
        <row r="597">
          <cell r="A597">
            <v>2</v>
          </cell>
          <cell r="B597">
            <v>1</v>
          </cell>
          <cell r="C597">
            <v>403</v>
          </cell>
          <cell r="D597">
            <v>10</v>
          </cell>
          <cell r="E597" t="str">
            <v xml:space="preserve">    </v>
          </cell>
          <cell r="F597" t="str">
            <v xml:space="preserve">   </v>
          </cell>
          <cell r="G597">
            <v>2140310</v>
          </cell>
          <cell r="H597">
            <v>436613</v>
          </cell>
          <cell r="I597">
            <v>436613</v>
          </cell>
          <cell r="J597">
            <v>0</v>
          </cell>
          <cell r="K597">
            <v>0</v>
          </cell>
          <cell r="L597">
            <v>0</v>
          </cell>
        </row>
        <row r="598">
          <cell r="A598">
            <v>1</v>
          </cell>
          <cell r="B598">
            <v>1</v>
          </cell>
          <cell r="C598">
            <v>403</v>
          </cell>
          <cell r="D598">
            <v>50</v>
          </cell>
          <cell r="E598" t="str">
            <v xml:space="preserve">    </v>
          </cell>
          <cell r="F598" t="str">
            <v xml:space="preserve">   </v>
          </cell>
          <cell r="G598">
            <v>1140350</v>
          </cell>
          <cell r="H598">
            <v>461508</v>
          </cell>
          <cell r="I598">
            <v>461508</v>
          </cell>
          <cell r="J598">
            <v>0</v>
          </cell>
          <cell r="K598">
            <v>0</v>
          </cell>
          <cell r="L598">
            <v>0</v>
          </cell>
        </row>
        <row r="599">
          <cell r="A599">
            <v>2</v>
          </cell>
          <cell r="B599">
            <v>1</v>
          </cell>
          <cell r="C599">
            <v>403</v>
          </cell>
          <cell r="D599">
            <v>50</v>
          </cell>
          <cell r="E599" t="str">
            <v xml:space="preserve">    </v>
          </cell>
          <cell r="F599" t="str">
            <v xml:space="preserve">   </v>
          </cell>
          <cell r="G599">
            <v>2140350</v>
          </cell>
          <cell r="H599">
            <v>5539675</v>
          </cell>
          <cell r="I599">
            <v>5539675</v>
          </cell>
          <cell r="J599">
            <v>0</v>
          </cell>
          <cell r="K599">
            <v>0</v>
          </cell>
          <cell r="L599">
            <v>0</v>
          </cell>
        </row>
        <row r="600">
          <cell r="A600">
            <v>1</v>
          </cell>
          <cell r="B600">
            <v>1</v>
          </cell>
          <cell r="C600">
            <v>403</v>
          </cell>
          <cell r="D600">
            <v>60</v>
          </cell>
          <cell r="E600" t="str">
            <v xml:space="preserve">    </v>
          </cell>
          <cell r="F600" t="str">
            <v xml:space="preserve">   </v>
          </cell>
          <cell r="G600">
            <v>1140360</v>
          </cell>
          <cell r="H600">
            <v>43181.96</v>
          </cell>
          <cell r="I600">
            <v>43181.96</v>
          </cell>
          <cell r="J600">
            <v>0</v>
          </cell>
          <cell r="K600">
            <v>0</v>
          </cell>
          <cell r="L600">
            <v>0</v>
          </cell>
        </row>
        <row r="601">
          <cell r="A601">
            <v>2</v>
          </cell>
          <cell r="B601">
            <v>1</v>
          </cell>
          <cell r="C601">
            <v>403</v>
          </cell>
          <cell r="D601">
            <v>60</v>
          </cell>
          <cell r="E601" t="str">
            <v xml:space="preserve">    </v>
          </cell>
          <cell r="F601" t="str">
            <v xml:space="preserve">   </v>
          </cell>
          <cell r="G601">
            <v>2140360</v>
          </cell>
          <cell r="H601">
            <v>552477.56999999995</v>
          </cell>
          <cell r="I601">
            <v>552477.56999999995</v>
          </cell>
          <cell r="J601">
            <v>0</v>
          </cell>
          <cell r="K601">
            <v>0</v>
          </cell>
          <cell r="L601">
            <v>0</v>
          </cell>
        </row>
        <row r="602">
          <cell r="A602">
            <v>1</v>
          </cell>
          <cell r="B602">
            <v>1</v>
          </cell>
          <cell r="C602">
            <v>403</v>
          </cell>
          <cell r="D602">
            <v>70</v>
          </cell>
          <cell r="E602" t="str">
            <v xml:space="preserve">    </v>
          </cell>
          <cell r="F602" t="str">
            <v xml:space="preserve">   </v>
          </cell>
          <cell r="G602">
            <v>1140370</v>
          </cell>
          <cell r="H602">
            <v>4970.8599999999997</v>
          </cell>
          <cell r="I602">
            <v>4970.8599999999997</v>
          </cell>
          <cell r="J602">
            <v>0</v>
          </cell>
          <cell r="K602">
            <v>0</v>
          </cell>
          <cell r="L602">
            <v>0</v>
          </cell>
        </row>
        <row r="603">
          <cell r="A603">
            <v>2</v>
          </cell>
          <cell r="B603">
            <v>1</v>
          </cell>
          <cell r="C603">
            <v>403</v>
          </cell>
          <cell r="D603">
            <v>70</v>
          </cell>
          <cell r="E603" t="str">
            <v xml:space="preserve">    </v>
          </cell>
          <cell r="F603" t="str">
            <v xml:space="preserve">   </v>
          </cell>
          <cell r="G603">
            <v>2140370</v>
          </cell>
          <cell r="H603">
            <v>59455.95</v>
          </cell>
          <cell r="I603">
            <v>59455.95</v>
          </cell>
          <cell r="J603">
            <v>0</v>
          </cell>
          <cell r="K603">
            <v>0</v>
          </cell>
          <cell r="L603">
            <v>0</v>
          </cell>
        </row>
        <row r="604">
          <cell r="A604">
            <v>1</v>
          </cell>
          <cell r="B604">
            <v>1</v>
          </cell>
          <cell r="C604">
            <v>404</v>
          </cell>
          <cell r="D604">
            <v>30</v>
          </cell>
          <cell r="E604" t="str">
            <v xml:space="preserve">    </v>
          </cell>
          <cell r="F604" t="str">
            <v xml:space="preserve">   </v>
          </cell>
          <cell r="G604">
            <v>1140430</v>
          </cell>
          <cell r="H604">
            <v>70267.41</v>
          </cell>
          <cell r="I604">
            <v>70267.41</v>
          </cell>
          <cell r="J604">
            <v>0</v>
          </cell>
          <cell r="K604">
            <v>0</v>
          </cell>
          <cell r="L604">
            <v>0</v>
          </cell>
        </row>
        <row r="605">
          <cell r="A605">
            <v>2</v>
          </cell>
          <cell r="B605">
            <v>1</v>
          </cell>
          <cell r="C605">
            <v>404</v>
          </cell>
          <cell r="D605">
            <v>30</v>
          </cell>
          <cell r="E605" t="str">
            <v xml:space="preserve">    </v>
          </cell>
          <cell r="F605" t="str">
            <v xml:space="preserve">   </v>
          </cell>
          <cell r="G605">
            <v>2140430</v>
          </cell>
          <cell r="H605">
            <v>492269.34</v>
          </cell>
          <cell r="I605">
            <v>492269.34</v>
          </cell>
          <cell r="J605">
            <v>0</v>
          </cell>
          <cell r="K605">
            <v>0</v>
          </cell>
          <cell r="L605">
            <v>0</v>
          </cell>
        </row>
        <row r="606">
          <cell r="A606">
            <v>1</v>
          </cell>
          <cell r="B606">
            <v>1</v>
          </cell>
          <cell r="C606">
            <v>404</v>
          </cell>
          <cell r="D606">
            <v>60</v>
          </cell>
          <cell r="E606" t="str">
            <v xml:space="preserve">    </v>
          </cell>
          <cell r="F606" t="str">
            <v xml:space="preserve">   </v>
          </cell>
          <cell r="G606">
            <v>1140460</v>
          </cell>
          <cell r="H606">
            <v>12969.7</v>
          </cell>
          <cell r="I606">
            <v>12969.7</v>
          </cell>
          <cell r="J606">
            <v>0</v>
          </cell>
          <cell r="K606">
            <v>0</v>
          </cell>
          <cell r="L606">
            <v>0</v>
          </cell>
        </row>
        <row r="607">
          <cell r="A607">
            <v>2</v>
          </cell>
          <cell r="B607">
            <v>1</v>
          </cell>
          <cell r="C607">
            <v>404</v>
          </cell>
          <cell r="D607">
            <v>60</v>
          </cell>
          <cell r="E607" t="str">
            <v xml:space="preserve">    </v>
          </cell>
          <cell r="F607" t="str">
            <v xml:space="preserve">   </v>
          </cell>
          <cell r="G607">
            <v>2140460</v>
          </cell>
          <cell r="H607">
            <v>107234.28</v>
          </cell>
          <cell r="I607">
            <v>107234.28</v>
          </cell>
          <cell r="J607">
            <v>0</v>
          </cell>
          <cell r="K607">
            <v>0</v>
          </cell>
          <cell r="L607">
            <v>0</v>
          </cell>
        </row>
        <row r="608">
          <cell r="A608">
            <v>1</v>
          </cell>
          <cell r="B608">
            <v>1</v>
          </cell>
          <cell r="C608">
            <v>408</v>
          </cell>
          <cell r="D608">
            <v>11</v>
          </cell>
          <cell r="E608" t="str">
            <v xml:space="preserve">    </v>
          </cell>
          <cell r="F608" t="str">
            <v xml:space="preserve">   </v>
          </cell>
          <cell r="G608">
            <v>1140811</v>
          </cell>
          <cell r="H608">
            <v>-330847.90999999997</v>
          </cell>
          <cell r="I608">
            <v>0</v>
          </cell>
          <cell r="J608">
            <v>-330937.90000000002</v>
          </cell>
          <cell r="K608">
            <v>89.99</v>
          </cell>
          <cell r="L608">
            <v>0</v>
          </cell>
        </row>
        <row r="609">
          <cell r="A609">
            <v>2</v>
          </cell>
          <cell r="B609">
            <v>1</v>
          </cell>
          <cell r="C609">
            <v>408</v>
          </cell>
          <cell r="D609">
            <v>11</v>
          </cell>
          <cell r="E609" t="str">
            <v xml:space="preserve">    </v>
          </cell>
          <cell r="F609" t="str">
            <v xml:space="preserve">   </v>
          </cell>
          <cell r="G609">
            <v>2140811</v>
          </cell>
          <cell r="H609">
            <v>1971928.35</v>
          </cell>
          <cell r="I609">
            <v>0</v>
          </cell>
          <cell r="J609">
            <v>1971292.42</v>
          </cell>
          <cell r="K609">
            <v>635.92999999999995</v>
          </cell>
          <cell r="L609">
            <v>0</v>
          </cell>
        </row>
        <row r="610">
          <cell r="A610">
            <v>1</v>
          </cell>
          <cell r="B610">
            <v>1</v>
          </cell>
          <cell r="C610">
            <v>408</v>
          </cell>
          <cell r="D610">
            <v>12</v>
          </cell>
          <cell r="E610" t="str">
            <v xml:space="preserve">    </v>
          </cell>
          <cell r="F610" t="str">
            <v xml:space="preserve">   </v>
          </cell>
          <cell r="G610">
            <v>1140812</v>
          </cell>
          <cell r="H610">
            <v>184044</v>
          </cell>
          <cell r="I610">
            <v>0</v>
          </cell>
          <cell r="J610">
            <v>184044</v>
          </cell>
          <cell r="K610">
            <v>0</v>
          </cell>
          <cell r="L610">
            <v>0</v>
          </cell>
        </row>
        <row r="611">
          <cell r="A611">
            <v>2</v>
          </cell>
          <cell r="B611">
            <v>1</v>
          </cell>
          <cell r="C611">
            <v>408</v>
          </cell>
          <cell r="D611">
            <v>12</v>
          </cell>
          <cell r="E611" t="str">
            <v xml:space="preserve">    </v>
          </cell>
          <cell r="F611" t="str">
            <v xml:space="preserve">   </v>
          </cell>
          <cell r="G611">
            <v>2140812</v>
          </cell>
          <cell r="H611">
            <v>1850491.79</v>
          </cell>
          <cell r="I611">
            <v>0</v>
          </cell>
          <cell r="J611">
            <v>1850491.79</v>
          </cell>
          <cell r="K611">
            <v>0</v>
          </cell>
          <cell r="L611">
            <v>0</v>
          </cell>
        </row>
        <row r="612">
          <cell r="A612">
            <v>1</v>
          </cell>
          <cell r="B612">
            <v>1</v>
          </cell>
          <cell r="C612">
            <v>408</v>
          </cell>
          <cell r="D612">
            <v>15</v>
          </cell>
          <cell r="E612" t="str">
            <v xml:space="preserve">    </v>
          </cell>
          <cell r="F612" t="str">
            <v xml:space="preserve">   </v>
          </cell>
          <cell r="G612">
            <v>1140815</v>
          </cell>
          <cell r="H612">
            <v>-68556</v>
          </cell>
          <cell r="I612">
            <v>0</v>
          </cell>
          <cell r="J612">
            <v>-94346</v>
          </cell>
          <cell r="K612">
            <v>25790</v>
          </cell>
          <cell r="L612">
            <v>0</v>
          </cell>
        </row>
        <row r="613">
          <cell r="A613">
            <v>2</v>
          </cell>
          <cell r="B613">
            <v>1</v>
          </cell>
          <cell r="C613">
            <v>408</v>
          </cell>
          <cell r="D613">
            <v>15</v>
          </cell>
          <cell r="E613" t="str">
            <v xml:space="preserve">    </v>
          </cell>
          <cell r="F613" t="str">
            <v xml:space="preserve">   </v>
          </cell>
          <cell r="G613">
            <v>2140815</v>
          </cell>
          <cell r="H613">
            <v>1893162.11</v>
          </cell>
          <cell r="I613">
            <v>0</v>
          </cell>
          <cell r="J613">
            <v>1280162.1100000001</v>
          </cell>
          <cell r="K613">
            <v>613000</v>
          </cell>
          <cell r="L613">
            <v>0</v>
          </cell>
        </row>
        <row r="614">
          <cell r="A614">
            <v>1</v>
          </cell>
          <cell r="B614">
            <v>1</v>
          </cell>
          <cell r="C614">
            <v>408</v>
          </cell>
          <cell r="D614">
            <v>16</v>
          </cell>
          <cell r="E614" t="str">
            <v xml:space="preserve">    </v>
          </cell>
          <cell r="F614" t="str">
            <v xml:space="preserve">   </v>
          </cell>
          <cell r="G614">
            <v>1140816</v>
          </cell>
          <cell r="H614">
            <v>0</v>
          </cell>
          <cell r="I614">
            <v>0</v>
          </cell>
          <cell r="J614">
            <v>0</v>
          </cell>
          <cell r="K614">
            <v>0</v>
          </cell>
          <cell r="L614">
            <v>0</v>
          </cell>
        </row>
        <row r="615">
          <cell r="A615">
            <v>2</v>
          </cell>
          <cell r="B615">
            <v>1</v>
          </cell>
          <cell r="C615">
            <v>408</v>
          </cell>
          <cell r="D615">
            <v>16</v>
          </cell>
          <cell r="E615" t="str">
            <v xml:space="preserve">    </v>
          </cell>
          <cell r="F615" t="str">
            <v xml:space="preserve">   </v>
          </cell>
          <cell r="G615">
            <v>2140816</v>
          </cell>
          <cell r="H615">
            <v>3314.6</v>
          </cell>
          <cell r="I615">
            <v>0</v>
          </cell>
          <cell r="J615">
            <v>3314.6</v>
          </cell>
          <cell r="K615">
            <v>0</v>
          </cell>
          <cell r="L615">
            <v>0</v>
          </cell>
        </row>
        <row r="616">
          <cell r="A616">
            <v>1</v>
          </cell>
          <cell r="B616">
            <v>1</v>
          </cell>
          <cell r="C616">
            <v>409</v>
          </cell>
          <cell r="D616">
            <v>11</v>
          </cell>
          <cell r="E616" t="str">
            <v xml:space="preserve">    </v>
          </cell>
          <cell r="F616" t="str">
            <v xml:space="preserve">   </v>
          </cell>
          <cell r="G616">
            <v>1140911</v>
          </cell>
          <cell r="H616">
            <v>1524135</v>
          </cell>
          <cell r="I616">
            <v>1524135</v>
          </cell>
          <cell r="J616">
            <v>0</v>
          </cell>
          <cell r="K616">
            <v>0</v>
          </cell>
          <cell r="L616">
            <v>0</v>
          </cell>
        </row>
        <row r="617">
          <cell r="A617">
            <v>2</v>
          </cell>
          <cell r="B617">
            <v>1</v>
          </cell>
          <cell r="C617">
            <v>409</v>
          </cell>
          <cell r="D617">
            <v>11</v>
          </cell>
          <cell r="E617" t="str">
            <v xml:space="preserve">    </v>
          </cell>
          <cell r="F617" t="str">
            <v xml:space="preserve">   </v>
          </cell>
          <cell r="G617">
            <v>2140911</v>
          </cell>
          <cell r="H617">
            <v>-451533</v>
          </cell>
          <cell r="I617">
            <v>-451533</v>
          </cell>
          <cell r="J617">
            <v>0</v>
          </cell>
          <cell r="K617">
            <v>0</v>
          </cell>
          <cell r="L617">
            <v>0</v>
          </cell>
        </row>
        <row r="618">
          <cell r="A618">
            <v>1</v>
          </cell>
          <cell r="B618">
            <v>1</v>
          </cell>
          <cell r="C618">
            <v>409</v>
          </cell>
          <cell r="D618">
            <v>13</v>
          </cell>
          <cell r="E618" t="str">
            <v xml:space="preserve">    </v>
          </cell>
          <cell r="F618" t="str">
            <v xml:space="preserve">   </v>
          </cell>
          <cell r="G618">
            <v>1140913</v>
          </cell>
          <cell r="H618">
            <v>9900</v>
          </cell>
          <cell r="I618">
            <v>0</v>
          </cell>
          <cell r="J618">
            <v>0</v>
          </cell>
          <cell r="K618">
            <v>9900</v>
          </cell>
          <cell r="L618">
            <v>0</v>
          </cell>
        </row>
        <row r="619">
          <cell r="A619">
            <v>2</v>
          </cell>
          <cell r="B619">
            <v>1</v>
          </cell>
          <cell r="C619">
            <v>409</v>
          </cell>
          <cell r="D619">
            <v>13</v>
          </cell>
          <cell r="E619" t="str">
            <v xml:space="preserve">    </v>
          </cell>
          <cell r="F619" t="str">
            <v xml:space="preserve">   </v>
          </cell>
          <cell r="G619">
            <v>2140913</v>
          </cell>
          <cell r="H619">
            <v>155607</v>
          </cell>
          <cell r="I619">
            <v>0</v>
          </cell>
          <cell r="J619">
            <v>0</v>
          </cell>
          <cell r="K619">
            <v>155607</v>
          </cell>
          <cell r="L619">
            <v>0</v>
          </cell>
        </row>
        <row r="620">
          <cell r="A620">
            <v>1</v>
          </cell>
          <cell r="B620">
            <v>1</v>
          </cell>
          <cell r="C620">
            <v>410</v>
          </cell>
          <cell r="D620">
            <v>10</v>
          </cell>
          <cell r="E620" t="str">
            <v xml:space="preserve">    </v>
          </cell>
          <cell r="F620" t="str">
            <v xml:space="preserve">   </v>
          </cell>
          <cell r="G620">
            <v>1141010</v>
          </cell>
          <cell r="H620">
            <v>-157309.6</v>
          </cell>
          <cell r="I620">
            <v>185991.4</v>
          </cell>
          <cell r="J620">
            <v>-196079</v>
          </cell>
          <cell r="K620">
            <v>-147222</v>
          </cell>
          <cell r="L620">
            <v>0</v>
          </cell>
        </row>
        <row r="621">
          <cell r="A621">
            <v>2</v>
          </cell>
          <cell r="B621">
            <v>1</v>
          </cell>
          <cell r="C621">
            <v>410</v>
          </cell>
          <cell r="D621">
            <v>10</v>
          </cell>
          <cell r="E621" t="str">
            <v xml:space="preserve">    </v>
          </cell>
          <cell r="F621" t="str">
            <v xml:space="preserve">   </v>
          </cell>
          <cell r="G621">
            <v>2141010</v>
          </cell>
          <cell r="H621">
            <v>5884603.04</v>
          </cell>
          <cell r="I621">
            <v>2463412.5</v>
          </cell>
          <cell r="J621">
            <v>2879573.79</v>
          </cell>
          <cell r="K621">
            <v>541616.75</v>
          </cell>
          <cell r="L621">
            <v>0</v>
          </cell>
        </row>
        <row r="622">
          <cell r="A622">
            <v>1</v>
          </cell>
          <cell r="B622">
            <v>1</v>
          </cell>
          <cell r="C622">
            <v>410</v>
          </cell>
          <cell r="D622">
            <v>14</v>
          </cell>
          <cell r="E622" t="str">
            <v xml:space="preserve">    </v>
          </cell>
          <cell r="F622" t="str">
            <v xml:space="preserve">   </v>
          </cell>
          <cell r="G622">
            <v>1141014</v>
          </cell>
          <cell r="H622">
            <v>20487.5</v>
          </cell>
          <cell r="I622">
            <v>0</v>
          </cell>
          <cell r="J622">
            <v>0</v>
          </cell>
          <cell r="K622">
            <v>20487.5</v>
          </cell>
          <cell r="L622">
            <v>0</v>
          </cell>
        </row>
        <row r="623">
          <cell r="A623">
            <v>2</v>
          </cell>
          <cell r="B623">
            <v>1</v>
          </cell>
          <cell r="C623">
            <v>410</v>
          </cell>
          <cell r="D623">
            <v>14</v>
          </cell>
          <cell r="E623" t="str">
            <v xml:space="preserve">    </v>
          </cell>
          <cell r="F623" t="str">
            <v xml:space="preserve">   </v>
          </cell>
          <cell r="G623">
            <v>2141014</v>
          </cell>
          <cell r="H623">
            <v>146369</v>
          </cell>
          <cell r="I623">
            <v>0</v>
          </cell>
          <cell r="J623">
            <v>0</v>
          </cell>
          <cell r="K623">
            <v>146369</v>
          </cell>
          <cell r="L623">
            <v>0</v>
          </cell>
        </row>
        <row r="624">
          <cell r="A624">
            <v>1</v>
          </cell>
          <cell r="B624">
            <v>1</v>
          </cell>
          <cell r="C624">
            <v>411</v>
          </cell>
          <cell r="D624">
            <v>10</v>
          </cell>
          <cell r="E624" t="str">
            <v xml:space="preserve">    </v>
          </cell>
          <cell r="F624" t="str">
            <v xml:space="preserve">   </v>
          </cell>
          <cell r="G624">
            <v>1141110</v>
          </cell>
          <cell r="H624">
            <v>-74176.070000000007</v>
          </cell>
          <cell r="I624">
            <v>-74176.070000000007</v>
          </cell>
          <cell r="J624">
            <v>0</v>
          </cell>
          <cell r="K624">
            <v>0</v>
          </cell>
          <cell r="L624">
            <v>0</v>
          </cell>
        </row>
        <row r="625">
          <cell r="A625">
            <v>2</v>
          </cell>
          <cell r="B625">
            <v>1</v>
          </cell>
          <cell r="C625">
            <v>411</v>
          </cell>
          <cell r="D625">
            <v>10</v>
          </cell>
          <cell r="E625" t="str">
            <v xml:space="preserve">    </v>
          </cell>
          <cell r="F625" t="str">
            <v xml:space="preserve">   </v>
          </cell>
          <cell r="G625">
            <v>2141110</v>
          </cell>
          <cell r="H625">
            <v>-2791774.89</v>
          </cell>
          <cell r="I625">
            <v>-381043.89</v>
          </cell>
          <cell r="J625">
            <v>-2063209</v>
          </cell>
          <cell r="K625">
            <v>-347522</v>
          </cell>
          <cell r="L625">
            <v>0</v>
          </cell>
        </row>
        <row r="626">
          <cell r="A626">
            <v>1</v>
          </cell>
          <cell r="B626">
            <v>1</v>
          </cell>
          <cell r="C626">
            <v>488</v>
          </cell>
          <cell r="D626">
            <v>19</v>
          </cell>
          <cell r="E626" t="str">
            <v xml:space="preserve">    </v>
          </cell>
          <cell r="F626" t="str">
            <v xml:space="preserve">   </v>
          </cell>
          <cell r="G626">
            <v>1148819</v>
          </cell>
          <cell r="H626">
            <v>0</v>
          </cell>
          <cell r="I626">
            <v>0</v>
          </cell>
          <cell r="J626">
            <v>0</v>
          </cell>
          <cell r="K626">
            <v>0</v>
          </cell>
          <cell r="L626">
            <v>0</v>
          </cell>
        </row>
        <row r="627">
          <cell r="A627">
            <v>2</v>
          </cell>
          <cell r="B627">
            <v>1</v>
          </cell>
          <cell r="C627">
            <v>488</v>
          </cell>
          <cell r="D627">
            <v>19</v>
          </cell>
          <cell r="E627" t="str">
            <v xml:space="preserve">    </v>
          </cell>
          <cell r="F627" t="str">
            <v xml:space="preserve">   </v>
          </cell>
          <cell r="G627">
            <v>2148819</v>
          </cell>
          <cell r="H627">
            <v>-175.69</v>
          </cell>
          <cell r="I627">
            <v>0</v>
          </cell>
          <cell r="J627">
            <v>-111.89</v>
          </cell>
          <cell r="K627">
            <v>-63.8</v>
          </cell>
          <cell r="L627">
            <v>0</v>
          </cell>
        </row>
        <row r="628">
          <cell r="A628">
            <v>1</v>
          </cell>
          <cell r="B628">
            <v>1</v>
          </cell>
          <cell r="C628">
            <v>488</v>
          </cell>
          <cell r="D628">
            <v>88</v>
          </cell>
          <cell r="E628" t="str">
            <v xml:space="preserve">    </v>
          </cell>
          <cell r="F628" t="str">
            <v xml:space="preserve">   </v>
          </cell>
          <cell r="G628">
            <v>1148888</v>
          </cell>
          <cell r="H628">
            <v>-438.5</v>
          </cell>
          <cell r="I628">
            <v>0</v>
          </cell>
          <cell r="J628">
            <v>-256.5</v>
          </cell>
          <cell r="K628">
            <v>-182</v>
          </cell>
          <cell r="L628">
            <v>0</v>
          </cell>
        </row>
        <row r="629">
          <cell r="A629">
            <v>2</v>
          </cell>
          <cell r="B629">
            <v>1</v>
          </cell>
          <cell r="C629">
            <v>488</v>
          </cell>
          <cell r="D629">
            <v>88</v>
          </cell>
          <cell r="E629" t="str">
            <v xml:space="preserve">    </v>
          </cell>
          <cell r="F629" t="str">
            <v xml:space="preserve">   </v>
          </cell>
          <cell r="G629">
            <v>2148888</v>
          </cell>
          <cell r="H629">
            <v>-4872.5</v>
          </cell>
          <cell r="I629">
            <v>0</v>
          </cell>
          <cell r="J629">
            <v>-2873.5</v>
          </cell>
          <cell r="K629">
            <v>-1999</v>
          </cell>
          <cell r="L629">
            <v>0</v>
          </cell>
        </row>
        <row r="630">
          <cell r="A630">
            <v>1</v>
          </cell>
          <cell r="B630">
            <v>1</v>
          </cell>
          <cell r="C630">
            <v>489</v>
          </cell>
          <cell r="D630">
            <v>91</v>
          </cell>
          <cell r="E630" t="str">
            <v xml:space="preserve">    </v>
          </cell>
          <cell r="F630" t="str">
            <v xml:space="preserve">   </v>
          </cell>
          <cell r="G630">
            <v>1148991</v>
          </cell>
          <cell r="H630">
            <v>-179449.89</v>
          </cell>
          <cell r="I630">
            <v>0</v>
          </cell>
          <cell r="J630">
            <v>-116770.24000000001</v>
          </cell>
          <cell r="K630">
            <v>-62679.65</v>
          </cell>
          <cell r="L630">
            <v>0</v>
          </cell>
        </row>
        <row r="631">
          <cell r="A631">
            <v>2</v>
          </cell>
          <cell r="B631">
            <v>1</v>
          </cell>
          <cell r="C631">
            <v>489</v>
          </cell>
          <cell r="D631">
            <v>91</v>
          </cell>
          <cell r="E631" t="str">
            <v xml:space="preserve">    </v>
          </cell>
          <cell r="F631" t="str">
            <v xml:space="preserve">   </v>
          </cell>
          <cell r="G631">
            <v>2148991</v>
          </cell>
          <cell r="H631">
            <v>-2195486.92</v>
          </cell>
          <cell r="I631">
            <v>0</v>
          </cell>
          <cell r="J631">
            <v>-1545277.25</v>
          </cell>
          <cell r="K631">
            <v>-650209.67000000004</v>
          </cell>
          <cell r="L631">
            <v>0</v>
          </cell>
        </row>
        <row r="632">
          <cell r="A632">
            <v>1</v>
          </cell>
          <cell r="B632">
            <v>1</v>
          </cell>
          <cell r="C632">
            <v>489</v>
          </cell>
          <cell r="D632">
            <v>92</v>
          </cell>
          <cell r="E632" t="str">
            <v xml:space="preserve">    </v>
          </cell>
          <cell r="F632" t="str">
            <v xml:space="preserve">   </v>
          </cell>
          <cell r="G632">
            <v>1148992</v>
          </cell>
          <cell r="H632">
            <v>-189779.79</v>
          </cell>
          <cell r="I632">
            <v>0</v>
          </cell>
          <cell r="J632">
            <v>-182095.47</v>
          </cell>
          <cell r="K632">
            <v>-7684.32</v>
          </cell>
          <cell r="L632">
            <v>0</v>
          </cell>
        </row>
        <row r="633">
          <cell r="A633">
            <v>2</v>
          </cell>
          <cell r="B633">
            <v>1</v>
          </cell>
          <cell r="C633">
            <v>489</v>
          </cell>
          <cell r="D633">
            <v>92</v>
          </cell>
          <cell r="E633" t="str">
            <v xml:space="preserve">    </v>
          </cell>
          <cell r="F633" t="str">
            <v xml:space="preserve">   </v>
          </cell>
          <cell r="G633">
            <v>2148992</v>
          </cell>
          <cell r="H633">
            <v>-3580632.52</v>
          </cell>
          <cell r="I633">
            <v>0</v>
          </cell>
          <cell r="J633">
            <v>-2336951.08</v>
          </cell>
          <cell r="K633">
            <v>-1243681.44</v>
          </cell>
          <cell r="L633">
            <v>0</v>
          </cell>
        </row>
        <row r="634">
          <cell r="A634">
            <v>1</v>
          </cell>
          <cell r="B634">
            <v>1</v>
          </cell>
          <cell r="C634">
            <v>489</v>
          </cell>
          <cell r="D634">
            <v>93</v>
          </cell>
          <cell r="E634" t="str">
            <v xml:space="preserve">    </v>
          </cell>
          <cell r="F634" t="str">
            <v xml:space="preserve">   </v>
          </cell>
          <cell r="G634">
            <v>1148993</v>
          </cell>
          <cell r="H634">
            <v>-1.1499999999999999</v>
          </cell>
          <cell r="I634">
            <v>0</v>
          </cell>
          <cell r="J634">
            <v>-1.1499999999999999</v>
          </cell>
          <cell r="K634">
            <v>0</v>
          </cell>
          <cell r="L634">
            <v>0</v>
          </cell>
        </row>
        <row r="635">
          <cell r="A635">
            <v>2</v>
          </cell>
          <cell r="B635">
            <v>1</v>
          </cell>
          <cell r="C635">
            <v>489</v>
          </cell>
          <cell r="D635">
            <v>93</v>
          </cell>
          <cell r="E635" t="str">
            <v xml:space="preserve">    </v>
          </cell>
          <cell r="F635" t="str">
            <v xml:space="preserve">   </v>
          </cell>
          <cell r="G635">
            <v>2148993</v>
          </cell>
          <cell r="H635">
            <v>-6522.1</v>
          </cell>
          <cell r="I635">
            <v>0</v>
          </cell>
          <cell r="J635">
            <v>-6522.1</v>
          </cell>
          <cell r="K635">
            <v>0</v>
          </cell>
          <cell r="L635">
            <v>0</v>
          </cell>
        </row>
        <row r="636">
          <cell r="A636">
            <v>1</v>
          </cell>
          <cell r="B636">
            <v>1</v>
          </cell>
          <cell r="C636">
            <v>489</v>
          </cell>
          <cell r="D636">
            <v>94</v>
          </cell>
          <cell r="E636" t="str">
            <v xml:space="preserve">    </v>
          </cell>
          <cell r="F636" t="str">
            <v xml:space="preserve">   </v>
          </cell>
          <cell r="G636">
            <v>1148994</v>
          </cell>
          <cell r="H636">
            <v>-51269.84</v>
          </cell>
          <cell r="I636">
            <v>0</v>
          </cell>
          <cell r="J636">
            <v>-51269.84</v>
          </cell>
          <cell r="K636">
            <v>0</v>
          </cell>
          <cell r="L636">
            <v>0</v>
          </cell>
        </row>
        <row r="637">
          <cell r="A637">
            <v>2</v>
          </cell>
          <cell r="B637">
            <v>1</v>
          </cell>
          <cell r="C637">
            <v>489</v>
          </cell>
          <cell r="D637">
            <v>94</v>
          </cell>
          <cell r="E637" t="str">
            <v xml:space="preserve">    </v>
          </cell>
          <cell r="F637" t="str">
            <v xml:space="preserve">   </v>
          </cell>
          <cell r="G637">
            <v>2148994</v>
          </cell>
          <cell r="H637">
            <v>-554342.97</v>
          </cell>
          <cell r="I637">
            <v>0</v>
          </cell>
          <cell r="J637">
            <v>-554342.97</v>
          </cell>
          <cell r="K637">
            <v>0</v>
          </cell>
          <cell r="L637">
            <v>0</v>
          </cell>
        </row>
        <row r="638">
          <cell r="A638">
            <v>1</v>
          </cell>
          <cell r="B638">
            <v>1</v>
          </cell>
          <cell r="C638">
            <v>489</v>
          </cell>
          <cell r="D638">
            <v>95</v>
          </cell>
          <cell r="E638" t="str">
            <v xml:space="preserve">    </v>
          </cell>
          <cell r="F638" t="str">
            <v xml:space="preserve">   </v>
          </cell>
          <cell r="G638">
            <v>1148995</v>
          </cell>
          <cell r="H638">
            <v>-91690.37</v>
          </cell>
          <cell r="I638">
            <v>0</v>
          </cell>
          <cell r="J638">
            <v>-85083.5</v>
          </cell>
          <cell r="K638">
            <v>-6606.87</v>
          </cell>
          <cell r="L638">
            <v>0</v>
          </cell>
        </row>
        <row r="639">
          <cell r="A639">
            <v>2</v>
          </cell>
          <cell r="B639">
            <v>1</v>
          </cell>
          <cell r="C639">
            <v>489</v>
          </cell>
          <cell r="D639">
            <v>95</v>
          </cell>
          <cell r="E639" t="str">
            <v xml:space="preserve">    </v>
          </cell>
          <cell r="F639" t="str">
            <v xml:space="preserve">   </v>
          </cell>
          <cell r="G639">
            <v>2148995</v>
          </cell>
          <cell r="H639">
            <v>-917783.02</v>
          </cell>
          <cell r="I639">
            <v>0</v>
          </cell>
          <cell r="J639">
            <v>-851239.54</v>
          </cell>
          <cell r="K639">
            <v>-66543.48</v>
          </cell>
          <cell r="L639">
            <v>0</v>
          </cell>
        </row>
        <row r="640">
          <cell r="A640">
            <v>1</v>
          </cell>
          <cell r="B640">
            <v>1</v>
          </cell>
          <cell r="C640">
            <v>804</v>
          </cell>
          <cell r="D640">
            <v>5</v>
          </cell>
          <cell r="E640" t="str">
            <v xml:space="preserve">    </v>
          </cell>
          <cell r="F640" t="str">
            <v xml:space="preserve">   </v>
          </cell>
          <cell r="G640">
            <v>1180405</v>
          </cell>
          <cell r="H640">
            <v>112404.69</v>
          </cell>
          <cell r="I640">
            <v>112404.69</v>
          </cell>
          <cell r="J640">
            <v>0</v>
          </cell>
          <cell r="K640">
            <v>0</v>
          </cell>
          <cell r="L640">
            <v>0</v>
          </cell>
        </row>
        <row r="641">
          <cell r="A641">
            <v>2</v>
          </cell>
          <cell r="B641">
            <v>1</v>
          </cell>
          <cell r="C641">
            <v>804</v>
          </cell>
          <cell r="D641">
            <v>5</v>
          </cell>
          <cell r="E641" t="str">
            <v xml:space="preserve">    </v>
          </cell>
          <cell r="F641" t="str">
            <v xml:space="preserve">   </v>
          </cell>
          <cell r="G641">
            <v>2180405</v>
          </cell>
          <cell r="H641">
            <v>1153066.47</v>
          </cell>
          <cell r="I641">
            <v>1153066.47</v>
          </cell>
          <cell r="J641">
            <v>0</v>
          </cell>
          <cell r="K641">
            <v>0</v>
          </cell>
          <cell r="L641">
            <v>0</v>
          </cell>
        </row>
        <row r="642">
          <cell r="A642">
            <v>1</v>
          </cell>
          <cell r="B642">
            <v>1</v>
          </cell>
          <cell r="C642">
            <v>804</v>
          </cell>
          <cell r="D642">
            <v>6</v>
          </cell>
          <cell r="E642" t="str">
            <v xml:space="preserve">    </v>
          </cell>
          <cell r="F642" t="str">
            <v xml:space="preserve">   </v>
          </cell>
          <cell r="G642">
            <v>1180406</v>
          </cell>
          <cell r="H642">
            <v>342234.97</v>
          </cell>
          <cell r="I642">
            <v>1911131.92</v>
          </cell>
          <cell r="J642">
            <v>-1144603.82</v>
          </cell>
          <cell r="K642">
            <v>-424293.13</v>
          </cell>
          <cell r="L642">
            <v>0</v>
          </cell>
        </row>
        <row r="643">
          <cell r="A643">
            <v>2</v>
          </cell>
          <cell r="B643">
            <v>1</v>
          </cell>
          <cell r="C643">
            <v>804</v>
          </cell>
          <cell r="D643">
            <v>6</v>
          </cell>
          <cell r="E643" t="str">
            <v xml:space="preserve">    </v>
          </cell>
          <cell r="F643" t="str">
            <v xml:space="preserve">   </v>
          </cell>
          <cell r="G643">
            <v>2180406</v>
          </cell>
          <cell r="H643">
            <v>20472832.82</v>
          </cell>
          <cell r="I643">
            <v>19646163.350000001</v>
          </cell>
          <cell r="J643">
            <v>35358.870000000003</v>
          </cell>
          <cell r="K643">
            <v>791310.6</v>
          </cell>
          <cell r="L643">
            <v>0</v>
          </cell>
        </row>
        <row r="644">
          <cell r="A644">
            <v>1</v>
          </cell>
          <cell r="B644">
            <v>1</v>
          </cell>
          <cell r="C644">
            <v>804</v>
          </cell>
          <cell r="D644">
            <v>7</v>
          </cell>
          <cell r="E644" t="str">
            <v xml:space="preserve">    </v>
          </cell>
          <cell r="F644" t="str">
            <v xml:space="preserve">   </v>
          </cell>
          <cell r="G644">
            <v>1180407</v>
          </cell>
          <cell r="H644">
            <v>-439049.64</v>
          </cell>
          <cell r="I644">
            <v>-439049.64</v>
          </cell>
          <cell r="J644">
            <v>0</v>
          </cell>
          <cell r="K644">
            <v>0</v>
          </cell>
          <cell r="L644">
            <v>0</v>
          </cell>
        </row>
        <row r="645">
          <cell r="A645">
            <v>2</v>
          </cell>
          <cell r="B645">
            <v>1</v>
          </cell>
          <cell r="C645">
            <v>804</v>
          </cell>
          <cell r="D645">
            <v>7</v>
          </cell>
          <cell r="E645" t="str">
            <v xml:space="preserve">    </v>
          </cell>
          <cell r="F645" t="str">
            <v xml:space="preserve">   </v>
          </cell>
          <cell r="G645">
            <v>2180407</v>
          </cell>
          <cell r="H645">
            <v>-4769163.03</v>
          </cell>
          <cell r="I645">
            <v>-4769163.03</v>
          </cell>
          <cell r="J645">
            <v>0</v>
          </cell>
          <cell r="K645">
            <v>0</v>
          </cell>
          <cell r="L645">
            <v>0</v>
          </cell>
        </row>
        <row r="646">
          <cell r="A646">
            <v>1</v>
          </cell>
          <cell r="B646">
            <v>1</v>
          </cell>
          <cell r="C646">
            <v>804</v>
          </cell>
          <cell r="D646">
            <v>15</v>
          </cell>
          <cell r="E646" t="str">
            <v xml:space="preserve">    </v>
          </cell>
          <cell r="F646" t="str">
            <v xml:space="preserve">   </v>
          </cell>
          <cell r="G646">
            <v>1180415</v>
          </cell>
          <cell r="H646">
            <v>104171.99</v>
          </cell>
          <cell r="I646">
            <v>104171.99</v>
          </cell>
          <cell r="J646">
            <v>0</v>
          </cell>
          <cell r="K646">
            <v>0</v>
          </cell>
          <cell r="L646">
            <v>0</v>
          </cell>
        </row>
        <row r="647">
          <cell r="A647">
            <v>2</v>
          </cell>
          <cell r="B647">
            <v>1</v>
          </cell>
          <cell r="C647">
            <v>804</v>
          </cell>
          <cell r="D647">
            <v>15</v>
          </cell>
          <cell r="E647" t="str">
            <v xml:space="preserve">    </v>
          </cell>
          <cell r="F647" t="str">
            <v xml:space="preserve">   </v>
          </cell>
          <cell r="G647">
            <v>2180415</v>
          </cell>
          <cell r="H647">
            <v>924800.11</v>
          </cell>
          <cell r="I647">
            <v>924800.11</v>
          </cell>
          <cell r="J647">
            <v>0</v>
          </cell>
          <cell r="K647">
            <v>0</v>
          </cell>
          <cell r="L647">
            <v>0</v>
          </cell>
        </row>
        <row r="648">
          <cell r="A648">
            <v>1</v>
          </cell>
          <cell r="B648">
            <v>1</v>
          </cell>
          <cell r="C648">
            <v>804</v>
          </cell>
          <cell r="D648">
            <v>25</v>
          </cell>
          <cell r="E648" t="str">
            <v xml:space="preserve">    </v>
          </cell>
          <cell r="F648" t="str">
            <v xml:space="preserve">   </v>
          </cell>
          <cell r="G648">
            <v>1180425</v>
          </cell>
          <cell r="H648">
            <v>0</v>
          </cell>
          <cell r="I648">
            <v>0</v>
          </cell>
          <cell r="J648">
            <v>0</v>
          </cell>
          <cell r="K648">
            <v>0</v>
          </cell>
          <cell r="L648">
            <v>0</v>
          </cell>
        </row>
        <row r="649">
          <cell r="A649">
            <v>2</v>
          </cell>
          <cell r="B649">
            <v>1</v>
          </cell>
          <cell r="C649">
            <v>804</v>
          </cell>
          <cell r="D649">
            <v>25</v>
          </cell>
          <cell r="E649" t="str">
            <v xml:space="preserve">    </v>
          </cell>
          <cell r="F649" t="str">
            <v xml:space="preserve">   </v>
          </cell>
          <cell r="G649">
            <v>2180425</v>
          </cell>
          <cell r="H649">
            <v>-1396987.33</v>
          </cell>
          <cell r="I649">
            <v>0</v>
          </cell>
          <cell r="J649">
            <v>-1061491.44</v>
          </cell>
          <cell r="K649">
            <v>-335495.89</v>
          </cell>
          <cell r="L649">
            <v>0</v>
          </cell>
        </row>
        <row r="650">
          <cell r="A650">
            <v>1</v>
          </cell>
          <cell r="B650">
            <v>1</v>
          </cell>
          <cell r="C650">
            <v>804</v>
          </cell>
          <cell r="D650">
            <v>32</v>
          </cell>
          <cell r="E650" t="str">
            <v xml:space="preserve">    </v>
          </cell>
          <cell r="F650" t="str">
            <v xml:space="preserve">   </v>
          </cell>
          <cell r="G650">
            <v>1180432</v>
          </cell>
          <cell r="H650">
            <v>0</v>
          </cell>
          <cell r="I650">
            <v>0</v>
          </cell>
          <cell r="J650">
            <v>0</v>
          </cell>
          <cell r="K650">
            <v>0</v>
          </cell>
          <cell r="L650">
            <v>0</v>
          </cell>
        </row>
        <row r="651">
          <cell r="A651">
            <v>2</v>
          </cell>
          <cell r="B651">
            <v>1</v>
          </cell>
          <cell r="C651">
            <v>804</v>
          </cell>
          <cell r="D651">
            <v>32</v>
          </cell>
          <cell r="E651" t="str">
            <v xml:space="preserve">    </v>
          </cell>
          <cell r="F651" t="str">
            <v xml:space="preserve">   </v>
          </cell>
          <cell r="G651">
            <v>2180432</v>
          </cell>
          <cell r="H651">
            <v>12248.47</v>
          </cell>
          <cell r="I651">
            <v>12248.47</v>
          </cell>
          <cell r="J651">
            <v>0</v>
          </cell>
          <cell r="K651">
            <v>0</v>
          </cell>
          <cell r="L651">
            <v>0</v>
          </cell>
        </row>
        <row r="652">
          <cell r="A652">
            <v>1</v>
          </cell>
          <cell r="B652">
            <v>1</v>
          </cell>
          <cell r="C652">
            <v>804</v>
          </cell>
          <cell r="D652">
            <v>45</v>
          </cell>
          <cell r="E652" t="str">
            <v xml:space="preserve">    </v>
          </cell>
          <cell r="F652" t="str">
            <v xml:space="preserve">   </v>
          </cell>
          <cell r="G652">
            <v>1180445</v>
          </cell>
          <cell r="H652">
            <v>-30199</v>
          </cell>
          <cell r="I652">
            <v>-30199</v>
          </cell>
          <cell r="J652">
            <v>0</v>
          </cell>
          <cell r="K652">
            <v>0</v>
          </cell>
          <cell r="L652">
            <v>0</v>
          </cell>
        </row>
        <row r="653">
          <cell r="A653">
            <v>2</v>
          </cell>
          <cell r="B653">
            <v>1</v>
          </cell>
          <cell r="C653">
            <v>804</v>
          </cell>
          <cell r="D653">
            <v>45</v>
          </cell>
          <cell r="E653" t="str">
            <v xml:space="preserve">    </v>
          </cell>
          <cell r="F653" t="str">
            <v xml:space="preserve">   </v>
          </cell>
          <cell r="G653">
            <v>2180445</v>
          </cell>
          <cell r="H653">
            <v>257568</v>
          </cell>
          <cell r="I653">
            <v>257568</v>
          </cell>
          <cell r="J653">
            <v>0</v>
          </cell>
          <cell r="K653">
            <v>0</v>
          </cell>
          <cell r="L653">
            <v>0</v>
          </cell>
        </row>
        <row r="654">
          <cell r="A654">
            <v>1</v>
          </cell>
          <cell r="B654">
            <v>1</v>
          </cell>
          <cell r="C654">
            <v>804</v>
          </cell>
          <cell r="D654">
            <v>51</v>
          </cell>
          <cell r="E654" t="str">
            <v xml:space="preserve">    </v>
          </cell>
          <cell r="F654" t="str">
            <v xml:space="preserve">   </v>
          </cell>
          <cell r="G654">
            <v>1180451</v>
          </cell>
          <cell r="H654">
            <v>4002660.59</v>
          </cell>
          <cell r="I654">
            <v>4002660.59</v>
          </cell>
          <cell r="J654">
            <v>0</v>
          </cell>
          <cell r="K654">
            <v>0</v>
          </cell>
          <cell r="L654">
            <v>0</v>
          </cell>
        </row>
        <row r="655">
          <cell r="A655">
            <v>2</v>
          </cell>
          <cell r="B655">
            <v>1</v>
          </cell>
          <cell r="C655">
            <v>804</v>
          </cell>
          <cell r="D655">
            <v>51</v>
          </cell>
          <cell r="E655" t="str">
            <v xml:space="preserve">    </v>
          </cell>
          <cell r="F655" t="str">
            <v xml:space="preserve">   </v>
          </cell>
          <cell r="G655">
            <v>2180451</v>
          </cell>
          <cell r="H655">
            <v>25176177.48</v>
          </cell>
          <cell r="I655">
            <v>25176177.48</v>
          </cell>
          <cell r="J655">
            <v>0</v>
          </cell>
          <cell r="K655">
            <v>0</v>
          </cell>
          <cell r="L655">
            <v>0</v>
          </cell>
        </row>
        <row r="656">
          <cell r="A656">
            <v>1</v>
          </cell>
          <cell r="B656">
            <v>1</v>
          </cell>
          <cell r="C656">
            <v>804</v>
          </cell>
          <cell r="D656">
            <v>52</v>
          </cell>
          <cell r="E656" t="str">
            <v xml:space="preserve">    </v>
          </cell>
          <cell r="F656" t="str">
            <v xml:space="preserve">   </v>
          </cell>
          <cell r="G656">
            <v>1180452</v>
          </cell>
          <cell r="H656">
            <v>910608.3</v>
          </cell>
          <cell r="I656">
            <v>910608.3</v>
          </cell>
          <cell r="J656">
            <v>0</v>
          </cell>
          <cell r="K656">
            <v>0</v>
          </cell>
          <cell r="L656">
            <v>0</v>
          </cell>
        </row>
        <row r="657">
          <cell r="A657">
            <v>2</v>
          </cell>
          <cell r="B657">
            <v>1</v>
          </cell>
          <cell r="C657">
            <v>804</v>
          </cell>
          <cell r="D657">
            <v>52</v>
          </cell>
          <cell r="E657" t="str">
            <v xml:space="preserve">    </v>
          </cell>
          <cell r="F657" t="str">
            <v xml:space="preserve">   </v>
          </cell>
          <cell r="G657">
            <v>2180452</v>
          </cell>
          <cell r="H657">
            <v>5513572.75</v>
          </cell>
          <cell r="I657">
            <v>5513572.75</v>
          </cell>
          <cell r="J657">
            <v>0</v>
          </cell>
          <cell r="K657">
            <v>0</v>
          </cell>
          <cell r="L657">
            <v>0</v>
          </cell>
        </row>
        <row r="658">
          <cell r="A658">
            <v>1</v>
          </cell>
          <cell r="B658">
            <v>1</v>
          </cell>
          <cell r="C658">
            <v>804</v>
          </cell>
          <cell r="D658">
            <v>53</v>
          </cell>
          <cell r="E658" t="str">
            <v xml:space="preserve">    </v>
          </cell>
          <cell r="F658" t="str">
            <v xml:space="preserve">   </v>
          </cell>
          <cell r="G658">
            <v>1180453</v>
          </cell>
          <cell r="H658">
            <v>1548203.5</v>
          </cell>
          <cell r="I658">
            <v>1548203.5</v>
          </cell>
          <cell r="J658">
            <v>0</v>
          </cell>
          <cell r="K658">
            <v>0</v>
          </cell>
          <cell r="L658">
            <v>0</v>
          </cell>
        </row>
        <row r="659">
          <cell r="A659">
            <v>2</v>
          </cell>
          <cell r="B659">
            <v>1</v>
          </cell>
          <cell r="C659">
            <v>804</v>
          </cell>
          <cell r="D659">
            <v>53</v>
          </cell>
          <cell r="E659" t="str">
            <v xml:space="preserve">    </v>
          </cell>
          <cell r="F659" t="str">
            <v xml:space="preserve">   </v>
          </cell>
          <cell r="G659">
            <v>2180453</v>
          </cell>
          <cell r="H659">
            <v>6341729.6200000001</v>
          </cell>
          <cell r="I659">
            <v>6341729.6200000001</v>
          </cell>
          <cell r="J659">
            <v>0</v>
          </cell>
          <cell r="K659">
            <v>0</v>
          </cell>
          <cell r="L659">
            <v>0</v>
          </cell>
        </row>
        <row r="660">
          <cell r="A660">
            <v>1</v>
          </cell>
          <cell r="B660">
            <v>1</v>
          </cell>
          <cell r="C660">
            <v>804</v>
          </cell>
          <cell r="D660">
            <v>54</v>
          </cell>
          <cell r="E660" t="str">
            <v xml:space="preserve">    </v>
          </cell>
          <cell r="F660" t="str">
            <v xml:space="preserve">   </v>
          </cell>
          <cell r="G660">
            <v>1180454</v>
          </cell>
          <cell r="H660">
            <v>6362.57</v>
          </cell>
          <cell r="I660">
            <v>6362.57</v>
          </cell>
          <cell r="J660">
            <v>0</v>
          </cell>
          <cell r="K660">
            <v>0</v>
          </cell>
          <cell r="L660">
            <v>0</v>
          </cell>
        </row>
        <row r="661">
          <cell r="A661">
            <v>2</v>
          </cell>
          <cell r="B661">
            <v>1</v>
          </cell>
          <cell r="C661">
            <v>804</v>
          </cell>
          <cell r="D661">
            <v>54</v>
          </cell>
          <cell r="E661" t="str">
            <v xml:space="preserve">    </v>
          </cell>
          <cell r="F661" t="str">
            <v xml:space="preserve">   </v>
          </cell>
          <cell r="G661">
            <v>2180454</v>
          </cell>
          <cell r="H661">
            <v>3539541.26</v>
          </cell>
          <cell r="I661">
            <v>3539541.26</v>
          </cell>
          <cell r="J661">
            <v>0</v>
          </cell>
          <cell r="K661">
            <v>0</v>
          </cell>
          <cell r="L661">
            <v>0</v>
          </cell>
        </row>
        <row r="662">
          <cell r="A662">
            <v>1</v>
          </cell>
          <cell r="B662">
            <v>1</v>
          </cell>
          <cell r="C662">
            <v>804</v>
          </cell>
          <cell r="D662">
            <v>55</v>
          </cell>
          <cell r="E662" t="str">
            <v xml:space="preserve">    </v>
          </cell>
          <cell r="F662" t="str">
            <v xml:space="preserve">   </v>
          </cell>
          <cell r="G662">
            <v>1180455</v>
          </cell>
          <cell r="H662">
            <v>0</v>
          </cell>
          <cell r="I662">
            <v>0</v>
          </cell>
          <cell r="J662">
            <v>0</v>
          </cell>
          <cell r="K662">
            <v>0</v>
          </cell>
          <cell r="L662">
            <v>0</v>
          </cell>
        </row>
        <row r="663">
          <cell r="A663">
            <v>2</v>
          </cell>
          <cell r="B663">
            <v>1</v>
          </cell>
          <cell r="C663">
            <v>804</v>
          </cell>
          <cell r="D663">
            <v>55</v>
          </cell>
          <cell r="E663" t="str">
            <v xml:space="preserve">    </v>
          </cell>
          <cell r="F663" t="str">
            <v xml:space="preserve">   </v>
          </cell>
          <cell r="G663">
            <v>2180455</v>
          </cell>
          <cell r="H663">
            <v>-1637.9</v>
          </cell>
          <cell r="I663">
            <v>-1637.9</v>
          </cell>
          <cell r="J663">
            <v>0</v>
          </cell>
          <cell r="K663">
            <v>0</v>
          </cell>
          <cell r="L663">
            <v>0</v>
          </cell>
        </row>
        <row r="664">
          <cell r="A664">
            <v>1</v>
          </cell>
          <cell r="B664">
            <v>1</v>
          </cell>
          <cell r="C664">
            <v>804</v>
          </cell>
          <cell r="D664">
            <v>70</v>
          </cell>
          <cell r="E664" t="str">
            <v xml:space="preserve">    </v>
          </cell>
          <cell r="F664" t="str">
            <v xml:space="preserve">   </v>
          </cell>
          <cell r="G664">
            <v>1180470</v>
          </cell>
          <cell r="H664">
            <v>909186.22</v>
          </cell>
          <cell r="I664">
            <v>909186.22</v>
          </cell>
          <cell r="J664">
            <v>0</v>
          </cell>
          <cell r="K664">
            <v>0</v>
          </cell>
          <cell r="L664">
            <v>0</v>
          </cell>
        </row>
        <row r="665">
          <cell r="A665">
            <v>2</v>
          </cell>
          <cell r="B665">
            <v>1</v>
          </cell>
          <cell r="C665">
            <v>804</v>
          </cell>
          <cell r="D665">
            <v>70</v>
          </cell>
          <cell r="E665" t="str">
            <v xml:space="preserve">    </v>
          </cell>
          <cell r="F665" t="str">
            <v xml:space="preserve">   </v>
          </cell>
          <cell r="G665">
            <v>2180470</v>
          </cell>
          <cell r="H665">
            <v>15281131.27</v>
          </cell>
          <cell r="I665">
            <v>15281131.27</v>
          </cell>
          <cell r="J665">
            <v>0</v>
          </cell>
          <cell r="K665">
            <v>0</v>
          </cell>
          <cell r="L665">
            <v>0</v>
          </cell>
        </row>
        <row r="666">
          <cell r="A666">
            <v>1</v>
          </cell>
          <cell r="B666">
            <v>1</v>
          </cell>
          <cell r="C666">
            <v>804</v>
          </cell>
          <cell r="D666">
            <v>75</v>
          </cell>
          <cell r="E666" t="str">
            <v xml:space="preserve">    </v>
          </cell>
          <cell r="F666" t="str">
            <v xml:space="preserve">   </v>
          </cell>
          <cell r="G666">
            <v>1180475</v>
          </cell>
          <cell r="H666">
            <v>493401.4</v>
          </cell>
          <cell r="I666">
            <v>493401.4</v>
          </cell>
          <cell r="J666">
            <v>0</v>
          </cell>
          <cell r="K666">
            <v>0</v>
          </cell>
          <cell r="L666">
            <v>0</v>
          </cell>
        </row>
        <row r="667">
          <cell r="A667">
            <v>2</v>
          </cell>
          <cell r="B667">
            <v>1</v>
          </cell>
          <cell r="C667">
            <v>804</v>
          </cell>
          <cell r="D667">
            <v>75</v>
          </cell>
          <cell r="E667" t="str">
            <v xml:space="preserve">    </v>
          </cell>
          <cell r="F667" t="str">
            <v xml:space="preserve">   </v>
          </cell>
          <cell r="G667">
            <v>2180475</v>
          </cell>
          <cell r="H667">
            <v>1192665.82</v>
          </cell>
          <cell r="I667">
            <v>1192665.82</v>
          </cell>
          <cell r="J667">
            <v>0</v>
          </cell>
          <cell r="K667">
            <v>0</v>
          </cell>
          <cell r="L667">
            <v>0</v>
          </cell>
        </row>
        <row r="668">
          <cell r="A668">
            <v>1</v>
          </cell>
          <cell r="B668">
            <v>1</v>
          </cell>
          <cell r="C668">
            <v>804</v>
          </cell>
          <cell r="D668">
            <v>76</v>
          </cell>
          <cell r="E668" t="str">
            <v xml:space="preserve">    </v>
          </cell>
          <cell r="F668" t="str">
            <v xml:space="preserve">   </v>
          </cell>
          <cell r="G668">
            <v>1180476</v>
          </cell>
          <cell r="H668">
            <v>0</v>
          </cell>
          <cell r="I668">
            <v>0</v>
          </cell>
          <cell r="J668">
            <v>0</v>
          </cell>
          <cell r="K668">
            <v>0</v>
          </cell>
          <cell r="L668">
            <v>0</v>
          </cell>
        </row>
        <row r="669">
          <cell r="A669">
            <v>2</v>
          </cell>
          <cell r="B669">
            <v>1</v>
          </cell>
          <cell r="C669">
            <v>804</v>
          </cell>
          <cell r="D669">
            <v>76</v>
          </cell>
          <cell r="E669" t="str">
            <v xml:space="preserve">    </v>
          </cell>
          <cell r="F669" t="str">
            <v xml:space="preserve">   </v>
          </cell>
          <cell r="G669">
            <v>2180476</v>
          </cell>
          <cell r="H669">
            <v>54616.12</v>
          </cell>
          <cell r="I669">
            <v>54616.12</v>
          </cell>
          <cell r="J669">
            <v>0</v>
          </cell>
          <cell r="K669">
            <v>0</v>
          </cell>
          <cell r="L669">
            <v>0</v>
          </cell>
        </row>
        <row r="670">
          <cell r="A670">
            <v>1</v>
          </cell>
          <cell r="B670">
            <v>1</v>
          </cell>
          <cell r="C670">
            <v>805</v>
          </cell>
          <cell r="D670">
            <v>11</v>
          </cell>
          <cell r="E670" t="str">
            <v xml:space="preserve">    </v>
          </cell>
          <cell r="F670" t="str">
            <v xml:space="preserve">   </v>
          </cell>
          <cell r="G670">
            <v>1180511</v>
          </cell>
          <cell r="H670">
            <v>-360403.76</v>
          </cell>
          <cell r="I670">
            <v>0</v>
          </cell>
          <cell r="J670">
            <v>-340645.24</v>
          </cell>
          <cell r="K670">
            <v>-19758.52</v>
          </cell>
          <cell r="L670">
            <v>0</v>
          </cell>
        </row>
        <row r="671">
          <cell r="A671">
            <v>2</v>
          </cell>
          <cell r="B671">
            <v>1</v>
          </cell>
          <cell r="C671">
            <v>805</v>
          </cell>
          <cell r="D671">
            <v>11</v>
          </cell>
          <cell r="E671" t="str">
            <v xml:space="preserve">    </v>
          </cell>
          <cell r="F671" t="str">
            <v xml:space="preserve">   </v>
          </cell>
          <cell r="G671">
            <v>2180511</v>
          </cell>
          <cell r="H671">
            <v>-4291322.8499999996</v>
          </cell>
          <cell r="I671">
            <v>0</v>
          </cell>
          <cell r="J671">
            <v>-3937646.32</v>
          </cell>
          <cell r="K671">
            <v>-353676.53</v>
          </cell>
          <cell r="L671">
            <v>0</v>
          </cell>
        </row>
        <row r="672">
          <cell r="A672">
            <v>1</v>
          </cell>
          <cell r="B672">
            <v>1</v>
          </cell>
          <cell r="C672">
            <v>805</v>
          </cell>
          <cell r="D672">
            <v>12</v>
          </cell>
          <cell r="E672" t="str">
            <v xml:space="preserve">    </v>
          </cell>
          <cell r="F672" t="str">
            <v xml:space="preserve">   </v>
          </cell>
          <cell r="G672">
            <v>1180512</v>
          </cell>
          <cell r="H672">
            <v>699272.25</v>
          </cell>
          <cell r="I672">
            <v>0</v>
          </cell>
          <cell r="J672">
            <v>563066.6</v>
          </cell>
          <cell r="K672">
            <v>136205.65</v>
          </cell>
          <cell r="L672">
            <v>0</v>
          </cell>
        </row>
        <row r="673">
          <cell r="A673">
            <v>2</v>
          </cell>
          <cell r="B673">
            <v>1</v>
          </cell>
          <cell r="C673">
            <v>805</v>
          </cell>
          <cell r="D673">
            <v>12</v>
          </cell>
          <cell r="E673" t="str">
            <v xml:space="preserve">    </v>
          </cell>
          <cell r="F673" t="str">
            <v xml:space="preserve">   </v>
          </cell>
          <cell r="G673">
            <v>2180512</v>
          </cell>
          <cell r="H673">
            <v>2739917.28</v>
          </cell>
          <cell r="I673">
            <v>0</v>
          </cell>
          <cell r="J673">
            <v>2776683.47</v>
          </cell>
          <cell r="K673">
            <v>-36766.19</v>
          </cell>
          <cell r="L673">
            <v>0</v>
          </cell>
        </row>
        <row r="674">
          <cell r="A674">
            <v>1</v>
          </cell>
          <cell r="B674">
            <v>1</v>
          </cell>
          <cell r="C674">
            <v>805</v>
          </cell>
          <cell r="D674">
            <v>99</v>
          </cell>
          <cell r="E674" t="str">
            <v xml:space="preserve">    </v>
          </cell>
          <cell r="F674" t="str">
            <v xml:space="preserve">   </v>
          </cell>
          <cell r="G674">
            <v>1180599</v>
          </cell>
          <cell r="H674">
            <v>636890</v>
          </cell>
          <cell r="I674">
            <v>0</v>
          </cell>
          <cell r="J674">
            <v>319381</v>
          </cell>
          <cell r="K674">
            <v>317509</v>
          </cell>
          <cell r="L674">
            <v>0</v>
          </cell>
        </row>
        <row r="675">
          <cell r="A675">
            <v>2</v>
          </cell>
          <cell r="B675">
            <v>1</v>
          </cell>
          <cell r="C675">
            <v>805</v>
          </cell>
          <cell r="D675">
            <v>99</v>
          </cell>
          <cell r="E675" t="str">
            <v xml:space="preserve">    </v>
          </cell>
          <cell r="F675" t="str">
            <v xml:space="preserve">   </v>
          </cell>
          <cell r="G675">
            <v>2180599</v>
          </cell>
          <cell r="H675">
            <v>-1519158.7</v>
          </cell>
          <cell r="I675">
            <v>0</v>
          </cell>
          <cell r="J675">
            <v>-1478124.27</v>
          </cell>
          <cell r="K675">
            <v>-41034.43</v>
          </cell>
          <cell r="L675">
            <v>0</v>
          </cell>
        </row>
        <row r="676">
          <cell r="A676">
            <v>1</v>
          </cell>
          <cell r="B676">
            <v>1</v>
          </cell>
          <cell r="C676">
            <v>807</v>
          </cell>
          <cell r="D676">
            <v>40</v>
          </cell>
          <cell r="E676" t="str">
            <v xml:space="preserve">    </v>
          </cell>
          <cell r="F676" t="str">
            <v xml:space="preserve">   </v>
          </cell>
          <cell r="G676">
            <v>1180740</v>
          </cell>
          <cell r="H676">
            <v>20167.330000000002</v>
          </cell>
          <cell r="I676">
            <v>20167.330000000002</v>
          </cell>
          <cell r="J676">
            <v>0</v>
          </cell>
          <cell r="K676">
            <v>0</v>
          </cell>
          <cell r="L676">
            <v>0</v>
          </cell>
        </row>
        <row r="677">
          <cell r="A677">
            <v>2</v>
          </cell>
          <cell r="B677">
            <v>1</v>
          </cell>
          <cell r="C677">
            <v>807</v>
          </cell>
          <cell r="D677">
            <v>40</v>
          </cell>
          <cell r="E677" t="str">
            <v xml:space="preserve">    </v>
          </cell>
          <cell r="F677" t="str">
            <v xml:space="preserve">   </v>
          </cell>
          <cell r="G677">
            <v>2180740</v>
          </cell>
          <cell r="H677">
            <v>183522.54</v>
          </cell>
          <cell r="I677">
            <v>183522.54</v>
          </cell>
          <cell r="J677">
            <v>0</v>
          </cell>
          <cell r="K677">
            <v>0</v>
          </cell>
          <cell r="L677">
            <v>0</v>
          </cell>
        </row>
        <row r="678">
          <cell r="A678">
            <v>1</v>
          </cell>
          <cell r="B678">
            <v>1</v>
          </cell>
          <cell r="C678">
            <v>903</v>
          </cell>
          <cell r="D678">
            <v>10</v>
          </cell>
          <cell r="E678" t="str">
            <v xml:space="preserve">    </v>
          </cell>
          <cell r="F678" t="str">
            <v xml:space="preserve">   </v>
          </cell>
          <cell r="G678">
            <v>1190310</v>
          </cell>
          <cell r="H678">
            <v>42.39</v>
          </cell>
          <cell r="I678">
            <v>0</v>
          </cell>
          <cell r="J678">
            <v>42.39</v>
          </cell>
          <cell r="K678">
            <v>0</v>
          </cell>
          <cell r="L678">
            <v>0</v>
          </cell>
        </row>
        <row r="679">
          <cell r="A679">
            <v>2</v>
          </cell>
          <cell r="B679">
            <v>1</v>
          </cell>
          <cell r="C679">
            <v>903</v>
          </cell>
          <cell r="D679">
            <v>10</v>
          </cell>
          <cell r="E679" t="str">
            <v xml:space="preserve">    </v>
          </cell>
          <cell r="F679" t="str">
            <v xml:space="preserve">   </v>
          </cell>
          <cell r="G679">
            <v>2190310</v>
          </cell>
          <cell r="H679">
            <v>807.36</v>
          </cell>
          <cell r="I679">
            <v>0</v>
          </cell>
          <cell r="J679">
            <v>807.36</v>
          </cell>
          <cell r="K679">
            <v>0</v>
          </cell>
          <cell r="L679">
            <v>0</v>
          </cell>
        </row>
        <row r="680">
          <cell r="A680">
            <v>1</v>
          </cell>
          <cell r="B680">
            <v>1</v>
          </cell>
          <cell r="C680">
            <v>903</v>
          </cell>
          <cell r="D680">
            <v>20</v>
          </cell>
          <cell r="E680" t="str">
            <v xml:space="preserve">    </v>
          </cell>
          <cell r="F680" t="str">
            <v xml:space="preserve">   </v>
          </cell>
          <cell r="G680">
            <v>1190320</v>
          </cell>
          <cell r="H680">
            <v>98056.51</v>
          </cell>
          <cell r="I680">
            <v>63023.39</v>
          </cell>
          <cell r="J680">
            <v>23051.599999999999</v>
          </cell>
          <cell r="K680">
            <v>11981.52</v>
          </cell>
          <cell r="L680">
            <v>0</v>
          </cell>
        </row>
        <row r="681">
          <cell r="A681">
            <v>2</v>
          </cell>
          <cell r="B681">
            <v>1</v>
          </cell>
          <cell r="C681">
            <v>903</v>
          </cell>
          <cell r="D681">
            <v>20</v>
          </cell>
          <cell r="E681" t="str">
            <v xml:space="preserve">    </v>
          </cell>
          <cell r="F681" t="str">
            <v xml:space="preserve">   </v>
          </cell>
          <cell r="G681">
            <v>2190320</v>
          </cell>
          <cell r="H681">
            <v>999788.73</v>
          </cell>
          <cell r="I681">
            <v>628363.24</v>
          </cell>
          <cell r="J681">
            <v>244269.14</v>
          </cell>
          <cell r="K681">
            <v>127156.35</v>
          </cell>
          <cell r="L681">
            <v>0</v>
          </cell>
        </row>
        <row r="682">
          <cell r="A682">
            <v>1</v>
          </cell>
          <cell r="B682">
            <v>1</v>
          </cell>
          <cell r="C682">
            <v>903</v>
          </cell>
          <cell r="D682">
            <v>21</v>
          </cell>
          <cell r="E682" t="str">
            <v xml:space="preserve">    </v>
          </cell>
          <cell r="F682" t="str">
            <v xml:space="preserve">   </v>
          </cell>
          <cell r="G682">
            <v>1190321</v>
          </cell>
          <cell r="H682">
            <v>18427.7</v>
          </cell>
          <cell r="I682">
            <v>210.71</v>
          </cell>
          <cell r="J682">
            <v>17993.740000000002</v>
          </cell>
          <cell r="K682">
            <v>223.25</v>
          </cell>
          <cell r="L682">
            <v>0</v>
          </cell>
        </row>
        <row r="683">
          <cell r="A683">
            <v>2</v>
          </cell>
          <cell r="B683">
            <v>1</v>
          </cell>
          <cell r="C683">
            <v>903</v>
          </cell>
          <cell r="D683">
            <v>21</v>
          </cell>
          <cell r="E683" t="str">
            <v xml:space="preserve">    </v>
          </cell>
          <cell r="F683" t="str">
            <v xml:space="preserve">   </v>
          </cell>
          <cell r="G683">
            <v>2190321</v>
          </cell>
          <cell r="H683">
            <v>68080.72</v>
          </cell>
          <cell r="I683">
            <v>9248.84</v>
          </cell>
          <cell r="J683">
            <v>57343.97</v>
          </cell>
          <cell r="K683">
            <v>1487.91</v>
          </cell>
          <cell r="L683">
            <v>0</v>
          </cell>
        </row>
        <row r="684">
          <cell r="A684">
            <v>1</v>
          </cell>
          <cell r="B684">
            <v>1</v>
          </cell>
          <cell r="C684">
            <v>903</v>
          </cell>
          <cell r="D684">
            <v>23</v>
          </cell>
          <cell r="E684" t="str">
            <v xml:space="preserve">    </v>
          </cell>
          <cell r="F684" t="str">
            <v xml:space="preserve">   </v>
          </cell>
          <cell r="G684">
            <v>1190323</v>
          </cell>
          <cell r="H684">
            <v>56.99</v>
          </cell>
          <cell r="I684">
            <v>0</v>
          </cell>
          <cell r="J684">
            <v>56.99</v>
          </cell>
          <cell r="K684">
            <v>0</v>
          </cell>
          <cell r="L684">
            <v>0</v>
          </cell>
        </row>
        <row r="685">
          <cell r="A685">
            <v>2</v>
          </cell>
          <cell r="B685">
            <v>1</v>
          </cell>
          <cell r="C685">
            <v>903</v>
          </cell>
          <cell r="D685">
            <v>23</v>
          </cell>
          <cell r="E685" t="str">
            <v xml:space="preserve">    </v>
          </cell>
          <cell r="F685" t="str">
            <v xml:space="preserve">   </v>
          </cell>
          <cell r="G685">
            <v>2190323</v>
          </cell>
          <cell r="H685">
            <v>56.99</v>
          </cell>
          <cell r="I685">
            <v>0</v>
          </cell>
          <cell r="J685">
            <v>56.99</v>
          </cell>
          <cell r="K685">
            <v>0</v>
          </cell>
          <cell r="L685">
            <v>0</v>
          </cell>
        </row>
        <row r="686">
          <cell r="A686">
            <v>1</v>
          </cell>
          <cell r="B686">
            <v>1</v>
          </cell>
          <cell r="C686">
            <v>903</v>
          </cell>
          <cell r="D686">
            <v>25</v>
          </cell>
          <cell r="E686" t="str">
            <v xml:space="preserve">    </v>
          </cell>
          <cell r="F686" t="str">
            <v xml:space="preserve">   </v>
          </cell>
          <cell r="G686">
            <v>1190325</v>
          </cell>
          <cell r="H686">
            <v>3389.93</v>
          </cell>
          <cell r="I686">
            <v>3053.16</v>
          </cell>
          <cell r="J686">
            <v>336.77</v>
          </cell>
          <cell r="K686">
            <v>0</v>
          </cell>
          <cell r="L686">
            <v>0</v>
          </cell>
        </row>
        <row r="687">
          <cell r="A687">
            <v>2</v>
          </cell>
          <cell r="B687">
            <v>1</v>
          </cell>
          <cell r="C687">
            <v>903</v>
          </cell>
          <cell r="D687">
            <v>25</v>
          </cell>
          <cell r="E687" t="str">
            <v xml:space="preserve">    </v>
          </cell>
          <cell r="F687" t="str">
            <v xml:space="preserve">   </v>
          </cell>
          <cell r="G687">
            <v>2190325</v>
          </cell>
          <cell r="H687">
            <v>52667.62</v>
          </cell>
          <cell r="I687">
            <v>49309.760000000002</v>
          </cell>
          <cell r="J687">
            <v>3357.86</v>
          </cell>
          <cell r="K687">
            <v>0</v>
          </cell>
          <cell r="L687">
            <v>0</v>
          </cell>
        </row>
        <row r="688">
          <cell r="A688">
            <v>1</v>
          </cell>
          <cell r="B688">
            <v>1</v>
          </cell>
          <cell r="C688">
            <v>903</v>
          </cell>
          <cell r="D688">
            <v>27</v>
          </cell>
          <cell r="E688" t="str">
            <v xml:space="preserve">    </v>
          </cell>
          <cell r="F688" t="str">
            <v xml:space="preserve">   </v>
          </cell>
          <cell r="G688">
            <v>1190327</v>
          </cell>
          <cell r="H688">
            <v>1344.53</v>
          </cell>
          <cell r="I688">
            <v>1344.53</v>
          </cell>
          <cell r="J688">
            <v>0</v>
          </cell>
          <cell r="K688">
            <v>0</v>
          </cell>
          <cell r="L688">
            <v>0</v>
          </cell>
        </row>
        <row r="689">
          <cell r="A689">
            <v>2</v>
          </cell>
          <cell r="B689">
            <v>1</v>
          </cell>
          <cell r="C689">
            <v>903</v>
          </cell>
          <cell r="D689">
            <v>27</v>
          </cell>
          <cell r="E689" t="str">
            <v xml:space="preserve">    </v>
          </cell>
          <cell r="F689" t="str">
            <v xml:space="preserve">   </v>
          </cell>
          <cell r="G689">
            <v>2190327</v>
          </cell>
          <cell r="H689">
            <v>16203.78</v>
          </cell>
          <cell r="I689">
            <v>16203.78</v>
          </cell>
          <cell r="J689">
            <v>0</v>
          </cell>
          <cell r="K689">
            <v>0</v>
          </cell>
          <cell r="L689">
            <v>0</v>
          </cell>
        </row>
        <row r="690">
          <cell r="A690">
            <v>1</v>
          </cell>
          <cell r="B690">
            <v>1</v>
          </cell>
          <cell r="C690">
            <v>903</v>
          </cell>
          <cell r="D690">
            <v>30</v>
          </cell>
          <cell r="E690" t="str">
            <v xml:space="preserve">    </v>
          </cell>
          <cell r="F690" t="str">
            <v xml:space="preserve">   </v>
          </cell>
          <cell r="G690">
            <v>1190330</v>
          </cell>
          <cell r="H690">
            <v>125271.58</v>
          </cell>
          <cell r="I690">
            <v>121154.31</v>
          </cell>
          <cell r="J690">
            <v>437.79</v>
          </cell>
          <cell r="K690">
            <v>3679.48</v>
          </cell>
          <cell r="L690">
            <v>0</v>
          </cell>
        </row>
        <row r="691">
          <cell r="A691">
            <v>2</v>
          </cell>
          <cell r="B691">
            <v>1</v>
          </cell>
          <cell r="C691">
            <v>903</v>
          </cell>
          <cell r="D691">
            <v>30</v>
          </cell>
          <cell r="E691" t="str">
            <v xml:space="preserve">    </v>
          </cell>
          <cell r="F691" t="str">
            <v xml:space="preserve">   </v>
          </cell>
          <cell r="G691">
            <v>2190330</v>
          </cell>
          <cell r="H691">
            <v>1331900</v>
          </cell>
          <cell r="I691">
            <v>1302957.73</v>
          </cell>
          <cell r="J691">
            <v>5206.71</v>
          </cell>
          <cell r="K691">
            <v>23735.56</v>
          </cell>
          <cell r="L691">
            <v>0</v>
          </cell>
        </row>
        <row r="692">
          <cell r="A692">
            <v>1</v>
          </cell>
          <cell r="B692">
            <v>1</v>
          </cell>
          <cell r="C692">
            <v>903</v>
          </cell>
          <cell r="D692">
            <v>35</v>
          </cell>
          <cell r="E692" t="str">
            <v xml:space="preserve">    </v>
          </cell>
          <cell r="F692" t="str">
            <v xml:space="preserve">   </v>
          </cell>
          <cell r="G692">
            <v>1190335</v>
          </cell>
          <cell r="H692">
            <v>1103.71</v>
          </cell>
          <cell r="I692">
            <v>1103.71</v>
          </cell>
          <cell r="J692">
            <v>0</v>
          </cell>
          <cell r="K692">
            <v>0</v>
          </cell>
          <cell r="L692">
            <v>0</v>
          </cell>
        </row>
        <row r="693">
          <cell r="A693">
            <v>2</v>
          </cell>
          <cell r="B693">
            <v>1</v>
          </cell>
          <cell r="C693">
            <v>903</v>
          </cell>
          <cell r="D693">
            <v>35</v>
          </cell>
          <cell r="E693" t="str">
            <v xml:space="preserve">    </v>
          </cell>
          <cell r="F693" t="str">
            <v xml:space="preserve">   </v>
          </cell>
          <cell r="G693">
            <v>2190335</v>
          </cell>
          <cell r="H693">
            <v>13971.13</v>
          </cell>
          <cell r="I693">
            <v>13971.13</v>
          </cell>
          <cell r="J693">
            <v>0</v>
          </cell>
          <cell r="K693">
            <v>0</v>
          </cell>
          <cell r="L693">
            <v>0</v>
          </cell>
        </row>
        <row r="694">
          <cell r="A694">
            <v>1</v>
          </cell>
          <cell r="B694">
            <v>1</v>
          </cell>
          <cell r="C694">
            <v>903</v>
          </cell>
          <cell r="D694">
            <v>39</v>
          </cell>
          <cell r="E694" t="str">
            <v xml:space="preserve">    </v>
          </cell>
          <cell r="F694" t="str">
            <v xml:space="preserve">   </v>
          </cell>
          <cell r="G694">
            <v>1190339</v>
          </cell>
          <cell r="H694">
            <v>-140.11000000000001</v>
          </cell>
          <cell r="I694">
            <v>-86.07</v>
          </cell>
          <cell r="J694">
            <v>-46.25</v>
          </cell>
          <cell r="K694">
            <v>-7.79</v>
          </cell>
          <cell r="L694">
            <v>0</v>
          </cell>
        </row>
        <row r="695">
          <cell r="A695">
            <v>2</v>
          </cell>
          <cell r="B695">
            <v>1</v>
          </cell>
          <cell r="C695">
            <v>903</v>
          </cell>
          <cell r="D695">
            <v>39</v>
          </cell>
          <cell r="E695" t="str">
            <v xml:space="preserve">    </v>
          </cell>
          <cell r="F695" t="str">
            <v xml:space="preserve">   </v>
          </cell>
          <cell r="G695">
            <v>2190339</v>
          </cell>
          <cell r="H695">
            <v>54.38</v>
          </cell>
          <cell r="I695">
            <v>300.79000000000002</v>
          </cell>
          <cell r="J695">
            <v>-202.33</v>
          </cell>
          <cell r="K695">
            <v>-44.08</v>
          </cell>
          <cell r="L695">
            <v>0</v>
          </cell>
        </row>
        <row r="696">
          <cell r="A696">
            <v>1</v>
          </cell>
          <cell r="B696">
            <v>1</v>
          </cell>
          <cell r="C696">
            <v>903</v>
          </cell>
          <cell r="D696">
            <v>40</v>
          </cell>
          <cell r="E696" t="str">
            <v xml:space="preserve">    </v>
          </cell>
          <cell r="F696" t="str">
            <v xml:space="preserve">   </v>
          </cell>
          <cell r="G696">
            <v>1190340</v>
          </cell>
          <cell r="H696">
            <v>5724.15</v>
          </cell>
          <cell r="I696">
            <v>0</v>
          </cell>
          <cell r="J696">
            <v>5724.15</v>
          </cell>
          <cell r="K696">
            <v>0</v>
          </cell>
          <cell r="L696">
            <v>0</v>
          </cell>
        </row>
        <row r="697">
          <cell r="A697">
            <v>2</v>
          </cell>
          <cell r="B697">
            <v>1</v>
          </cell>
          <cell r="C697">
            <v>903</v>
          </cell>
          <cell r="D697">
            <v>40</v>
          </cell>
          <cell r="E697" t="str">
            <v xml:space="preserve">    </v>
          </cell>
          <cell r="F697" t="str">
            <v xml:space="preserve">   </v>
          </cell>
          <cell r="G697">
            <v>2190340</v>
          </cell>
          <cell r="H697">
            <v>6883.03</v>
          </cell>
          <cell r="I697">
            <v>0</v>
          </cell>
          <cell r="J697">
            <v>6883.03</v>
          </cell>
          <cell r="K697">
            <v>0</v>
          </cell>
          <cell r="L697">
            <v>0</v>
          </cell>
        </row>
        <row r="698">
          <cell r="A698">
            <v>1</v>
          </cell>
          <cell r="B698">
            <v>1</v>
          </cell>
          <cell r="C698">
            <v>903</v>
          </cell>
          <cell r="D698">
            <v>92</v>
          </cell>
          <cell r="E698" t="str">
            <v xml:space="preserve">    </v>
          </cell>
          <cell r="F698" t="str">
            <v xml:space="preserve">   </v>
          </cell>
          <cell r="G698">
            <v>1190392</v>
          </cell>
          <cell r="H698">
            <v>2276.17</v>
          </cell>
          <cell r="I698">
            <v>2276.17</v>
          </cell>
          <cell r="J698">
            <v>0</v>
          </cell>
          <cell r="K698">
            <v>0</v>
          </cell>
          <cell r="L698">
            <v>0</v>
          </cell>
        </row>
        <row r="699">
          <cell r="A699">
            <v>2</v>
          </cell>
          <cell r="B699">
            <v>1</v>
          </cell>
          <cell r="C699">
            <v>903</v>
          </cell>
          <cell r="D699">
            <v>92</v>
          </cell>
          <cell r="E699" t="str">
            <v xml:space="preserve">    </v>
          </cell>
          <cell r="F699" t="str">
            <v xml:space="preserve">   </v>
          </cell>
          <cell r="G699">
            <v>2190392</v>
          </cell>
          <cell r="H699">
            <v>23662.07</v>
          </cell>
          <cell r="I699">
            <v>23662.07</v>
          </cell>
          <cell r="J699">
            <v>0</v>
          </cell>
          <cell r="K699">
            <v>0</v>
          </cell>
          <cell r="L699">
            <v>0</v>
          </cell>
        </row>
        <row r="700">
          <cell r="A700">
            <v>1</v>
          </cell>
          <cell r="B700">
            <v>1</v>
          </cell>
          <cell r="C700">
            <v>903</v>
          </cell>
          <cell r="D700">
            <v>93</v>
          </cell>
          <cell r="E700" t="str">
            <v xml:space="preserve">    </v>
          </cell>
          <cell r="F700" t="str">
            <v xml:space="preserve">   </v>
          </cell>
          <cell r="G700">
            <v>1190393</v>
          </cell>
          <cell r="H700">
            <v>14290.27</v>
          </cell>
          <cell r="I700">
            <v>14290.27</v>
          </cell>
          <cell r="J700">
            <v>0</v>
          </cell>
          <cell r="K700">
            <v>0</v>
          </cell>
          <cell r="L700">
            <v>0</v>
          </cell>
        </row>
        <row r="701">
          <cell r="A701">
            <v>2</v>
          </cell>
          <cell r="B701">
            <v>1</v>
          </cell>
          <cell r="C701">
            <v>903</v>
          </cell>
          <cell r="D701">
            <v>93</v>
          </cell>
          <cell r="E701" t="str">
            <v xml:space="preserve">    </v>
          </cell>
          <cell r="F701" t="str">
            <v xml:space="preserve">   </v>
          </cell>
          <cell r="G701">
            <v>2190393</v>
          </cell>
          <cell r="H701">
            <v>338354.38</v>
          </cell>
          <cell r="I701">
            <v>338354.38</v>
          </cell>
          <cell r="J701">
            <v>0</v>
          </cell>
          <cell r="K701">
            <v>0</v>
          </cell>
          <cell r="L701">
            <v>0</v>
          </cell>
        </row>
        <row r="702">
          <cell r="A702">
            <v>1</v>
          </cell>
          <cell r="B702">
            <v>1</v>
          </cell>
          <cell r="C702">
            <v>908</v>
          </cell>
          <cell r="D702">
            <v>0</v>
          </cell>
          <cell r="E702" t="str">
            <v xml:space="preserve">    </v>
          </cell>
          <cell r="F702" t="str">
            <v xml:space="preserve">   </v>
          </cell>
          <cell r="G702">
            <v>1190800</v>
          </cell>
          <cell r="H702">
            <v>15238.13</v>
          </cell>
          <cell r="I702">
            <v>8676.16</v>
          </cell>
          <cell r="J702">
            <v>2762.27</v>
          </cell>
          <cell r="K702">
            <v>3799.7</v>
          </cell>
          <cell r="L702">
            <v>0</v>
          </cell>
        </row>
        <row r="703">
          <cell r="A703">
            <v>2</v>
          </cell>
          <cell r="B703">
            <v>1</v>
          </cell>
          <cell r="C703">
            <v>908</v>
          </cell>
          <cell r="D703">
            <v>0</v>
          </cell>
          <cell r="E703" t="str">
            <v xml:space="preserve">    </v>
          </cell>
          <cell r="F703" t="str">
            <v xml:space="preserve">   </v>
          </cell>
          <cell r="G703">
            <v>2190800</v>
          </cell>
          <cell r="H703">
            <v>139273.64000000001</v>
          </cell>
          <cell r="I703">
            <v>60184.79</v>
          </cell>
          <cell r="J703">
            <v>40365.49</v>
          </cell>
          <cell r="K703">
            <v>38723.360000000001</v>
          </cell>
          <cell r="L703">
            <v>0</v>
          </cell>
        </row>
        <row r="704">
          <cell r="A704">
            <v>1</v>
          </cell>
          <cell r="B704">
            <v>1</v>
          </cell>
          <cell r="C704">
            <v>908</v>
          </cell>
          <cell r="D704">
            <v>10</v>
          </cell>
          <cell r="E704" t="str">
            <v xml:space="preserve">    </v>
          </cell>
          <cell r="F704" t="str">
            <v xml:space="preserve">   </v>
          </cell>
          <cell r="G704">
            <v>1190810</v>
          </cell>
          <cell r="H704">
            <v>4838.66</v>
          </cell>
          <cell r="I704">
            <v>4629.3599999999997</v>
          </cell>
          <cell r="J704">
            <v>0</v>
          </cell>
          <cell r="K704">
            <v>209.3</v>
          </cell>
          <cell r="L704">
            <v>0</v>
          </cell>
        </row>
        <row r="705">
          <cell r="A705">
            <v>2</v>
          </cell>
          <cell r="B705">
            <v>1</v>
          </cell>
          <cell r="C705">
            <v>908</v>
          </cell>
          <cell r="D705">
            <v>10</v>
          </cell>
          <cell r="E705" t="str">
            <v xml:space="preserve">    </v>
          </cell>
          <cell r="F705" t="str">
            <v xml:space="preserve">   </v>
          </cell>
          <cell r="G705">
            <v>2190810</v>
          </cell>
          <cell r="H705">
            <v>48412.41</v>
          </cell>
          <cell r="I705">
            <v>46684.91</v>
          </cell>
          <cell r="J705">
            <v>0</v>
          </cell>
          <cell r="K705">
            <v>1727.5</v>
          </cell>
          <cell r="L705">
            <v>0</v>
          </cell>
        </row>
        <row r="706">
          <cell r="A706">
            <v>1</v>
          </cell>
          <cell r="B706">
            <v>1</v>
          </cell>
          <cell r="C706">
            <v>908</v>
          </cell>
          <cell r="D706">
            <v>60</v>
          </cell>
          <cell r="E706" t="str">
            <v xml:space="preserve">    </v>
          </cell>
          <cell r="F706" t="str">
            <v xml:space="preserve">   </v>
          </cell>
          <cell r="G706">
            <v>1190860</v>
          </cell>
          <cell r="H706">
            <v>0</v>
          </cell>
          <cell r="I706">
            <v>0</v>
          </cell>
          <cell r="J706">
            <v>0</v>
          </cell>
          <cell r="K706">
            <v>0</v>
          </cell>
          <cell r="L706">
            <v>0</v>
          </cell>
        </row>
        <row r="707">
          <cell r="A707">
            <v>2</v>
          </cell>
          <cell r="B707">
            <v>1</v>
          </cell>
          <cell r="C707">
            <v>908</v>
          </cell>
          <cell r="D707">
            <v>60</v>
          </cell>
          <cell r="E707" t="str">
            <v xml:space="preserve">    </v>
          </cell>
          <cell r="F707" t="str">
            <v xml:space="preserve">   </v>
          </cell>
          <cell r="G707">
            <v>2190860</v>
          </cell>
          <cell r="H707">
            <v>-50</v>
          </cell>
          <cell r="I707">
            <v>-50</v>
          </cell>
          <cell r="J707">
            <v>0</v>
          </cell>
          <cell r="K707">
            <v>0</v>
          </cell>
          <cell r="L707">
            <v>0</v>
          </cell>
        </row>
        <row r="708">
          <cell r="A708">
            <v>1</v>
          </cell>
          <cell r="B708">
            <v>1</v>
          </cell>
          <cell r="C708">
            <v>908</v>
          </cell>
          <cell r="D708">
            <v>75</v>
          </cell>
          <cell r="E708" t="str">
            <v xml:space="preserve">    </v>
          </cell>
          <cell r="F708" t="str">
            <v xml:space="preserve">   </v>
          </cell>
          <cell r="G708">
            <v>1190875</v>
          </cell>
          <cell r="H708">
            <v>4913.49</v>
          </cell>
          <cell r="I708">
            <v>0</v>
          </cell>
          <cell r="J708">
            <v>3576.16</v>
          </cell>
          <cell r="K708">
            <v>1337.33</v>
          </cell>
          <cell r="L708">
            <v>0</v>
          </cell>
        </row>
        <row r="709">
          <cell r="A709">
            <v>2</v>
          </cell>
          <cell r="B709">
            <v>1</v>
          </cell>
          <cell r="C709">
            <v>908</v>
          </cell>
          <cell r="D709">
            <v>75</v>
          </cell>
          <cell r="E709" t="str">
            <v xml:space="preserve">    </v>
          </cell>
          <cell r="F709" t="str">
            <v xml:space="preserve">   </v>
          </cell>
          <cell r="G709">
            <v>2190875</v>
          </cell>
          <cell r="H709">
            <v>58961.88</v>
          </cell>
          <cell r="I709">
            <v>0</v>
          </cell>
          <cell r="J709">
            <v>42913.919999999998</v>
          </cell>
          <cell r="K709">
            <v>16047.96</v>
          </cell>
          <cell r="L709">
            <v>0</v>
          </cell>
        </row>
        <row r="710">
          <cell r="A710">
            <v>1</v>
          </cell>
          <cell r="B710">
            <v>1</v>
          </cell>
          <cell r="C710">
            <v>908</v>
          </cell>
          <cell r="D710">
            <v>79</v>
          </cell>
          <cell r="E710" t="str">
            <v xml:space="preserve">    </v>
          </cell>
          <cell r="F710" t="str">
            <v xml:space="preserve">   </v>
          </cell>
          <cell r="G710">
            <v>1190879</v>
          </cell>
          <cell r="H710">
            <v>42314.35</v>
          </cell>
          <cell r="I710">
            <v>0</v>
          </cell>
          <cell r="J710">
            <v>32549.01</v>
          </cell>
          <cell r="K710">
            <v>9765.34</v>
          </cell>
          <cell r="L710">
            <v>0</v>
          </cell>
        </row>
        <row r="711">
          <cell r="A711">
            <v>2</v>
          </cell>
          <cell r="B711">
            <v>1</v>
          </cell>
          <cell r="C711">
            <v>908</v>
          </cell>
          <cell r="D711">
            <v>79</v>
          </cell>
          <cell r="E711" t="str">
            <v xml:space="preserve">    </v>
          </cell>
          <cell r="F711" t="str">
            <v xml:space="preserve">   </v>
          </cell>
          <cell r="G711">
            <v>2190879</v>
          </cell>
          <cell r="H711">
            <v>507772.2</v>
          </cell>
          <cell r="I711">
            <v>0</v>
          </cell>
          <cell r="J711">
            <v>390588.12</v>
          </cell>
          <cell r="K711">
            <v>117184.08</v>
          </cell>
          <cell r="L711">
            <v>0</v>
          </cell>
        </row>
        <row r="712">
          <cell r="A712">
            <v>1</v>
          </cell>
          <cell r="B712">
            <v>1</v>
          </cell>
          <cell r="C712">
            <v>999</v>
          </cell>
          <cell r="D712">
            <v>1</v>
          </cell>
          <cell r="E712" t="str">
            <v xml:space="preserve">    </v>
          </cell>
          <cell r="F712" t="str">
            <v xml:space="preserve">   </v>
          </cell>
          <cell r="G712">
            <v>1199901</v>
          </cell>
          <cell r="H712">
            <v>-627678</v>
          </cell>
          <cell r="I712">
            <v>-627678</v>
          </cell>
          <cell r="J712">
            <v>0</v>
          </cell>
          <cell r="K712">
            <v>0</v>
          </cell>
          <cell r="L712">
            <v>0</v>
          </cell>
        </row>
        <row r="713">
          <cell r="A713">
            <v>2</v>
          </cell>
          <cell r="B713">
            <v>1</v>
          </cell>
          <cell r="C713">
            <v>999</v>
          </cell>
          <cell r="D713">
            <v>1</v>
          </cell>
          <cell r="E713" t="str">
            <v xml:space="preserve">    </v>
          </cell>
          <cell r="F713" t="str">
            <v xml:space="preserve">   </v>
          </cell>
          <cell r="G713">
            <v>2199901</v>
          </cell>
          <cell r="H713">
            <v>-7187723</v>
          </cell>
          <cell r="I713">
            <v>-7187723</v>
          </cell>
          <cell r="J713">
            <v>0</v>
          </cell>
          <cell r="K713">
            <v>0</v>
          </cell>
          <cell r="L713">
            <v>0</v>
          </cell>
        </row>
        <row r="714">
          <cell r="A714">
            <v>1</v>
          </cell>
          <cell r="B714">
            <v>1</v>
          </cell>
          <cell r="C714">
            <v>999</v>
          </cell>
          <cell r="D714">
            <v>2</v>
          </cell>
          <cell r="E714" t="str">
            <v xml:space="preserve">    </v>
          </cell>
          <cell r="F714" t="str">
            <v xml:space="preserve">   </v>
          </cell>
          <cell r="G714">
            <v>1199902</v>
          </cell>
          <cell r="H714">
            <v>-64651</v>
          </cell>
          <cell r="I714">
            <v>-64651</v>
          </cell>
          <cell r="J714">
            <v>0</v>
          </cell>
          <cell r="K714">
            <v>0</v>
          </cell>
          <cell r="L714">
            <v>0</v>
          </cell>
        </row>
        <row r="715">
          <cell r="A715">
            <v>2</v>
          </cell>
          <cell r="B715">
            <v>1</v>
          </cell>
          <cell r="C715">
            <v>999</v>
          </cell>
          <cell r="D715">
            <v>2</v>
          </cell>
          <cell r="E715" t="str">
            <v xml:space="preserve">    </v>
          </cell>
          <cell r="F715" t="str">
            <v xml:space="preserve">   </v>
          </cell>
          <cell r="G715">
            <v>2199902</v>
          </cell>
          <cell r="H715">
            <v>-768924</v>
          </cell>
          <cell r="I715">
            <v>-768924</v>
          </cell>
          <cell r="J715">
            <v>0</v>
          </cell>
          <cell r="K715">
            <v>0</v>
          </cell>
          <cell r="L715">
            <v>0</v>
          </cell>
        </row>
        <row r="716">
          <cell r="A716">
            <v>1</v>
          </cell>
          <cell r="B716">
            <v>1</v>
          </cell>
          <cell r="C716">
            <v>999</v>
          </cell>
          <cell r="D716">
            <v>3</v>
          </cell>
          <cell r="E716" t="str">
            <v xml:space="preserve">    </v>
          </cell>
          <cell r="F716" t="str">
            <v xml:space="preserve">   </v>
          </cell>
          <cell r="G716">
            <v>1199903</v>
          </cell>
          <cell r="H716">
            <v>-664</v>
          </cell>
          <cell r="I716">
            <v>-664</v>
          </cell>
          <cell r="J716">
            <v>0</v>
          </cell>
          <cell r="K716">
            <v>0</v>
          </cell>
          <cell r="L716">
            <v>0</v>
          </cell>
        </row>
        <row r="717">
          <cell r="A717">
            <v>2</v>
          </cell>
          <cell r="B717">
            <v>1</v>
          </cell>
          <cell r="C717">
            <v>999</v>
          </cell>
          <cell r="D717">
            <v>3</v>
          </cell>
          <cell r="E717" t="str">
            <v xml:space="preserve">    </v>
          </cell>
          <cell r="F717" t="str">
            <v xml:space="preserve">   </v>
          </cell>
          <cell r="G717">
            <v>2199903</v>
          </cell>
          <cell r="H717">
            <v>-12270</v>
          </cell>
          <cell r="I717">
            <v>-12270</v>
          </cell>
          <cell r="J717">
            <v>0</v>
          </cell>
          <cell r="K717">
            <v>0</v>
          </cell>
          <cell r="L717">
            <v>0</v>
          </cell>
        </row>
        <row r="718">
          <cell r="A718">
            <v>1</v>
          </cell>
          <cell r="B718">
            <v>1</v>
          </cell>
          <cell r="C718">
            <v>999</v>
          </cell>
          <cell r="D718">
            <v>5</v>
          </cell>
          <cell r="E718" t="str">
            <v xml:space="preserve">    </v>
          </cell>
          <cell r="F718" t="str">
            <v xml:space="preserve">   </v>
          </cell>
          <cell r="G718">
            <v>1199905</v>
          </cell>
          <cell r="H718">
            <v>-4913</v>
          </cell>
          <cell r="I718">
            <v>-4913</v>
          </cell>
          <cell r="J718">
            <v>0</v>
          </cell>
          <cell r="K718">
            <v>0</v>
          </cell>
          <cell r="L718">
            <v>0</v>
          </cell>
        </row>
        <row r="719">
          <cell r="A719">
            <v>2</v>
          </cell>
          <cell r="B719">
            <v>1</v>
          </cell>
          <cell r="C719">
            <v>999</v>
          </cell>
          <cell r="D719">
            <v>5</v>
          </cell>
          <cell r="E719" t="str">
            <v xml:space="preserve">    </v>
          </cell>
          <cell r="F719" t="str">
            <v xml:space="preserve">   </v>
          </cell>
          <cell r="G719">
            <v>2199905</v>
          </cell>
          <cell r="H719">
            <v>-58956</v>
          </cell>
          <cell r="I719">
            <v>-58956</v>
          </cell>
          <cell r="J719">
            <v>0</v>
          </cell>
          <cell r="K719">
            <v>0</v>
          </cell>
          <cell r="L719">
            <v>0</v>
          </cell>
        </row>
        <row r="720">
          <cell r="A720">
            <v>1</v>
          </cell>
          <cell r="B720">
            <v>1</v>
          </cell>
          <cell r="C720">
            <v>999</v>
          </cell>
          <cell r="D720">
            <v>6</v>
          </cell>
          <cell r="E720" t="str">
            <v xml:space="preserve">    </v>
          </cell>
          <cell r="F720" t="str">
            <v xml:space="preserve">   </v>
          </cell>
          <cell r="G720">
            <v>1199906</v>
          </cell>
          <cell r="H720">
            <v>-558144</v>
          </cell>
          <cell r="I720">
            <v>0</v>
          </cell>
          <cell r="J720">
            <v>-558144</v>
          </cell>
          <cell r="K720">
            <v>0</v>
          </cell>
          <cell r="L720">
            <v>0</v>
          </cell>
        </row>
        <row r="721">
          <cell r="A721">
            <v>2</v>
          </cell>
          <cell r="B721">
            <v>1</v>
          </cell>
          <cell r="C721">
            <v>999</v>
          </cell>
          <cell r="D721">
            <v>6</v>
          </cell>
          <cell r="E721" t="str">
            <v xml:space="preserve">    </v>
          </cell>
          <cell r="F721" t="str">
            <v xml:space="preserve">   </v>
          </cell>
          <cell r="G721">
            <v>2199906</v>
          </cell>
          <cell r="H721">
            <v>2363507</v>
          </cell>
          <cell r="I721">
            <v>0</v>
          </cell>
          <cell r="J721">
            <v>2363507</v>
          </cell>
          <cell r="K721">
            <v>0</v>
          </cell>
          <cell r="L721">
            <v>0</v>
          </cell>
        </row>
        <row r="722">
          <cell r="A722">
            <v>1</v>
          </cell>
          <cell r="B722">
            <v>1</v>
          </cell>
          <cell r="C722">
            <v>999</v>
          </cell>
          <cell r="D722">
            <v>7</v>
          </cell>
          <cell r="E722" t="str">
            <v xml:space="preserve">    </v>
          </cell>
          <cell r="F722" t="str">
            <v xml:space="preserve">   </v>
          </cell>
          <cell r="G722">
            <v>1199907</v>
          </cell>
          <cell r="H722">
            <v>-420636</v>
          </cell>
          <cell r="I722">
            <v>0</v>
          </cell>
          <cell r="J722">
            <v>0</v>
          </cell>
          <cell r="K722">
            <v>-420636</v>
          </cell>
          <cell r="L722">
            <v>0</v>
          </cell>
        </row>
        <row r="723">
          <cell r="A723">
            <v>2</v>
          </cell>
          <cell r="B723">
            <v>1</v>
          </cell>
          <cell r="C723">
            <v>999</v>
          </cell>
          <cell r="D723">
            <v>7</v>
          </cell>
          <cell r="E723" t="str">
            <v xml:space="preserve">    </v>
          </cell>
          <cell r="F723" t="str">
            <v xml:space="preserve">   </v>
          </cell>
          <cell r="G723">
            <v>2199907</v>
          </cell>
          <cell r="H723">
            <v>557342</v>
          </cell>
          <cell r="I723">
            <v>0</v>
          </cell>
          <cell r="J723">
            <v>0</v>
          </cell>
          <cell r="K723">
            <v>557342</v>
          </cell>
          <cell r="L723">
            <v>0</v>
          </cell>
        </row>
        <row r="724">
          <cell r="A724">
            <v>1</v>
          </cell>
          <cell r="B724">
            <v>1</v>
          </cell>
          <cell r="C724">
            <v>999</v>
          </cell>
          <cell r="D724">
            <v>11</v>
          </cell>
          <cell r="E724" t="str">
            <v xml:space="preserve">    </v>
          </cell>
          <cell r="F724" t="str">
            <v xml:space="preserve">   </v>
          </cell>
          <cell r="G724">
            <v>1199911</v>
          </cell>
          <cell r="H724">
            <v>-42314</v>
          </cell>
          <cell r="I724">
            <v>-42314</v>
          </cell>
          <cell r="J724">
            <v>0</v>
          </cell>
          <cell r="K724">
            <v>0</v>
          </cell>
          <cell r="L724">
            <v>0</v>
          </cell>
        </row>
        <row r="725">
          <cell r="A725">
            <v>2</v>
          </cell>
          <cell r="B725">
            <v>1</v>
          </cell>
          <cell r="C725">
            <v>999</v>
          </cell>
          <cell r="D725">
            <v>11</v>
          </cell>
          <cell r="E725" t="str">
            <v xml:space="preserve">    </v>
          </cell>
          <cell r="F725" t="str">
            <v xml:space="preserve">   </v>
          </cell>
          <cell r="G725">
            <v>2199911</v>
          </cell>
          <cell r="H725">
            <v>-507768</v>
          </cell>
          <cell r="I725">
            <v>-507768</v>
          </cell>
          <cell r="J725">
            <v>0</v>
          </cell>
          <cell r="K725">
            <v>0</v>
          </cell>
          <cell r="L725">
            <v>0</v>
          </cell>
        </row>
        <row r="726">
          <cell r="A726">
            <v>1</v>
          </cell>
          <cell r="B726">
            <v>1</v>
          </cell>
          <cell r="C726">
            <v>999</v>
          </cell>
          <cell r="D726">
            <v>19</v>
          </cell>
          <cell r="E726" t="str">
            <v xml:space="preserve">    </v>
          </cell>
          <cell r="F726" t="str">
            <v xml:space="preserve">   </v>
          </cell>
          <cell r="G726">
            <v>1199919</v>
          </cell>
          <cell r="H726">
            <v>-25098</v>
          </cell>
          <cell r="I726">
            <v>-25098</v>
          </cell>
          <cell r="J726">
            <v>0</v>
          </cell>
          <cell r="K726">
            <v>0</v>
          </cell>
          <cell r="L726">
            <v>0</v>
          </cell>
        </row>
        <row r="727">
          <cell r="A727">
            <v>2</v>
          </cell>
          <cell r="B727">
            <v>1</v>
          </cell>
          <cell r="C727">
            <v>999</v>
          </cell>
          <cell r="D727">
            <v>19</v>
          </cell>
          <cell r="E727" t="str">
            <v xml:space="preserve">    </v>
          </cell>
          <cell r="F727" t="str">
            <v xml:space="preserve">   </v>
          </cell>
          <cell r="G727">
            <v>2199919</v>
          </cell>
          <cell r="H727">
            <v>-269969</v>
          </cell>
          <cell r="I727">
            <v>-269969</v>
          </cell>
          <cell r="J727">
            <v>0</v>
          </cell>
          <cell r="K727">
            <v>0</v>
          </cell>
          <cell r="L727">
            <v>0</v>
          </cell>
        </row>
        <row r="728">
          <cell r="A728">
            <v>1</v>
          </cell>
          <cell r="B728">
            <v>1</v>
          </cell>
          <cell r="C728">
            <v>999</v>
          </cell>
          <cell r="D728">
            <v>34</v>
          </cell>
          <cell r="E728" t="str">
            <v xml:space="preserve">    </v>
          </cell>
          <cell r="F728" t="str">
            <v xml:space="preserve">   </v>
          </cell>
          <cell r="G728">
            <v>1199934</v>
          </cell>
          <cell r="H728">
            <v>-2084</v>
          </cell>
          <cell r="I728">
            <v>0</v>
          </cell>
          <cell r="J728">
            <v>-2084</v>
          </cell>
          <cell r="K728">
            <v>0</v>
          </cell>
          <cell r="L728">
            <v>0</v>
          </cell>
        </row>
        <row r="729">
          <cell r="A729">
            <v>2</v>
          </cell>
          <cell r="B729">
            <v>1</v>
          </cell>
          <cell r="C729">
            <v>999</v>
          </cell>
          <cell r="D729">
            <v>34</v>
          </cell>
          <cell r="E729" t="str">
            <v xml:space="preserve">    </v>
          </cell>
          <cell r="F729" t="str">
            <v xml:space="preserve">   </v>
          </cell>
          <cell r="G729">
            <v>2199934</v>
          </cell>
          <cell r="H729">
            <v>-25008</v>
          </cell>
          <cell r="I729">
            <v>0</v>
          </cell>
          <cell r="J729">
            <v>-25008</v>
          </cell>
          <cell r="K729">
            <v>0</v>
          </cell>
          <cell r="L729">
            <v>0</v>
          </cell>
        </row>
        <row r="730">
          <cell r="A730">
            <v>1</v>
          </cell>
          <cell r="B730">
            <v>1</v>
          </cell>
          <cell r="C730">
            <v>999</v>
          </cell>
          <cell r="D730">
            <v>52</v>
          </cell>
          <cell r="E730" t="str">
            <v xml:space="preserve">    </v>
          </cell>
          <cell r="F730" t="str">
            <v xml:space="preserve">   </v>
          </cell>
          <cell r="G730">
            <v>1199952</v>
          </cell>
          <cell r="H730">
            <v>34</v>
          </cell>
          <cell r="I730">
            <v>34</v>
          </cell>
          <cell r="J730">
            <v>0</v>
          </cell>
          <cell r="K730">
            <v>0</v>
          </cell>
          <cell r="L730">
            <v>0</v>
          </cell>
        </row>
        <row r="731">
          <cell r="A731">
            <v>2</v>
          </cell>
          <cell r="B731">
            <v>1</v>
          </cell>
          <cell r="C731">
            <v>999</v>
          </cell>
          <cell r="D731">
            <v>52</v>
          </cell>
          <cell r="E731" t="str">
            <v xml:space="preserve">    </v>
          </cell>
          <cell r="F731" t="str">
            <v xml:space="preserve">   </v>
          </cell>
          <cell r="G731">
            <v>2199952</v>
          </cell>
          <cell r="H731">
            <v>189356</v>
          </cell>
          <cell r="I731">
            <v>189356</v>
          </cell>
          <cell r="J731">
            <v>0</v>
          </cell>
          <cell r="K731">
            <v>0</v>
          </cell>
          <cell r="L731">
            <v>0</v>
          </cell>
        </row>
        <row r="732">
          <cell r="A732">
            <v>1</v>
          </cell>
          <cell r="B732">
            <v>1</v>
          </cell>
          <cell r="C732">
            <v>999</v>
          </cell>
          <cell r="D732">
            <v>59</v>
          </cell>
          <cell r="E732" t="str">
            <v xml:space="preserve">    </v>
          </cell>
          <cell r="F732" t="str">
            <v xml:space="preserve">   </v>
          </cell>
          <cell r="G732">
            <v>1199959</v>
          </cell>
          <cell r="H732">
            <v>7781</v>
          </cell>
          <cell r="I732">
            <v>7781</v>
          </cell>
          <cell r="J732">
            <v>0</v>
          </cell>
          <cell r="K732">
            <v>0</v>
          </cell>
          <cell r="L732">
            <v>0</v>
          </cell>
        </row>
        <row r="733">
          <cell r="A733">
            <v>2</v>
          </cell>
          <cell r="B733">
            <v>1</v>
          </cell>
          <cell r="C733">
            <v>999</v>
          </cell>
          <cell r="D733">
            <v>59</v>
          </cell>
          <cell r="E733" t="str">
            <v xml:space="preserve">    </v>
          </cell>
          <cell r="F733" t="str">
            <v xml:space="preserve">   </v>
          </cell>
          <cell r="G733">
            <v>2199959</v>
          </cell>
          <cell r="H733">
            <v>102940</v>
          </cell>
          <cell r="I733">
            <v>102940</v>
          </cell>
          <cell r="J733">
            <v>0</v>
          </cell>
          <cell r="K733">
            <v>0</v>
          </cell>
          <cell r="L733">
            <v>0</v>
          </cell>
        </row>
        <row r="734">
          <cell r="A734">
            <v>1</v>
          </cell>
          <cell r="B734">
            <v>1</v>
          </cell>
          <cell r="C734">
            <v>999</v>
          </cell>
          <cell r="D734">
            <v>60</v>
          </cell>
          <cell r="E734" t="str">
            <v xml:space="preserve">    </v>
          </cell>
          <cell r="F734" t="str">
            <v xml:space="preserve">   </v>
          </cell>
          <cell r="G734">
            <v>1199960</v>
          </cell>
          <cell r="H734">
            <v>1252939</v>
          </cell>
          <cell r="I734">
            <v>1252939</v>
          </cell>
          <cell r="J734">
            <v>0</v>
          </cell>
          <cell r="K734">
            <v>0</v>
          </cell>
          <cell r="L734">
            <v>0</v>
          </cell>
        </row>
        <row r="735">
          <cell r="A735">
            <v>2</v>
          </cell>
          <cell r="B735">
            <v>1</v>
          </cell>
          <cell r="C735">
            <v>999</v>
          </cell>
          <cell r="D735">
            <v>60</v>
          </cell>
          <cell r="E735" t="str">
            <v xml:space="preserve">    </v>
          </cell>
          <cell r="F735" t="str">
            <v xml:space="preserve">   </v>
          </cell>
          <cell r="G735">
            <v>2199960</v>
          </cell>
          <cell r="H735">
            <v>13016997</v>
          </cell>
          <cell r="I735">
            <v>13016997</v>
          </cell>
          <cell r="J735">
            <v>0</v>
          </cell>
          <cell r="K735">
            <v>0</v>
          </cell>
          <cell r="L735">
            <v>0</v>
          </cell>
        </row>
        <row r="736">
          <cell r="A736">
            <v>1</v>
          </cell>
          <cell r="B736">
            <v>1</v>
          </cell>
          <cell r="C736">
            <v>999</v>
          </cell>
          <cell r="D736">
            <v>70</v>
          </cell>
          <cell r="E736" t="str">
            <v xml:space="preserve">    </v>
          </cell>
          <cell r="F736" t="str">
            <v xml:space="preserve">   </v>
          </cell>
          <cell r="G736">
            <v>1199970</v>
          </cell>
          <cell r="H736">
            <v>742931.03</v>
          </cell>
          <cell r="I736">
            <v>742931.03</v>
          </cell>
          <cell r="J736">
            <v>0</v>
          </cell>
          <cell r="K736">
            <v>0</v>
          </cell>
          <cell r="L736">
            <v>0</v>
          </cell>
        </row>
        <row r="737">
          <cell r="A737">
            <v>2</v>
          </cell>
          <cell r="B737">
            <v>1</v>
          </cell>
          <cell r="C737">
            <v>999</v>
          </cell>
          <cell r="D737">
            <v>70</v>
          </cell>
          <cell r="E737" t="str">
            <v xml:space="preserve">    </v>
          </cell>
          <cell r="F737" t="str">
            <v xml:space="preserve">   </v>
          </cell>
          <cell r="G737">
            <v>2199970</v>
          </cell>
          <cell r="H737">
            <v>8487635.7899999991</v>
          </cell>
          <cell r="I737">
            <v>8487635.7899999991</v>
          </cell>
          <cell r="J737">
            <v>0</v>
          </cell>
          <cell r="K737">
            <v>0</v>
          </cell>
          <cell r="L737">
            <v>0</v>
          </cell>
        </row>
        <row r="738">
          <cell r="A738">
            <v>1</v>
          </cell>
          <cell r="B738">
            <v>1</v>
          </cell>
          <cell r="C738">
            <v>999</v>
          </cell>
          <cell r="D738">
            <v>72</v>
          </cell>
          <cell r="E738" t="str">
            <v xml:space="preserve">    </v>
          </cell>
          <cell r="F738" t="str">
            <v xml:space="preserve">   </v>
          </cell>
          <cell r="G738">
            <v>1199972</v>
          </cell>
          <cell r="H738">
            <v>85894</v>
          </cell>
          <cell r="I738">
            <v>85894</v>
          </cell>
          <cell r="J738">
            <v>0</v>
          </cell>
          <cell r="K738">
            <v>0</v>
          </cell>
          <cell r="L738">
            <v>0</v>
          </cell>
        </row>
        <row r="739">
          <cell r="A739">
            <v>2</v>
          </cell>
          <cell r="B739">
            <v>1</v>
          </cell>
          <cell r="C739">
            <v>999</v>
          </cell>
          <cell r="D739">
            <v>72</v>
          </cell>
          <cell r="E739" t="str">
            <v xml:space="preserve">    </v>
          </cell>
          <cell r="F739" t="str">
            <v xml:space="preserve">   </v>
          </cell>
          <cell r="G739">
            <v>2199972</v>
          </cell>
          <cell r="H739">
            <v>1030728</v>
          </cell>
          <cell r="I739">
            <v>1030728</v>
          </cell>
          <cell r="J739">
            <v>0</v>
          </cell>
          <cell r="K739">
            <v>0</v>
          </cell>
          <cell r="L739">
            <v>0</v>
          </cell>
        </row>
        <row r="740">
          <cell r="A740">
            <v>1</v>
          </cell>
          <cell r="B740">
            <v>1</v>
          </cell>
          <cell r="C740">
            <v>999</v>
          </cell>
          <cell r="D740">
            <v>75</v>
          </cell>
          <cell r="E740" t="str">
            <v xml:space="preserve">    </v>
          </cell>
          <cell r="F740" t="str">
            <v xml:space="preserve">   </v>
          </cell>
          <cell r="G740">
            <v>1199975</v>
          </cell>
          <cell r="H740">
            <v>5447</v>
          </cell>
          <cell r="I740">
            <v>5447</v>
          </cell>
          <cell r="J740">
            <v>0</v>
          </cell>
          <cell r="K740">
            <v>0</v>
          </cell>
          <cell r="L740">
            <v>0</v>
          </cell>
        </row>
        <row r="741">
          <cell r="A741">
            <v>2</v>
          </cell>
          <cell r="B741">
            <v>1</v>
          </cell>
          <cell r="C741">
            <v>999</v>
          </cell>
          <cell r="D741">
            <v>75</v>
          </cell>
          <cell r="E741" t="str">
            <v xml:space="preserve">    </v>
          </cell>
          <cell r="F741" t="str">
            <v xml:space="preserve">   </v>
          </cell>
          <cell r="G741">
            <v>2199975</v>
          </cell>
          <cell r="H741">
            <v>65364</v>
          </cell>
          <cell r="I741">
            <v>65364</v>
          </cell>
          <cell r="J741">
            <v>0</v>
          </cell>
          <cell r="K741">
            <v>0</v>
          </cell>
          <cell r="L741">
            <v>0</v>
          </cell>
        </row>
        <row r="742">
          <cell r="A742">
            <v>1</v>
          </cell>
          <cell r="B742">
            <v>1</v>
          </cell>
          <cell r="C742">
            <v>999</v>
          </cell>
          <cell r="D742">
            <v>91</v>
          </cell>
          <cell r="E742" t="str">
            <v xml:space="preserve">    </v>
          </cell>
          <cell r="F742" t="str">
            <v xml:space="preserve">   </v>
          </cell>
          <cell r="G742">
            <v>1199991</v>
          </cell>
          <cell r="H742">
            <v>-145057</v>
          </cell>
          <cell r="I742">
            <v>-145057</v>
          </cell>
          <cell r="J742">
            <v>0</v>
          </cell>
          <cell r="K742">
            <v>0</v>
          </cell>
          <cell r="L742">
            <v>0</v>
          </cell>
        </row>
        <row r="743">
          <cell r="A743">
            <v>2</v>
          </cell>
          <cell r="B743">
            <v>1</v>
          </cell>
          <cell r="C743">
            <v>999</v>
          </cell>
          <cell r="D743">
            <v>91</v>
          </cell>
          <cell r="E743" t="str">
            <v xml:space="preserve">    </v>
          </cell>
          <cell r="F743" t="str">
            <v xml:space="preserve">   </v>
          </cell>
          <cell r="G743">
            <v>2199991</v>
          </cell>
          <cell r="H743">
            <v>-2793002</v>
          </cell>
          <cell r="I743">
            <v>-2793002</v>
          </cell>
          <cell r="J743">
            <v>0</v>
          </cell>
          <cell r="K743">
            <v>0</v>
          </cell>
          <cell r="L743">
            <v>0</v>
          </cell>
        </row>
        <row r="744">
          <cell r="A744">
            <v>1</v>
          </cell>
          <cell r="B744">
            <v>1</v>
          </cell>
          <cell r="C744">
            <v>999</v>
          </cell>
          <cell r="D744">
            <v>95</v>
          </cell>
          <cell r="E744" t="str">
            <v xml:space="preserve">    </v>
          </cell>
          <cell r="F744" t="str">
            <v xml:space="preserve">   </v>
          </cell>
          <cell r="G744">
            <v>1199995</v>
          </cell>
          <cell r="H744">
            <v>320168</v>
          </cell>
          <cell r="I744">
            <v>320168</v>
          </cell>
          <cell r="J744">
            <v>0</v>
          </cell>
          <cell r="K744">
            <v>0</v>
          </cell>
          <cell r="L744">
            <v>0</v>
          </cell>
        </row>
        <row r="745">
          <cell r="A745">
            <v>2</v>
          </cell>
          <cell r="B745">
            <v>1</v>
          </cell>
          <cell r="C745">
            <v>999</v>
          </cell>
          <cell r="D745">
            <v>95</v>
          </cell>
          <cell r="E745" t="str">
            <v xml:space="preserve">    </v>
          </cell>
          <cell r="F745" t="str">
            <v xml:space="preserve">   </v>
          </cell>
          <cell r="G745">
            <v>2199995</v>
          </cell>
          <cell r="H745">
            <v>871653</v>
          </cell>
          <cell r="I745">
            <v>871653</v>
          </cell>
          <cell r="J745">
            <v>0</v>
          </cell>
          <cell r="K745">
            <v>0</v>
          </cell>
          <cell r="L745">
            <v>0</v>
          </cell>
        </row>
        <row r="746">
          <cell r="A746">
            <v>1</v>
          </cell>
          <cell r="B746">
            <v>2</v>
          </cell>
          <cell r="C746">
            <v>403</v>
          </cell>
          <cell r="D746">
            <v>20</v>
          </cell>
          <cell r="E746" t="str">
            <v xml:space="preserve">    </v>
          </cell>
          <cell r="F746" t="str">
            <v xml:space="preserve">   </v>
          </cell>
          <cell r="G746">
            <v>1240320</v>
          </cell>
          <cell r="H746">
            <v>351</v>
          </cell>
          <cell r="I746">
            <v>0</v>
          </cell>
          <cell r="J746">
            <v>351</v>
          </cell>
          <cell r="K746">
            <v>0</v>
          </cell>
          <cell r="L746">
            <v>0</v>
          </cell>
        </row>
        <row r="747">
          <cell r="A747">
            <v>2</v>
          </cell>
          <cell r="B747">
            <v>2</v>
          </cell>
          <cell r="C747">
            <v>403</v>
          </cell>
          <cell r="D747">
            <v>20</v>
          </cell>
          <cell r="E747" t="str">
            <v xml:space="preserve">    </v>
          </cell>
          <cell r="F747" t="str">
            <v xml:space="preserve">   </v>
          </cell>
          <cell r="G747">
            <v>2240320</v>
          </cell>
          <cell r="H747">
            <v>4232</v>
          </cell>
          <cell r="I747">
            <v>0</v>
          </cell>
          <cell r="J747">
            <v>4232</v>
          </cell>
          <cell r="K747">
            <v>0</v>
          </cell>
          <cell r="L747">
            <v>0</v>
          </cell>
        </row>
        <row r="748">
          <cell r="A748">
            <v>1</v>
          </cell>
          <cell r="B748">
            <v>2</v>
          </cell>
          <cell r="C748">
            <v>403</v>
          </cell>
          <cell r="D748">
            <v>40</v>
          </cell>
          <cell r="E748" t="str">
            <v xml:space="preserve">    </v>
          </cell>
          <cell r="F748" t="str">
            <v xml:space="preserve">   </v>
          </cell>
          <cell r="G748">
            <v>1240340</v>
          </cell>
          <cell r="H748">
            <v>7476</v>
          </cell>
          <cell r="I748">
            <v>0</v>
          </cell>
          <cell r="J748">
            <v>7476</v>
          </cell>
          <cell r="K748">
            <v>0</v>
          </cell>
          <cell r="L748">
            <v>0</v>
          </cell>
        </row>
        <row r="749">
          <cell r="A749">
            <v>2</v>
          </cell>
          <cell r="B749">
            <v>2</v>
          </cell>
          <cell r="C749">
            <v>403</v>
          </cell>
          <cell r="D749">
            <v>40</v>
          </cell>
          <cell r="E749" t="str">
            <v xml:space="preserve">    </v>
          </cell>
          <cell r="F749" t="str">
            <v xml:space="preserve">   </v>
          </cell>
          <cell r="G749">
            <v>2240340</v>
          </cell>
          <cell r="H749">
            <v>77842</v>
          </cell>
          <cell r="I749">
            <v>0</v>
          </cell>
          <cell r="J749">
            <v>77842</v>
          </cell>
          <cell r="K749">
            <v>0</v>
          </cell>
          <cell r="L749">
            <v>0</v>
          </cell>
        </row>
        <row r="750">
          <cell r="A750">
            <v>1</v>
          </cell>
          <cell r="B750">
            <v>2</v>
          </cell>
          <cell r="C750">
            <v>403</v>
          </cell>
          <cell r="D750">
            <v>50</v>
          </cell>
          <cell r="E750" t="str">
            <v xml:space="preserve">    </v>
          </cell>
          <cell r="F750" t="str">
            <v xml:space="preserve">   </v>
          </cell>
          <cell r="G750">
            <v>1240350</v>
          </cell>
          <cell r="H750">
            <v>388952</v>
          </cell>
          <cell r="I750">
            <v>0</v>
          </cell>
          <cell r="J750">
            <v>338126</v>
          </cell>
          <cell r="K750">
            <v>50826</v>
          </cell>
          <cell r="L750">
            <v>0</v>
          </cell>
        </row>
        <row r="751">
          <cell r="A751">
            <v>2</v>
          </cell>
          <cell r="B751">
            <v>2</v>
          </cell>
          <cell r="C751">
            <v>403</v>
          </cell>
          <cell r="D751">
            <v>50</v>
          </cell>
          <cell r="E751" t="str">
            <v xml:space="preserve">    </v>
          </cell>
          <cell r="F751" t="str">
            <v xml:space="preserve">   </v>
          </cell>
          <cell r="G751">
            <v>2240350</v>
          </cell>
          <cell r="H751">
            <v>4445468</v>
          </cell>
          <cell r="I751">
            <v>0</v>
          </cell>
          <cell r="J751">
            <v>3799565</v>
          </cell>
          <cell r="K751">
            <v>645903</v>
          </cell>
          <cell r="L751">
            <v>0</v>
          </cell>
        </row>
        <row r="752">
          <cell r="A752">
            <v>1</v>
          </cell>
          <cell r="B752">
            <v>2</v>
          </cell>
          <cell r="C752">
            <v>403</v>
          </cell>
          <cell r="D752">
            <v>60</v>
          </cell>
          <cell r="E752" t="str">
            <v xml:space="preserve">    </v>
          </cell>
          <cell r="F752" t="str">
            <v xml:space="preserve">   </v>
          </cell>
          <cell r="G752">
            <v>1240360</v>
          </cell>
          <cell r="H752">
            <v>26894.59</v>
          </cell>
          <cell r="I752">
            <v>22847.59</v>
          </cell>
          <cell r="J752">
            <v>2861</v>
          </cell>
          <cell r="K752">
            <v>1186</v>
          </cell>
          <cell r="L752">
            <v>0</v>
          </cell>
        </row>
        <row r="753">
          <cell r="A753">
            <v>2</v>
          </cell>
          <cell r="B753">
            <v>2</v>
          </cell>
          <cell r="C753">
            <v>403</v>
          </cell>
          <cell r="D753">
            <v>60</v>
          </cell>
          <cell r="E753" t="str">
            <v xml:space="preserve">    </v>
          </cell>
          <cell r="F753" t="str">
            <v xml:space="preserve">   </v>
          </cell>
          <cell r="G753">
            <v>2240360</v>
          </cell>
          <cell r="H753">
            <v>338324.32</v>
          </cell>
          <cell r="I753">
            <v>285488.32</v>
          </cell>
          <cell r="J753">
            <v>35126</v>
          </cell>
          <cell r="K753">
            <v>17710</v>
          </cell>
          <cell r="L753">
            <v>0</v>
          </cell>
        </row>
        <row r="754">
          <cell r="A754">
            <v>1</v>
          </cell>
          <cell r="B754">
            <v>2</v>
          </cell>
          <cell r="C754">
            <v>404</v>
          </cell>
          <cell r="D754">
            <v>30</v>
          </cell>
          <cell r="E754" t="str">
            <v xml:space="preserve">    </v>
          </cell>
          <cell r="F754" t="str">
            <v xml:space="preserve">   </v>
          </cell>
          <cell r="G754">
            <v>1240430</v>
          </cell>
          <cell r="H754">
            <v>-2417.2600000000002</v>
          </cell>
          <cell r="I754">
            <v>-2417.2600000000002</v>
          </cell>
          <cell r="J754">
            <v>0</v>
          </cell>
          <cell r="K754">
            <v>0</v>
          </cell>
          <cell r="L754">
            <v>0</v>
          </cell>
        </row>
        <row r="755">
          <cell r="A755">
            <v>2</v>
          </cell>
          <cell r="B755">
            <v>2</v>
          </cell>
          <cell r="C755">
            <v>404</v>
          </cell>
          <cell r="D755">
            <v>30</v>
          </cell>
          <cell r="E755" t="str">
            <v xml:space="preserve">    </v>
          </cell>
          <cell r="F755" t="str">
            <v xml:space="preserve">   </v>
          </cell>
          <cell r="G755">
            <v>2240430</v>
          </cell>
          <cell r="H755">
            <v>70680.97</v>
          </cell>
          <cell r="I755">
            <v>70680.97</v>
          </cell>
          <cell r="J755">
            <v>0</v>
          </cell>
          <cell r="K755">
            <v>0</v>
          </cell>
          <cell r="L755">
            <v>0</v>
          </cell>
        </row>
        <row r="756">
          <cell r="A756">
            <v>1</v>
          </cell>
          <cell r="B756">
            <v>2</v>
          </cell>
          <cell r="C756">
            <v>404</v>
          </cell>
          <cell r="D756">
            <v>60</v>
          </cell>
          <cell r="E756" t="str">
            <v xml:space="preserve">    </v>
          </cell>
          <cell r="F756" t="str">
            <v xml:space="preserve">   </v>
          </cell>
          <cell r="G756">
            <v>1240460</v>
          </cell>
          <cell r="H756">
            <v>6146.72</v>
          </cell>
          <cell r="I756">
            <v>6146.72</v>
          </cell>
          <cell r="J756">
            <v>0</v>
          </cell>
          <cell r="K756">
            <v>0</v>
          </cell>
          <cell r="L756">
            <v>0</v>
          </cell>
        </row>
        <row r="757">
          <cell r="A757">
            <v>2</v>
          </cell>
          <cell r="B757">
            <v>2</v>
          </cell>
          <cell r="C757">
            <v>404</v>
          </cell>
          <cell r="D757">
            <v>60</v>
          </cell>
          <cell r="E757" t="str">
            <v xml:space="preserve">    </v>
          </cell>
          <cell r="F757" t="str">
            <v xml:space="preserve">   </v>
          </cell>
          <cell r="G757">
            <v>2240460</v>
          </cell>
          <cell r="H757">
            <v>51285.279999999999</v>
          </cell>
          <cell r="I757">
            <v>51285.279999999999</v>
          </cell>
          <cell r="J757">
            <v>0</v>
          </cell>
          <cell r="K757">
            <v>0</v>
          </cell>
          <cell r="L757">
            <v>0</v>
          </cell>
        </row>
        <row r="758">
          <cell r="A758">
            <v>1</v>
          </cell>
          <cell r="B758">
            <v>2</v>
          </cell>
          <cell r="C758">
            <v>408</v>
          </cell>
          <cell r="D758">
            <v>11</v>
          </cell>
          <cell r="E758" t="str">
            <v xml:space="preserve">    </v>
          </cell>
          <cell r="F758" t="str">
            <v xml:space="preserve">   </v>
          </cell>
          <cell r="G758">
            <v>1240811</v>
          </cell>
          <cell r="H758">
            <v>0</v>
          </cell>
          <cell r="I758">
            <v>0</v>
          </cell>
          <cell r="J758">
            <v>0</v>
          </cell>
          <cell r="K758">
            <v>0</v>
          </cell>
          <cell r="L758">
            <v>0</v>
          </cell>
        </row>
        <row r="759">
          <cell r="A759">
            <v>2</v>
          </cell>
          <cell r="B759">
            <v>2</v>
          </cell>
          <cell r="C759">
            <v>408</v>
          </cell>
          <cell r="D759">
            <v>11</v>
          </cell>
          <cell r="E759" t="str">
            <v xml:space="preserve">    </v>
          </cell>
          <cell r="F759" t="str">
            <v xml:space="preserve">   </v>
          </cell>
          <cell r="G759">
            <v>2240811</v>
          </cell>
          <cell r="H759">
            <v>1874</v>
          </cell>
          <cell r="I759">
            <v>0</v>
          </cell>
          <cell r="J759">
            <v>0</v>
          </cell>
          <cell r="K759">
            <v>1874</v>
          </cell>
          <cell r="L759">
            <v>0</v>
          </cell>
        </row>
        <row r="760">
          <cell r="A760">
            <v>1</v>
          </cell>
          <cell r="B760">
            <v>2</v>
          </cell>
          <cell r="C760">
            <v>408</v>
          </cell>
          <cell r="D760">
            <v>12</v>
          </cell>
          <cell r="E760" t="str">
            <v xml:space="preserve">    </v>
          </cell>
          <cell r="F760" t="str">
            <v xml:space="preserve">   </v>
          </cell>
          <cell r="G760">
            <v>1240812</v>
          </cell>
          <cell r="H760">
            <v>153471.82999999999</v>
          </cell>
          <cell r="I760">
            <v>0</v>
          </cell>
          <cell r="J760">
            <v>123600.02</v>
          </cell>
          <cell r="K760">
            <v>29871.81</v>
          </cell>
          <cell r="L760">
            <v>0</v>
          </cell>
        </row>
        <row r="761">
          <cell r="A761">
            <v>2</v>
          </cell>
          <cell r="B761">
            <v>2</v>
          </cell>
          <cell r="C761">
            <v>408</v>
          </cell>
          <cell r="D761">
            <v>12</v>
          </cell>
          <cell r="E761" t="str">
            <v xml:space="preserve">    </v>
          </cell>
          <cell r="F761" t="str">
            <v xml:space="preserve">   </v>
          </cell>
          <cell r="G761">
            <v>2240812</v>
          </cell>
          <cell r="H761">
            <v>1194716.6399999999</v>
          </cell>
          <cell r="I761">
            <v>0</v>
          </cell>
          <cell r="J761">
            <v>933851.49</v>
          </cell>
          <cell r="K761">
            <v>260865.15</v>
          </cell>
          <cell r="L761">
            <v>0</v>
          </cell>
        </row>
        <row r="762">
          <cell r="A762">
            <v>1</v>
          </cell>
          <cell r="B762">
            <v>2</v>
          </cell>
          <cell r="C762">
            <v>408</v>
          </cell>
          <cell r="D762">
            <v>15</v>
          </cell>
          <cell r="E762" t="str">
            <v xml:space="preserve">    </v>
          </cell>
          <cell r="F762" t="str">
            <v xml:space="preserve">   </v>
          </cell>
          <cell r="G762">
            <v>1240815</v>
          </cell>
          <cell r="H762">
            <v>95981</v>
          </cell>
          <cell r="I762">
            <v>0</v>
          </cell>
          <cell r="J762">
            <v>85869</v>
          </cell>
          <cell r="K762">
            <v>10112</v>
          </cell>
          <cell r="L762">
            <v>0</v>
          </cell>
        </row>
        <row r="763">
          <cell r="A763">
            <v>2</v>
          </cell>
          <cell r="B763">
            <v>2</v>
          </cell>
          <cell r="C763">
            <v>408</v>
          </cell>
          <cell r="D763">
            <v>15</v>
          </cell>
          <cell r="E763" t="str">
            <v xml:space="preserve">    </v>
          </cell>
          <cell r="F763" t="str">
            <v xml:space="preserve">   </v>
          </cell>
          <cell r="G763">
            <v>2240815</v>
          </cell>
          <cell r="H763">
            <v>883177.06</v>
          </cell>
          <cell r="I763">
            <v>0</v>
          </cell>
          <cell r="J763">
            <v>740199.75</v>
          </cell>
          <cell r="K763">
            <v>142977.31</v>
          </cell>
          <cell r="L763">
            <v>0</v>
          </cell>
        </row>
        <row r="764">
          <cell r="A764">
            <v>1</v>
          </cell>
          <cell r="B764">
            <v>2</v>
          </cell>
          <cell r="C764">
            <v>409</v>
          </cell>
          <cell r="D764">
            <v>11</v>
          </cell>
          <cell r="E764" t="str">
            <v xml:space="preserve">    </v>
          </cell>
          <cell r="F764" t="str">
            <v xml:space="preserve">   </v>
          </cell>
          <cell r="G764">
            <v>1240911</v>
          </cell>
          <cell r="H764">
            <v>826831</v>
          </cell>
          <cell r="I764">
            <v>826831</v>
          </cell>
          <cell r="J764">
            <v>0</v>
          </cell>
          <cell r="K764">
            <v>0</v>
          </cell>
          <cell r="L764">
            <v>0</v>
          </cell>
        </row>
        <row r="765">
          <cell r="A765">
            <v>2</v>
          </cell>
          <cell r="B765">
            <v>2</v>
          </cell>
          <cell r="C765">
            <v>409</v>
          </cell>
          <cell r="D765">
            <v>11</v>
          </cell>
          <cell r="E765" t="str">
            <v xml:space="preserve">    </v>
          </cell>
          <cell r="F765" t="str">
            <v xml:space="preserve">   </v>
          </cell>
          <cell r="G765">
            <v>2240911</v>
          </cell>
          <cell r="H765">
            <v>4147497</v>
          </cell>
          <cell r="I765">
            <v>4147497</v>
          </cell>
          <cell r="J765">
            <v>0</v>
          </cell>
          <cell r="K765">
            <v>0</v>
          </cell>
          <cell r="L765">
            <v>0</v>
          </cell>
        </row>
        <row r="766">
          <cell r="A766">
            <v>1</v>
          </cell>
          <cell r="B766">
            <v>2</v>
          </cell>
          <cell r="C766">
            <v>409</v>
          </cell>
          <cell r="D766">
            <v>16</v>
          </cell>
          <cell r="E766" t="str">
            <v xml:space="preserve">    </v>
          </cell>
          <cell r="F766" t="str">
            <v xml:space="preserve">   </v>
          </cell>
          <cell r="G766">
            <v>1240916</v>
          </cell>
          <cell r="H766">
            <v>17641</v>
          </cell>
          <cell r="I766">
            <v>0</v>
          </cell>
          <cell r="J766">
            <v>17641</v>
          </cell>
          <cell r="K766">
            <v>0</v>
          </cell>
          <cell r="L766">
            <v>0</v>
          </cell>
        </row>
        <row r="767">
          <cell r="A767">
            <v>2</v>
          </cell>
          <cell r="B767">
            <v>2</v>
          </cell>
          <cell r="C767">
            <v>409</v>
          </cell>
          <cell r="D767">
            <v>16</v>
          </cell>
          <cell r="E767" t="str">
            <v xml:space="preserve">    </v>
          </cell>
          <cell r="F767" t="str">
            <v xml:space="preserve">   </v>
          </cell>
          <cell r="G767">
            <v>2240916</v>
          </cell>
          <cell r="H767">
            <v>259529</v>
          </cell>
          <cell r="I767">
            <v>0</v>
          </cell>
          <cell r="J767">
            <v>259529</v>
          </cell>
          <cell r="K767">
            <v>0</v>
          </cell>
          <cell r="L767">
            <v>0</v>
          </cell>
        </row>
        <row r="768">
          <cell r="A768">
            <v>1</v>
          </cell>
          <cell r="B768">
            <v>2</v>
          </cell>
          <cell r="C768">
            <v>409</v>
          </cell>
          <cell r="D768">
            <v>17</v>
          </cell>
          <cell r="E768" t="str">
            <v xml:space="preserve">    </v>
          </cell>
          <cell r="F768" t="str">
            <v xml:space="preserve">   </v>
          </cell>
          <cell r="G768">
            <v>1240917</v>
          </cell>
          <cell r="H768">
            <v>5245</v>
          </cell>
          <cell r="I768">
            <v>0</v>
          </cell>
          <cell r="J768">
            <v>0</v>
          </cell>
          <cell r="K768">
            <v>5245</v>
          </cell>
          <cell r="L768">
            <v>0</v>
          </cell>
        </row>
        <row r="769">
          <cell r="A769">
            <v>2</v>
          </cell>
          <cell r="B769">
            <v>2</v>
          </cell>
          <cell r="C769">
            <v>409</v>
          </cell>
          <cell r="D769">
            <v>17</v>
          </cell>
          <cell r="E769" t="str">
            <v xml:space="preserve">    </v>
          </cell>
          <cell r="F769" t="str">
            <v xml:space="preserve">   </v>
          </cell>
          <cell r="G769">
            <v>2240917</v>
          </cell>
          <cell r="H769">
            <v>77156</v>
          </cell>
          <cell r="I769">
            <v>0</v>
          </cell>
          <cell r="J769">
            <v>0</v>
          </cell>
          <cell r="K769">
            <v>77156</v>
          </cell>
          <cell r="L769">
            <v>0</v>
          </cell>
        </row>
        <row r="770">
          <cell r="A770">
            <v>1</v>
          </cell>
          <cell r="B770">
            <v>2</v>
          </cell>
          <cell r="C770">
            <v>410</v>
          </cell>
          <cell r="D770">
            <v>10</v>
          </cell>
          <cell r="E770" t="str">
            <v xml:space="preserve">    </v>
          </cell>
          <cell r="F770" t="str">
            <v xml:space="preserve">   </v>
          </cell>
          <cell r="G770">
            <v>1241010</v>
          </cell>
          <cell r="H770">
            <v>190992.79</v>
          </cell>
          <cell r="I770">
            <v>110281.79</v>
          </cell>
          <cell r="J770">
            <v>80711</v>
          </cell>
          <cell r="K770">
            <v>0</v>
          </cell>
          <cell r="L770">
            <v>0</v>
          </cell>
        </row>
        <row r="771">
          <cell r="A771">
            <v>2</v>
          </cell>
          <cell r="B771">
            <v>2</v>
          </cell>
          <cell r="C771">
            <v>410</v>
          </cell>
          <cell r="D771">
            <v>10</v>
          </cell>
          <cell r="E771" t="str">
            <v xml:space="preserve">    </v>
          </cell>
          <cell r="F771" t="str">
            <v xml:space="preserve">   </v>
          </cell>
          <cell r="G771">
            <v>2241010</v>
          </cell>
          <cell r="H771">
            <v>1733137.55</v>
          </cell>
          <cell r="I771">
            <v>1445259.58</v>
          </cell>
          <cell r="J771">
            <v>287877.96999999997</v>
          </cell>
          <cell r="K771">
            <v>0</v>
          </cell>
          <cell r="L771">
            <v>0</v>
          </cell>
        </row>
        <row r="772">
          <cell r="A772">
            <v>1</v>
          </cell>
          <cell r="B772">
            <v>2</v>
          </cell>
          <cell r="C772">
            <v>410</v>
          </cell>
          <cell r="D772">
            <v>14</v>
          </cell>
          <cell r="E772" t="str">
            <v xml:space="preserve">    </v>
          </cell>
          <cell r="F772" t="str">
            <v xml:space="preserve">   </v>
          </cell>
          <cell r="G772">
            <v>1241014</v>
          </cell>
          <cell r="H772">
            <v>1991.84</v>
          </cell>
          <cell r="I772">
            <v>1991.84</v>
          </cell>
          <cell r="J772">
            <v>0</v>
          </cell>
          <cell r="K772">
            <v>0</v>
          </cell>
          <cell r="L772">
            <v>0</v>
          </cell>
        </row>
        <row r="773">
          <cell r="A773">
            <v>2</v>
          </cell>
          <cell r="B773">
            <v>2</v>
          </cell>
          <cell r="C773">
            <v>410</v>
          </cell>
          <cell r="D773">
            <v>14</v>
          </cell>
          <cell r="E773" t="str">
            <v xml:space="preserve">    </v>
          </cell>
          <cell r="F773" t="str">
            <v xml:space="preserve">   </v>
          </cell>
          <cell r="G773">
            <v>2241014</v>
          </cell>
          <cell r="H773">
            <v>55577.48</v>
          </cell>
          <cell r="I773">
            <v>55577.48</v>
          </cell>
          <cell r="J773">
            <v>0</v>
          </cell>
          <cell r="K773">
            <v>0</v>
          </cell>
          <cell r="L773">
            <v>0</v>
          </cell>
        </row>
        <row r="774">
          <cell r="A774">
            <v>1</v>
          </cell>
          <cell r="B774">
            <v>2</v>
          </cell>
          <cell r="C774">
            <v>411</v>
          </cell>
          <cell r="D774">
            <v>10</v>
          </cell>
          <cell r="E774" t="str">
            <v xml:space="preserve">    </v>
          </cell>
          <cell r="F774" t="str">
            <v xml:space="preserve">   </v>
          </cell>
          <cell r="G774">
            <v>1241110</v>
          </cell>
          <cell r="H774">
            <v>-290919.07</v>
          </cell>
          <cell r="I774">
            <v>-25404.07</v>
          </cell>
          <cell r="J774">
            <v>-265515</v>
          </cell>
          <cell r="K774">
            <v>0</v>
          </cell>
          <cell r="L774">
            <v>0</v>
          </cell>
        </row>
        <row r="775">
          <cell r="A775">
            <v>2</v>
          </cell>
          <cell r="B775">
            <v>2</v>
          </cell>
          <cell r="C775">
            <v>411</v>
          </cell>
          <cell r="D775">
            <v>10</v>
          </cell>
          <cell r="E775" t="str">
            <v xml:space="preserve">    </v>
          </cell>
          <cell r="F775" t="str">
            <v xml:space="preserve">   </v>
          </cell>
          <cell r="G775">
            <v>2241110</v>
          </cell>
          <cell r="H775">
            <v>-1477164.91</v>
          </cell>
          <cell r="I775">
            <v>-152826.09</v>
          </cell>
          <cell r="J775">
            <v>-1324338.82</v>
          </cell>
          <cell r="K775">
            <v>0</v>
          </cell>
          <cell r="L775">
            <v>0</v>
          </cell>
        </row>
        <row r="776">
          <cell r="A776">
            <v>1</v>
          </cell>
          <cell r="B776">
            <v>2</v>
          </cell>
          <cell r="C776">
            <v>488</v>
          </cell>
          <cell r="D776">
            <v>88</v>
          </cell>
          <cell r="E776" t="str">
            <v xml:space="preserve">    </v>
          </cell>
          <cell r="F776" t="str">
            <v xml:space="preserve">   </v>
          </cell>
          <cell r="G776">
            <v>1248888</v>
          </cell>
          <cell r="H776">
            <v>-13960</v>
          </cell>
          <cell r="I776">
            <v>0</v>
          </cell>
          <cell r="J776">
            <v>-2885</v>
          </cell>
          <cell r="K776">
            <v>-11075</v>
          </cell>
          <cell r="L776">
            <v>0</v>
          </cell>
        </row>
        <row r="777">
          <cell r="A777">
            <v>2</v>
          </cell>
          <cell r="B777">
            <v>2</v>
          </cell>
          <cell r="C777">
            <v>488</v>
          </cell>
          <cell r="D777">
            <v>88</v>
          </cell>
          <cell r="E777" t="str">
            <v xml:space="preserve">    </v>
          </cell>
          <cell r="F777" t="str">
            <v xml:space="preserve">   </v>
          </cell>
          <cell r="G777">
            <v>2248888</v>
          </cell>
          <cell r="H777">
            <v>-169337.5</v>
          </cell>
          <cell r="I777">
            <v>0</v>
          </cell>
          <cell r="J777">
            <v>-37285</v>
          </cell>
          <cell r="K777">
            <v>-132052.5</v>
          </cell>
          <cell r="L777">
            <v>0</v>
          </cell>
        </row>
        <row r="778">
          <cell r="A778">
            <v>1</v>
          </cell>
          <cell r="B778">
            <v>2</v>
          </cell>
          <cell r="C778">
            <v>489</v>
          </cell>
          <cell r="D778">
            <v>91</v>
          </cell>
          <cell r="E778" t="str">
            <v xml:space="preserve">    </v>
          </cell>
          <cell r="F778" t="str">
            <v xml:space="preserve">   </v>
          </cell>
          <cell r="G778">
            <v>1248991</v>
          </cell>
          <cell r="H778">
            <v>-430990.52</v>
          </cell>
          <cell r="I778">
            <v>0</v>
          </cell>
          <cell r="J778">
            <v>-430990.52</v>
          </cell>
          <cell r="K778">
            <v>0</v>
          </cell>
          <cell r="L778">
            <v>0</v>
          </cell>
        </row>
        <row r="779">
          <cell r="A779">
            <v>2</v>
          </cell>
          <cell r="B779">
            <v>2</v>
          </cell>
          <cell r="C779">
            <v>489</v>
          </cell>
          <cell r="D779">
            <v>91</v>
          </cell>
          <cell r="E779" t="str">
            <v xml:space="preserve">    </v>
          </cell>
          <cell r="F779" t="str">
            <v xml:space="preserve">   </v>
          </cell>
          <cell r="G779">
            <v>2248991</v>
          </cell>
          <cell r="H779">
            <v>-4883095.1100000003</v>
          </cell>
          <cell r="I779">
            <v>0</v>
          </cell>
          <cell r="J779">
            <v>-4883095.1100000003</v>
          </cell>
          <cell r="K779">
            <v>0</v>
          </cell>
          <cell r="L779">
            <v>0</v>
          </cell>
        </row>
        <row r="780">
          <cell r="A780">
            <v>1</v>
          </cell>
          <cell r="B780">
            <v>2</v>
          </cell>
          <cell r="C780">
            <v>489</v>
          </cell>
          <cell r="D780">
            <v>92</v>
          </cell>
          <cell r="E780" t="str">
            <v xml:space="preserve">    </v>
          </cell>
          <cell r="F780" t="str">
            <v xml:space="preserve">   </v>
          </cell>
          <cell r="G780">
            <v>1248992</v>
          </cell>
          <cell r="H780">
            <v>-11354.34</v>
          </cell>
          <cell r="I780">
            <v>0</v>
          </cell>
          <cell r="J780">
            <v>0</v>
          </cell>
          <cell r="K780">
            <v>-11354.34</v>
          </cell>
          <cell r="L780">
            <v>0</v>
          </cell>
        </row>
        <row r="781">
          <cell r="A781">
            <v>2</v>
          </cell>
          <cell r="B781">
            <v>2</v>
          </cell>
          <cell r="C781">
            <v>489</v>
          </cell>
          <cell r="D781">
            <v>92</v>
          </cell>
          <cell r="E781" t="str">
            <v xml:space="preserve">    </v>
          </cell>
          <cell r="F781" t="str">
            <v xml:space="preserve">   </v>
          </cell>
          <cell r="G781">
            <v>2248992</v>
          </cell>
          <cell r="H781">
            <v>-127287.62</v>
          </cell>
          <cell r="I781">
            <v>0</v>
          </cell>
          <cell r="J781">
            <v>0</v>
          </cell>
          <cell r="K781">
            <v>-127287.62</v>
          </cell>
          <cell r="L781">
            <v>0</v>
          </cell>
        </row>
        <row r="782">
          <cell r="A782">
            <v>1</v>
          </cell>
          <cell r="B782">
            <v>2</v>
          </cell>
          <cell r="C782">
            <v>495</v>
          </cell>
          <cell r="D782">
            <v>60</v>
          </cell>
          <cell r="E782" t="str">
            <v xml:space="preserve">    </v>
          </cell>
          <cell r="F782" t="str">
            <v xml:space="preserve">   </v>
          </cell>
          <cell r="G782">
            <v>1249560</v>
          </cell>
          <cell r="H782">
            <v>10563.17</v>
          </cell>
          <cell r="I782">
            <v>0</v>
          </cell>
          <cell r="J782">
            <v>10563.17</v>
          </cell>
          <cell r="K782">
            <v>0</v>
          </cell>
          <cell r="L782">
            <v>0</v>
          </cell>
        </row>
        <row r="783">
          <cell r="A783">
            <v>2</v>
          </cell>
          <cell r="B783">
            <v>2</v>
          </cell>
          <cell r="C783">
            <v>495</v>
          </cell>
          <cell r="D783">
            <v>60</v>
          </cell>
          <cell r="E783" t="str">
            <v xml:space="preserve">    </v>
          </cell>
          <cell r="F783" t="str">
            <v xml:space="preserve">   </v>
          </cell>
          <cell r="G783">
            <v>2249560</v>
          </cell>
          <cell r="H783">
            <v>123755.11</v>
          </cell>
          <cell r="I783">
            <v>0</v>
          </cell>
          <cell r="J783">
            <v>123755.11</v>
          </cell>
          <cell r="K783">
            <v>0</v>
          </cell>
          <cell r="L783">
            <v>0</v>
          </cell>
        </row>
        <row r="784">
          <cell r="A784">
            <v>1</v>
          </cell>
          <cell r="B784">
            <v>2</v>
          </cell>
          <cell r="C784">
            <v>495</v>
          </cell>
          <cell r="D784">
            <v>68</v>
          </cell>
          <cell r="E784" t="str">
            <v xml:space="preserve">    </v>
          </cell>
          <cell r="F784" t="str">
            <v xml:space="preserve">   </v>
          </cell>
          <cell r="G784">
            <v>1249568</v>
          </cell>
          <cell r="H784">
            <v>23795.34</v>
          </cell>
          <cell r="I784">
            <v>0</v>
          </cell>
          <cell r="J784">
            <v>23795.34</v>
          </cell>
          <cell r="K784">
            <v>0</v>
          </cell>
          <cell r="L784">
            <v>0</v>
          </cell>
        </row>
        <row r="785">
          <cell r="A785">
            <v>2</v>
          </cell>
          <cell r="B785">
            <v>2</v>
          </cell>
          <cell r="C785">
            <v>495</v>
          </cell>
          <cell r="D785">
            <v>68</v>
          </cell>
          <cell r="E785" t="str">
            <v xml:space="preserve">    </v>
          </cell>
          <cell r="F785" t="str">
            <v xml:space="preserve">   </v>
          </cell>
          <cell r="G785">
            <v>2249568</v>
          </cell>
          <cell r="H785">
            <v>266361.73</v>
          </cell>
          <cell r="I785">
            <v>0</v>
          </cell>
          <cell r="J785">
            <v>266361.73</v>
          </cell>
          <cell r="K785">
            <v>0</v>
          </cell>
          <cell r="L785">
            <v>0</v>
          </cell>
        </row>
        <row r="786">
          <cell r="A786">
            <v>1</v>
          </cell>
          <cell r="B786">
            <v>2</v>
          </cell>
          <cell r="C786">
            <v>804</v>
          </cell>
          <cell r="D786">
            <v>5</v>
          </cell>
          <cell r="E786" t="str">
            <v xml:space="preserve">    </v>
          </cell>
          <cell r="F786" t="str">
            <v xml:space="preserve">   </v>
          </cell>
          <cell r="G786">
            <v>1280405</v>
          </cell>
          <cell r="H786">
            <v>102735.45</v>
          </cell>
          <cell r="I786">
            <v>0</v>
          </cell>
          <cell r="J786">
            <v>43735.45</v>
          </cell>
          <cell r="K786">
            <v>59000</v>
          </cell>
          <cell r="L786">
            <v>0</v>
          </cell>
        </row>
        <row r="787">
          <cell r="A787">
            <v>2</v>
          </cell>
          <cell r="B787">
            <v>2</v>
          </cell>
          <cell r="C787">
            <v>804</v>
          </cell>
          <cell r="D787">
            <v>5</v>
          </cell>
          <cell r="E787" t="str">
            <v xml:space="preserve">    </v>
          </cell>
          <cell r="F787" t="str">
            <v xml:space="preserve">   </v>
          </cell>
          <cell r="G787">
            <v>2280405</v>
          </cell>
          <cell r="H787">
            <v>1245079.3899999999</v>
          </cell>
          <cell r="I787">
            <v>0</v>
          </cell>
          <cell r="J787">
            <v>536221.99</v>
          </cell>
          <cell r="K787">
            <v>708857.4</v>
          </cell>
          <cell r="L787">
            <v>0</v>
          </cell>
        </row>
        <row r="788">
          <cell r="A788">
            <v>1</v>
          </cell>
          <cell r="B788">
            <v>2</v>
          </cell>
          <cell r="C788">
            <v>804</v>
          </cell>
          <cell r="D788">
            <v>6</v>
          </cell>
          <cell r="E788" t="str">
            <v xml:space="preserve">    </v>
          </cell>
          <cell r="F788" t="str">
            <v xml:space="preserve">   </v>
          </cell>
          <cell r="G788">
            <v>1280406</v>
          </cell>
          <cell r="H788">
            <v>915984.4</v>
          </cell>
          <cell r="I788">
            <v>0</v>
          </cell>
          <cell r="J788">
            <v>641887.65</v>
          </cell>
          <cell r="K788">
            <v>274096.75</v>
          </cell>
          <cell r="L788">
            <v>0</v>
          </cell>
        </row>
        <row r="789">
          <cell r="A789">
            <v>2</v>
          </cell>
          <cell r="B789">
            <v>2</v>
          </cell>
          <cell r="C789">
            <v>804</v>
          </cell>
          <cell r="D789">
            <v>6</v>
          </cell>
          <cell r="E789" t="str">
            <v xml:space="preserve">    </v>
          </cell>
          <cell r="F789" t="str">
            <v xml:space="preserve">   </v>
          </cell>
          <cell r="G789">
            <v>2280406</v>
          </cell>
          <cell r="H789">
            <v>14443527.49</v>
          </cell>
          <cell r="I789">
            <v>0</v>
          </cell>
          <cell r="J789">
            <v>11770285.039999999</v>
          </cell>
          <cell r="K789">
            <v>2673242.4500000002</v>
          </cell>
          <cell r="L789">
            <v>0</v>
          </cell>
        </row>
        <row r="790">
          <cell r="A790">
            <v>1</v>
          </cell>
          <cell r="B790">
            <v>2</v>
          </cell>
          <cell r="C790">
            <v>804</v>
          </cell>
          <cell r="D790">
            <v>7</v>
          </cell>
          <cell r="E790" t="str">
            <v xml:space="preserve">    </v>
          </cell>
          <cell r="F790" t="str">
            <v xml:space="preserve">   </v>
          </cell>
          <cell r="G790">
            <v>1280407</v>
          </cell>
          <cell r="H790">
            <v>-377069.46</v>
          </cell>
          <cell r="I790">
            <v>0</v>
          </cell>
          <cell r="J790">
            <v>-378211.57</v>
          </cell>
          <cell r="K790">
            <v>1142.1099999999999</v>
          </cell>
          <cell r="L790">
            <v>0</v>
          </cell>
        </row>
        <row r="791">
          <cell r="A791">
            <v>2</v>
          </cell>
          <cell r="B791">
            <v>2</v>
          </cell>
          <cell r="C791">
            <v>804</v>
          </cell>
          <cell r="D791">
            <v>7</v>
          </cell>
          <cell r="E791" t="str">
            <v xml:space="preserve">    </v>
          </cell>
          <cell r="F791" t="str">
            <v xml:space="preserve">   </v>
          </cell>
          <cell r="G791">
            <v>2280407</v>
          </cell>
          <cell r="H791">
            <v>-3990997.61</v>
          </cell>
          <cell r="I791">
            <v>0</v>
          </cell>
          <cell r="J791">
            <v>-3904094.98</v>
          </cell>
          <cell r="K791">
            <v>-86902.63</v>
          </cell>
          <cell r="L791">
            <v>0</v>
          </cell>
        </row>
        <row r="792">
          <cell r="A792">
            <v>1</v>
          </cell>
          <cell r="B792">
            <v>2</v>
          </cell>
          <cell r="C792">
            <v>804</v>
          </cell>
          <cell r="D792">
            <v>15</v>
          </cell>
          <cell r="E792" t="str">
            <v xml:space="preserve">    </v>
          </cell>
          <cell r="F792" t="str">
            <v xml:space="preserve">   </v>
          </cell>
          <cell r="G792">
            <v>1280415</v>
          </cell>
          <cell r="H792">
            <v>72858.27</v>
          </cell>
          <cell r="I792">
            <v>0</v>
          </cell>
          <cell r="J792">
            <v>57361.03</v>
          </cell>
          <cell r="K792">
            <v>15497.24</v>
          </cell>
          <cell r="L792">
            <v>0</v>
          </cell>
        </row>
        <row r="793">
          <cell r="A793">
            <v>2</v>
          </cell>
          <cell r="B793">
            <v>2</v>
          </cell>
          <cell r="C793">
            <v>804</v>
          </cell>
          <cell r="D793">
            <v>15</v>
          </cell>
          <cell r="E793" t="str">
            <v xml:space="preserve">    </v>
          </cell>
          <cell r="F793" t="str">
            <v xml:space="preserve">   </v>
          </cell>
          <cell r="G793">
            <v>2280415</v>
          </cell>
          <cell r="H793">
            <v>415651.7</v>
          </cell>
          <cell r="I793">
            <v>0</v>
          </cell>
          <cell r="J793">
            <v>313535.87</v>
          </cell>
          <cell r="K793">
            <v>102115.83</v>
          </cell>
          <cell r="L793">
            <v>0</v>
          </cell>
        </row>
        <row r="794">
          <cell r="A794">
            <v>1</v>
          </cell>
          <cell r="B794">
            <v>2</v>
          </cell>
          <cell r="C794">
            <v>804</v>
          </cell>
          <cell r="D794">
            <v>25</v>
          </cell>
          <cell r="E794" t="str">
            <v xml:space="preserve">    </v>
          </cell>
          <cell r="F794" t="str">
            <v xml:space="preserve">   </v>
          </cell>
          <cell r="G794">
            <v>1280425</v>
          </cell>
          <cell r="H794">
            <v>0</v>
          </cell>
          <cell r="I794">
            <v>0</v>
          </cell>
          <cell r="J794">
            <v>0</v>
          </cell>
          <cell r="K794">
            <v>0</v>
          </cell>
          <cell r="L794">
            <v>0</v>
          </cell>
        </row>
        <row r="795">
          <cell r="A795">
            <v>2</v>
          </cell>
          <cell r="B795">
            <v>2</v>
          </cell>
          <cell r="C795">
            <v>804</v>
          </cell>
          <cell r="D795">
            <v>25</v>
          </cell>
          <cell r="E795" t="str">
            <v xml:space="preserve">    </v>
          </cell>
          <cell r="F795" t="str">
            <v xml:space="preserve">   </v>
          </cell>
          <cell r="G795">
            <v>2280425</v>
          </cell>
          <cell r="H795">
            <v>-624453.43000000005</v>
          </cell>
          <cell r="I795">
            <v>0</v>
          </cell>
          <cell r="J795">
            <v>-514550.18</v>
          </cell>
          <cell r="K795">
            <v>-109903.25</v>
          </cell>
          <cell r="L795">
            <v>0</v>
          </cell>
        </row>
        <row r="796">
          <cell r="A796">
            <v>1</v>
          </cell>
          <cell r="B796">
            <v>2</v>
          </cell>
          <cell r="C796">
            <v>804</v>
          </cell>
          <cell r="D796">
            <v>45</v>
          </cell>
          <cell r="E796" t="str">
            <v xml:space="preserve">    </v>
          </cell>
          <cell r="F796" t="str">
            <v xml:space="preserve">   </v>
          </cell>
          <cell r="G796">
            <v>1280445</v>
          </cell>
          <cell r="H796">
            <v>-42141</v>
          </cell>
          <cell r="I796">
            <v>0</v>
          </cell>
          <cell r="J796">
            <v>-18994</v>
          </cell>
          <cell r="K796">
            <v>-23147</v>
          </cell>
          <cell r="L796">
            <v>0</v>
          </cell>
        </row>
        <row r="797">
          <cell r="A797">
            <v>2</v>
          </cell>
          <cell r="B797">
            <v>2</v>
          </cell>
          <cell r="C797">
            <v>804</v>
          </cell>
          <cell r="D797">
            <v>45</v>
          </cell>
          <cell r="E797" t="str">
            <v xml:space="preserve">    </v>
          </cell>
          <cell r="F797" t="str">
            <v xml:space="preserve">   </v>
          </cell>
          <cell r="G797">
            <v>2280445</v>
          </cell>
          <cell r="H797">
            <v>156234</v>
          </cell>
          <cell r="I797">
            <v>0</v>
          </cell>
          <cell r="J797">
            <v>204116</v>
          </cell>
          <cell r="K797">
            <v>-47882</v>
          </cell>
          <cell r="L797">
            <v>0</v>
          </cell>
        </row>
        <row r="798">
          <cell r="A798">
            <v>1</v>
          </cell>
          <cell r="B798">
            <v>2</v>
          </cell>
          <cell r="C798">
            <v>804</v>
          </cell>
          <cell r="D798">
            <v>51</v>
          </cell>
          <cell r="E798" t="str">
            <v xml:space="preserve">    </v>
          </cell>
          <cell r="F798" t="str">
            <v xml:space="preserve">   </v>
          </cell>
          <cell r="G798">
            <v>1280451</v>
          </cell>
          <cell r="H798">
            <v>1802191.85</v>
          </cell>
          <cell r="I798">
            <v>0</v>
          </cell>
          <cell r="J798">
            <v>1783367.7</v>
          </cell>
          <cell r="K798">
            <v>18824.150000000001</v>
          </cell>
          <cell r="L798">
            <v>0</v>
          </cell>
        </row>
        <row r="799">
          <cell r="A799">
            <v>2</v>
          </cell>
          <cell r="B799">
            <v>2</v>
          </cell>
          <cell r="C799">
            <v>804</v>
          </cell>
          <cell r="D799">
            <v>51</v>
          </cell>
          <cell r="E799" t="str">
            <v xml:space="preserve">    </v>
          </cell>
          <cell r="F799" t="str">
            <v xml:space="preserve">   </v>
          </cell>
          <cell r="G799">
            <v>2280451</v>
          </cell>
          <cell r="H799">
            <v>7626817.3099999996</v>
          </cell>
          <cell r="I799">
            <v>0</v>
          </cell>
          <cell r="J799">
            <v>7505743.4000000004</v>
          </cell>
          <cell r="K799">
            <v>121073.91</v>
          </cell>
          <cell r="L799">
            <v>0</v>
          </cell>
        </row>
        <row r="800">
          <cell r="A800">
            <v>1</v>
          </cell>
          <cell r="B800">
            <v>2</v>
          </cell>
          <cell r="C800">
            <v>804</v>
          </cell>
          <cell r="D800">
            <v>52</v>
          </cell>
          <cell r="E800" t="str">
            <v xml:space="preserve">    </v>
          </cell>
          <cell r="F800" t="str">
            <v xml:space="preserve">   </v>
          </cell>
          <cell r="G800">
            <v>1280452</v>
          </cell>
          <cell r="H800">
            <v>1021834.91</v>
          </cell>
          <cell r="I800">
            <v>0</v>
          </cell>
          <cell r="J800">
            <v>598900.21</v>
          </cell>
          <cell r="K800">
            <v>422934.7</v>
          </cell>
          <cell r="L800">
            <v>0</v>
          </cell>
        </row>
        <row r="801">
          <cell r="A801">
            <v>2</v>
          </cell>
          <cell r="B801">
            <v>2</v>
          </cell>
          <cell r="C801">
            <v>804</v>
          </cell>
          <cell r="D801">
            <v>52</v>
          </cell>
          <cell r="E801" t="str">
            <v xml:space="preserve">    </v>
          </cell>
          <cell r="F801" t="str">
            <v xml:space="preserve">   </v>
          </cell>
          <cell r="G801">
            <v>2280452</v>
          </cell>
          <cell r="H801">
            <v>6546960.7300000004</v>
          </cell>
          <cell r="I801">
            <v>0</v>
          </cell>
          <cell r="J801">
            <v>3398130.74</v>
          </cell>
          <cell r="K801">
            <v>3148829.99</v>
          </cell>
          <cell r="L801">
            <v>0</v>
          </cell>
        </row>
        <row r="802">
          <cell r="A802">
            <v>1</v>
          </cell>
          <cell r="B802">
            <v>2</v>
          </cell>
          <cell r="C802">
            <v>804</v>
          </cell>
          <cell r="D802">
            <v>53</v>
          </cell>
          <cell r="E802" t="str">
            <v xml:space="preserve">    </v>
          </cell>
          <cell r="F802" t="str">
            <v xml:space="preserve">   </v>
          </cell>
          <cell r="G802">
            <v>1280453</v>
          </cell>
          <cell r="H802">
            <v>436861.72</v>
          </cell>
          <cell r="I802">
            <v>0</v>
          </cell>
          <cell r="J802">
            <v>306794.71999999997</v>
          </cell>
          <cell r="K802">
            <v>130067</v>
          </cell>
          <cell r="L802">
            <v>0</v>
          </cell>
        </row>
        <row r="803">
          <cell r="A803">
            <v>2</v>
          </cell>
          <cell r="B803">
            <v>2</v>
          </cell>
          <cell r="C803">
            <v>804</v>
          </cell>
          <cell r="D803">
            <v>53</v>
          </cell>
          <cell r="E803" t="str">
            <v xml:space="preserve">    </v>
          </cell>
          <cell r="F803" t="str">
            <v xml:space="preserve">   </v>
          </cell>
          <cell r="G803">
            <v>2280453</v>
          </cell>
          <cell r="H803">
            <v>2310320.7599999998</v>
          </cell>
          <cell r="I803">
            <v>0</v>
          </cell>
          <cell r="J803">
            <v>1349133.12</v>
          </cell>
          <cell r="K803">
            <v>961187.64</v>
          </cell>
          <cell r="L803">
            <v>0</v>
          </cell>
        </row>
        <row r="804">
          <cell r="A804">
            <v>1</v>
          </cell>
          <cell r="B804">
            <v>2</v>
          </cell>
          <cell r="C804">
            <v>804</v>
          </cell>
          <cell r="D804">
            <v>54</v>
          </cell>
          <cell r="E804" t="str">
            <v xml:space="preserve">    </v>
          </cell>
          <cell r="F804" t="str">
            <v xml:space="preserve">   </v>
          </cell>
          <cell r="G804">
            <v>1280454</v>
          </cell>
          <cell r="H804">
            <v>0</v>
          </cell>
          <cell r="I804">
            <v>0</v>
          </cell>
          <cell r="J804">
            <v>0</v>
          </cell>
          <cell r="K804">
            <v>0</v>
          </cell>
          <cell r="L804">
            <v>0</v>
          </cell>
        </row>
        <row r="805">
          <cell r="A805">
            <v>2</v>
          </cell>
          <cell r="B805">
            <v>2</v>
          </cell>
          <cell r="C805">
            <v>804</v>
          </cell>
          <cell r="D805">
            <v>54</v>
          </cell>
          <cell r="E805" t="str">
            <v xml:space="preserve">    </v>
          </cell>
          <cell r="F805" t="str">
            <v xml:space="preserve">   </v>
          </cell>
          <cell r="G805">
            <v>2280454</v>
          </cell>
          <cell r="H805">
            <v>471272.71</v>
          </cell>
          <cell r="I805">
            <v>0</v>
          </cell>
          <cell r="J805">
            <v>472511.71</v>
          </cell>
          <cell r="K805">
            <v>-1239</v>
          </cell>
          <cell r="L805">
            <v>0</v>
          </cell>
        </row>
        <row r="806">
          <cell r="A806">
            <v>1</v>
          </cell>
          <cell r="B806">
            <v>2</v>
          </cell>
          <cell r="C806">
            <v>804</v>
          </cell>
          <cell r="D806">
            <v>55</v>
          </cell>
          <cell r="E806" t="str">
            <v xml:space="preserve">    </v>
          </cell>
          <cell r="F806" t="str">
            <v xml:space="preserve">   </v>
          </cell>
          <cell r="G806">
            <v>1280455</v>
          </cell>
          <cell r="H806">
            <v>0</v>
          </cell>
          <cell r="I806">
            <v>0</v>
          </cell>
          <cell r="J806">
            <v>0</v>
          </cell>
          <cell r="K806">
            <v>0</v>
          </cell>
          <cell r="L806">
            <v>0</v>
          </cell>
        </row>
        <row r="807">
          <cell r="A807">
            <v>2</v>
          </cell>
          <cell r="B807">
            <v>2</v>
          </cell>
          <cell r="C807">
            <v>804</v>
          </cell>
          <cell r="D807">
            <v>55</v>
          </cell>
          <cell r="E807" t="str">
            <v xml:space="preserve">    </v>
          </cell>
          <cell r="F807" t="str">
            <v xml:space="preserve">   </v>
          </cell>
          <cell r="G807">
            <v>2280455</v>
          </cell>
          <cell r="H807">
            <v>-151.91</v>
          </cell>
          <cell r="I807">
            <v>0</v>
          </cell>
          <cell r="J807">
            <v>-151.91</v>
          </cell>
          <cell r="K807">
            <v>0</v>
          </cell>
          <cell r="L807">
            <v>0</v>
          </cell>
        </row>
        <row r="808">
          <cell r="A808">
            <v>1</v>
          </cell>
          <cell r="B808">
            <v>2</v>
          </cell>
          <cell r="C808">
            <v>804</v>
          </cell>
          <cell r="D808">
            <v>70</v>
          </cell>
          <cell r="E808" t="str">
            <v xml:space="preserve">    </v>
          </cell>
          <cell r="F808" t="str">
            <v xml:space="preserve">   </v>
          </cell>
          <cell r="G808">
            <v>1280470</v>
          </cell>
          <cell r="H808">
            <v>580640.1</v>
          </cell>
          <cell r="I808">
            <v>0</v>
          </cell>
          <cell r="J808">
            <v>580640.1</v>
          </cell>
          <cell r="K808">
            <v>0</v>
          </cell>
          <cell r="L808">
            <v>0</v>
          </cell>
        </row>
        <row r="809">
          <cell r="A809">
            <v>2</v>
          </cell>
          <cell r="B809">
            <v>2</v>
          </cell>
          <cell r="C809">
            <v>804</v>
          </cell>
          <cell r="D809">
            <v>70</v>
          </cell>
          <cell r="E809" t="str">
            <v xml:space="preserve">    </v>
          </cell>
          <cell r="F809" t="str">
            <v xml:space="preserve">   </v>
          </cell>
          <cell r="G809">
            <v>2280470</v>
          </cell>
          <cell r="H809">
            <v>8532712.75</v>
          </cell>
          <cell r="I809">
            <v>0</v>
          </cell>
          <cell r="J809">
            <v>7805774.5300000003</v>
          </cell>
          <cell r="K809">
            <v>726938.22</v>
          </cell>
          <cell r="L809">
            <v>0</v>
          </cell>
        </row>
        <row r="810">
          <cell r="A810">
            <v>1</v>
          </cell>
          <cell r="B810">
            <v>2</v>
          </cell>
          <cell r="C810">
            <v>804</v>
          </cell>
          <cell r="D810">
            <v>75</v>
          </cell>
          <cell r="E810" t="str">
            <v xml:space="preserve">    </v>
          </cell>
          <cell r="F810" t="str">
            <v xml:space="preserve">   </v>
          </cell>
          <cell r="G810">
            <v>1280475</v>
          </cell>
          <cell r="H810">
            <v>0</v>
          </cell>
          <cell r="I810">
            <v>0</v>
          </cell>
          <cell r="J810">
            <v>0</v>
          </cell>
          <cell r="K810">
            <v>0</v>
          </cell>
          <cell r="L810">
            <v>0</v>
          </cell>
        </row>
        <row r="811">
          <cell r="A811">
            <v>2</v>
          </cell>
          <cell r="B811">
            <v>2</v>
          </cell>
          <cell r="C811">
            <v>804</v>
          </cell>
          <cell r="D811">
            <v>75</v>
          </cell>
          <cell r="E811" t="str">
            <v xml:space="preserve">    </v>
          </cell>
          <cell r="F811" t="str">
            <v xml:space="preserve">   </v>
          </cell>
          <cell r="G811">
            <v>2280475</v>
          </cell>
          <cell r="H811">
            <v>246858.27</v>
          </cell>
          <cell r="I811">
            <v>0</v>
          </cell>
          <cell r="J811">
            <v>207831.54</v>
          </cell>
          <cell r="K811">
            <v>39026.730000000003</v>
          </cell>
          <cell r="L811">
            <v>0</v>
          </cell>
        </row>
        <row r="812">
          <cell r="A812">
            <v>1</v>
          </cell>
          <cell r="B812">
            <v>2</v>
          </cell>
          <cell r="C812">
            <v>805</v>
          </cell>
          <cell r="D812">
            <v>11</v>
          </cell>
          <cell r="E812" t="str">
            <v xml:space="preserve">    </v>
          </cell>
          <cell r="F812" t="str">
            <v xml:space="preserve">   </v>
          </cell>
          <cell r="G812">
            <v>1280511</v>
          </cell>
          <cell r="H812">
            <v>-58633.57</v>
          </cell>
          <cell r="I812">
            <v>0</v>
          </cell>
          <cell r="J812">
            <v>-58633.57</v>
          </cell>
          <cell r="K812">
            <v>0</v>
          </cell>
          <cell r="L812">
            <v>0</v>
          </cell>
        </row>
        <row r="813">
          <cell r="A813">
            <v>2</v>
          </cell>
          <cell r="B813">
            <v>2</v>
          </cell>
          <cell r="C813">
            <v>805</v>
          </cell>
          <cell r="D813">
            <v>11</v>
          </cell>
          <cell r="E813" t="str">
            <v xml:space="preserve">    </v>
          </cell>
          <cell r="F813" t="str">
            <v xml:space="preserve">   </v>
          </cell>
          <cell r="G813">
            <v>2280511</v>
          </cell>
          <cell r="H813">
            <v>-743104.51</v>
          </cell>
          <cell r="I813">
            <v>0</v>
          </cell>
          <cell r="J813">
            <v>-743104.51</v>
          </cell>
          <cell r="K813">
            <v>0</v>
          </cell>
          <cell r="L813">
            <v>0</v>
          </cell>
        </row>
        <row r="814">
          <cell r="A814">
            <v>1</v>
          </cell>
          <cell r="B814">
            <v>2</v>
          </cell>
          <cell r="C814">
            <v>805</v>
          </cell>
          <cell r="D814">
            <v>12</v>
          </cell>
          <cell r="E814" t="str">
            <v xml:space="preserve">    </v>
          </cell>
          <cell r="F814" t="str">
            <v xml:space="preserve">   </v>
          </cell>
          <cell r="G814">
            <v>1280512</v>
          </cell>
          <cell r="H814">
            <v>744129.16</v>
          </cell>
          <cell r="I814">
            <v>0</v>
          </cell>
          <cell r="J814">
            <v>744129.16</v>
          </cell>
          <cell r="K814">
            <v>0</v>
          </cell>
          <cell r="L814">
            <v>0</v>
          </cell>
        </row>
        <row r="815">
          <cell r="A815">
            <v>2</v>
          </cell>
          <cell r="B815">
            <v>2</v>
          </cell>
          <cell r="C815">
            <v>805</v>
          </cell>
          <cell r="D815">
            <v>12</v>
          </cell>
          <cell r="E815" t="str">
            <v xml:space="preserve">    </v>
          </cell>
          <cell r="F815" t="str">
            <v xml:space="preserve">   </v>
          </cell>
          <cell r="G815">
            <v>2280512</v>
          </cell>
          <cell r="H815">
            <v>3258729.18</v>
          </cell>
          <cell r="I815">
            <v>0</v>
          </cell>
          <cell r="J815">
            <v>3258729.18</v>
          </cell>
          <cell r="K815">
            <v>0</v>
          </cell>
          <cell r="L815">
            <v>0</v>
          </cell>
        </row>
        <row r="816">
          <cell r="A816">
            <v>1</v>
          </cell>
          <cell r="B816">
            <v>2</v>
          </cell>
          <cell r="C816">
            <v>805</v>
          </cell>
          <cell r="D816">
            <v>27</v>
          </cell>
          <cell r="E816" t="str">
            <v xml:space="preserve">    </v>
          </cell>
          <cell r="F816" t="str">
            <v xml:space="preserve">   </v>
          </cell>
          <cell r="G816">
            <v>1280527</v>
          </cell>
          <cell r="H816">
            <v>16618.8</v>
          </cell>
          <cell r="I816">
            <v>0</v>
          </cell>
          <cell r="J816">
            <v>16618.8</v>
          </cell>
          <cell r="K816">
            <v>0</v>
          </cell>
          <cell r="L816">
            <v>0</v>
          </cell>
        </row>
        <row r="817">
          <cell r="A817">
            <v>2</v>
          </cell>
          <cell r="B817">
            <v>2</v>
          </cell>
          <cell r="C817">
            <v>805</v>
          </cell>
          <cell r="D817">
            <v>27</v>
          </cell>
          <cell r="E817" t="str">
            <v xml:space="preserve">    </v>
          </cell>
          <cell r="F817" t="str">
            <v xml:space="preserve">   </v>
          </cell>
          <cell r="G817">
            <v>2280527</v>
          </cell>
          <cell r="H817">
            <v>109779.47</v>
          </cell>
          <cell r="I817">
            <v>0</v>
          </cell>
          <cell r="J817">
            <v>109779.47</v>
          </cell>
          <cell r="K817">
            <v>0</v>
          </cell>
          <cell r="L817">
            <v>0</v>
          </cell>
        </row>
        <row r="818">
          <cell r="A818">
            <v>1</v>
          </cell>
          <cell r="B818">
            <v>2</v>
          </cell>
          <cell r="C818">
            <v>805</v>
          </cell>
          <cell r="D818">
            <v>30</v>
          </cell>
          <cell r="E818" t="str">
            <v xml:space="preserve">    </v>
          </cell>
          <cell r="F818" t="str">
            <v xml:space="preserve">   </v>
          </cell>
          <cell r="G818">
            <v>1280530</v>
          </cell>
          <cell r="H818">
            <v>2607.23</v>
          </cell>
          <cell r="I818">
            <v>0</v>
          </cell>
          <cell r="J818">
            <v>2607.23</v>
          </cell>
          <cell r="K818">
            <v>0</v>
          </cell>
          <cell r="L818">
            <v>0</v>
          </cell>
        </row>
        <row r="819">
          <cell r="A819">
            <v>2</v>
          </cell>
          <cell r="B819">
            <v>2</v>
          </cell>
          <cell r="C819">
            <v>805</v>
          </cell>
          <cell r="D819">
            <v>30</v>
          </cell>
          <cell r="E819" t="str">
            <v xml:space="preserve">    </v>
          </cell>
          <cell r="F819" t="str">
            <v xml:space="preserve">   </v>
          </cell>
          <cell r="G819">
            <v>2280530</v>
          </cell>
          <cell r="H819">
            <v>8501.4</v>
          </cell>
          <cell r="I819">
            <v>0</v>
          </cell>
          <cell r="J819">
            <v>8501.4</v>
          </cell>
          <cell r="K819">
            <v>0</v>
          </cell>
          <cell r="L819">
            <v>0</v>
          </cell>
        </row>
        <row r="820">
          <cell r="A820">
            <v>1</v>
          </cell>
          <cell r="B820">
            <v>2</v>
          </cell>
          <cell r="C820">
            <v>805</v>
          </cell>
          <cell r="D820">
            <v>99</v>
          </cell>
          <cell r="E820" t="str">
            <v xml:space="preserve">    </v>
          </cell>
          <cell r="F820" t="str">
            <v xml:space="preserve">   </v>
          </cell>
          <cell r="G820">
            <v>1280599</v>
          </cell>
          <cell r="H820">
            <v>-220087</v>
          </cell>
          <cell r="I820">
            <v>0</v>
          </cell>
          <cell r="J820">
            <v>-220087</v>
          </cell>
          <cell r="K820">
            <v>0</v>
          </cell>
          <cell r="L820">
            <v>0</v>
          </cell>
        </row>
        <row r="821">
          <cell r="A821">
            <v>2</v>
          </cell>
          <cell r="B821">
            <v>2</v>
          </cell>
          <cell r="C821">
            <v>805</v>
          </cell>
          <cell r="D821">
            <v>99</v>
          </cell>
          <cell r="E821" t="str">
            <v xml:space="preserve">    </v>
          </cell>
          <cell r="F821" t="str">
            <v xml:space="preserve">   </v>
          </cell>
          <cell r="G821">
            <v>2280599</v>
          </cell>
          <cell r="H821">
            <v>-499308.84</v>
          </cell>
          <cell r="I821">
            <v>0</v>
          </cell>
          <cell r="J821">
            <v>-499308.84</v>
          </cell>
          <cell r="K821">
            <v>0</v>
          </cell>
          <cell r="L821">
            <v>0</v>
          </cell>
        </row>
        <row r="822">
          <cell r="A822">
            <v>1</v>
          </cell>
          <cell r="B822">
            <v>2</v>
          </cell>
          <cell r="C822">
            <v>807</v>
          </cell>
          <cell r="D822">
            <v>40</v>
          </cell>
          <cell r="E822" t="str">
            <v xml:space="preserve">    </v>
          </cell>
          <cell r="F822" t="str">
            <v xml:space="preserve">   </v>
          </cell>
          <cell r="G822">
            <v>1280740</v>
          </cell>
          <cell r="H822">
            <v>8514.43</v>
          </cell>
          <cell r="I822">
            <v>8514.43</v>
          </cell>
          <cell r="J822">
            <v>0</v>
          </cell>
          <cell r="K822">
            <v>0</v>
          </cell>
          <cell r="L822">
            <v>0</v>
          </cell>
        </row>
        <row r="823">
          <cell r="A823">
            <v>2</v>
          </cell>
          <cell r="B823">
            <v>2</v>
          </cell>
          <cell r="C823">
            <v>807</v>
          </cell>
          <cell r="D823">
            <v>40</v>
          </cell>
          <cell r="E823" t="str">
            <v xml:space="preserve">    </v>
          </cell>
          <cell r="F823" t="str">
            <v xml:space="preserve">   </v>
          </cell>
          <cell r="G823">
            <v>2280740</v>
          </cell>
          <cell r="H823">
            <v>76021.52</v>
          </cell>
          <cell r="I823">
            <v>76021.52</v>
          </cell>
          <cell r="J823">
            <v>0</v>
          </cell>
          <cell r="K823">
            <v>0</v>
          </cell>
          <cell r="L823">
            <v>0</v>
          </cell>
        </row>
        <row r="824">
          <cell r="A824">
            <v>1</v>
          </cell>
          <cell r="B824">
            <v>2</v>
          </cell>
          <cell r="C824">
            <v>808</v>
          </cell>
          <cell r="D824">
            <v>10</v>
          </cell>
          <cell r="E824" t="str">
            <v xml:space="preserve">    </v>
          </cell>
          <cell r="F824" t="str">
            <v xml:space="preserve">   </v>
          </cell>
          <cell r="G824">
            <v>1280810</v>
          </cell>
          <cell r="H824">
            <v>43984.57</v>
          </cell>
          <cell r="I824">
            <v>0</v>
          </cell>
          <cell r="J824">
            <v>43984.57</v>
          </cell>
          <cell r="K824">
            <v>0</v>
          </cell>
          <cell r="L824">
            <v>0</v>
          </cell>
        </row>
        <row r="825">
          <cell r="A825">
            <v>2</v>
          </cell>
          <cell r="B825">
            <v>2</v>
          </cell>
          <cell r="C825">
            <v>808</v>
          </cell>
          <cell r="D825">
            <v>10</v>
          </cell>
          <cell r="E825" t="str">
            <v xml:space="preserve">    </v>
          </cell>
          <cell r="F825" t="str">
            <v xml:space="preserve">   </v>
          </cell>
          <cell r="G825">
            <v>2280810</v>
          </cell>
          <cell r="H825">
            <v>147652.06</v>
          </cell>
          <cell r="I825">
            <v>0</v>
          </cell>
          <cell r="J825">
            <v>147652.06</v>
          </cell>
          <cell r="K825">
            <v>0</v>
          </cell>
          <cell r="L825">
            <v>0</v>
          </cell>
        </row>
        <row r="826">
          <cell r="A826">
            <v>1</v>
          </cell>
          <cell r="B826">
            <v>2</v>
          </cell>
          <cell r="C826">
            <v>808</v>
          </cell>
          <cell r="D826">
            <v>20</v>
          </cell>
          <cell r="E826" t="str">
            <v xml:space="preserve">    </v>
          </cell>
          <cell r="F826" t="str">
            <v xml:space="preserve">   </v>
          </cell>
          <cell r="G826">
            <v>1280820</v>
          </cell>
          <cell r="H826">
            <v>-1834.7</v>
          </cell>
          <cell r="I826">
            <v>0</v>
          </cell>
          <cell r="J826">
            <v>-1834.7</v>
          </cell>
          <cell r="K826">
            <v>0</v>
          </cell>
          <cell r="L826">
            <v>0</v>
          </cell>
        </row>
        <row r="827">
          <cell r="A827">
            <v>2</v>
          </cell>
          <cell r="B827">
            <v>2</v>
          </cell>
          <cell r="C827">
            <v>808</v>
          </cell>
          <cell r="D827">
            <v>20</v>
          </cell>
          <cell r="E827" t="str">
            <v xml:space="preserve">    </v>
          </cell>
          <cell r="F827" t="str">
            <v xml:space="preserve">   </v>
          </cell>
          <cell r="G827">
            <v>2280820</v>
          </cell>
          <cell r="H827">
            <v>-118473.82</v>
          </cell>
          <cell r="I827">
            <v>0</v>
          </cell>
          <cell r="J827">
            <v>-118473.82</v>
          </cell>
          <cell r="K827">
            <v>0</v>
          </cell>
          <cell r="L827">
            <v>0</v>
          </cell>
        </row>
        <row r="828">
          <cell r="A828">
            <v>1</v>
          </cell>
          <cell r="B828">
            <v>2</v>
          </cell>
          <cell r="C828">
            <v>808</v>
          </cell>
          <cell r="D828">
            <v>32</v>
          </cell>
          <cell r="E828" t="str">
            <v xml:space="preserve">    </v>
          </cell>
          <cell r="F828" t="str">
            <v xml:space="preserve">   </v>
          </cell>
          <cell r="G828">
            <v>1280832</v>
          </cell>
          <cell r="H828">
            <v>0</v>
          </cell>
          <cell r="I828">
            <v>0</v>
          </cell>
          <cell r="J828">
            <v>0</v>
          </cell>
          <cell r="K828">
            <v>0</v>
          </cell>
          <cell r="L828">
            <v>0</v>
          </cell>
        </row>
        <row r="829">
          <cell r="A829">
            <v>2</v>
          </cell>
          <cell r="B829">
            <v>2</v>
          </cell>
          <cell r="C829">
            <v>808</v>
          </cell>
          <cell r="D829">
            <v>32</v>
          </cell>
          <cell r="E829" t="str">
            <v xml:space="preserve">    </v>
          </cell>
          <cell r="F829" t="str">
            <v xml:space="preserve">   </v>
          </cell>
          <cell r="G829">
            <v>2280832</v>
          </cell>
          <cell r="H829">
            <v>-227161.33</v>
          </cell>
          <cell r="I829">
            <v>0</v>
          </cell>
          <cell r="J829">
            <v>-52627.53</v>
          </cell>
          <cell r="K829">
            <v>-174533.8</v>
          </cell>
          <cell r="L829">
            <v>0</v>
          </cell>
        </row>
        <row r="830">
          <cell r="A830">
            <v>1</v>
          </cell>
          <cell r="B830">
            <v>2</v>
          </cell>
          <cell r="C830">
            <v>808</v>
          </cell>
          <cell r="D830">
            <v>33</v>
          </cell>
          <cell r="E830" t="str">
            <v xml:space="preserve">    </v>
          </cell>
          <cell r="F830" t="str">
            <v xml:space="preserve">   </v>
          </cell>
          <cell r="G830">
            <v>1280833</v>
          </cell>
          <cell r="H830">
            <v>271856.74</v>
          </cell>
          <cell r="I830">
            <v>0</v>
          </cell>
          <cell r="J830">
            <v>166418.23999999999</v>
          </cell>
          <cell r="K830">
            <v>105438.5</v>
          </cell>
          <cell r="L830">
            <v>0</v>
          </cell>
        </row>
        <row r="831">
          <cell r="A831">
            <v>2</v>
          </cell>
          <cell r="B831">
            <v>2</v>
          </cell>
          <cell r="C831">
            <v>808</v>
          </cell>
          <cell r="D831">
            <v>33</v>
          </cell>
          <cell r="E831" t="str">
            <v xml:space="preserve">    </v>
          </cell>
          <cell r="F831" t="str">
            <v xml:space="preserve">   </v>
          </cell>
          <cell r="G831">
            <v>2280833</v>
          </cell>
          <cell r="H831">
            <v>369028.67</v>
          </cell>
          <cell r="I831">
            <v>0</v>
          </cell>
          <cell r="J831">
            <v>166418.23999999999</v>
          </cell>
          <cell r="K831">
            <v>202610.43</v>
          </cell>
          <cell r="L831">
            <v>0</v>
          </cell>
        </row>
        <row r="832">
          <cell r="A832">
            <v>1</v>
          </cell>
          <cell r="B832">
            <v>2</v>
          </cell>
          <cell r="C832">
            <v>903</v>
          </cell>
          <cell r="D832">
            <v>10</v>
          </cell>
          <cell r="E832" t="str">
            <v xml:space="preserve">    </v>
          </cell>
          <cell r="F832" t="str">
            <v xml:space="preserve">   </v>
          </cell>
          <cell r="G832">
            <v>1290310</v>
          </cell>
          <cell r="H832">
            <v>65125.440000000002</v>
          </cell>
          <cell r="I832">
            <v>56169.69</v>
          </cell>
          <cell r="J832">
            <v>8339.65</v>
          </cell>
          <cell r="K832">
            <v>616.1</v>
          </cell>
          <cell r="L832">
            <v>0</v>
          </cell>
        </row>
        <row r="833">
          <cell r="A833">
            <v>2</v>
          </cell>
          <cell r="B833">
            <v>2</v>
          </cell>
          <cell r="C833">
            <v>903</v>
          </cell>
          <cell r="D833">
            <v>10</v>
          </cell>
          <cell r="E833" t="str">
            <v xml:space="preserve">    </v>
          </cell>
          <cell r="F833" t="str">
            <v xml:space="preserve">   </v>
          </cell>
          <cell r="G833">
            <v>2290310</v>
          </cell>
          <cell r="H833">
            <v>727872.95</v>
          </cell>
          <cell r="I833">
            <v>618495.91</v>
          </cell>
          <cell r="J833">
            <v>96404.51</v>
          </cell>
          <cell r="K833">
            <v>12972.53</v>
          </cell>
          <cell r="L833">
            <v>0</v>
          </cell>
        </row>
        <row r="834">
          <cell r="A834">
            <v>1</v>
          </cell>
          <cell r="B834">
            <v>2</v>
          </cell>
          <cell r="C834">
            <v>903</v>
          </cell>
          <cell r="D834">
            <v>20</v>
          </cell>
          <cell r="E834" t="str">
            <v xml:space="preserve">    </v>
          </cell>
          <cell r="F834" t="str">
            <v xml:space="preserve">   </v>
          </cell>
          <cell r="G834">
            <v>1290320</v>
          </cell>
          <cell r="H834">
            <v>24926.87</v>
          </cell>
          <cell r="I834">
            <v>6072.17</v>
          </cell>
          <cell r="J834">
            <v>18201.62</v>
          </cell>
          <cell r="K834">
            <v>653.08000000000004</v>
          </cell>
          <cell r="L834">
            <v>0</v>
          </cell>
        </row>
        <row r="835">
          <cell r="A835">
            <v>2</v>
          </cell>
          <cell r="B835">
            <v>2</v>
          </cell>
          <cell r="C835">
            <v>903</v>
          </cell>
          <cell r="D835">
            <v>20</v>
          </cell>
          <cell r="E835" t="str">
            <v xml:space="preserve">    </v>
          </cell>
          <cell r="F835" t="str">
            <v xml:space="preserve">   </v>
          </cell>
          <cell r="G835">
            <v>2290320</v>
          </cell>
          <cell r="H835">
            <v>238388.5</v>
          </cell>
          <cell r="I835">
            <v>90866.99</v>
          </cell>
          <cell r="J835">
            <v>146890.43</v>
          </cell>
          <cell r="K835">
            <v>631.08000000000004</v>
          </cell>
          <cell r="L835">
            <v>0</v>
          </cell>
        </row>
        <row r="836">
          <cell r="A836">
            <v>1</v>
          </cell>
          <cell r="B836">
            <v>2</v>
          </cell>
          <cell r="C836">
            <v>903</v>
          </cell>
          <cell r="D836">
            <v>21</v>
          </cell>
          <cell r="E836" t="str">
            <v xml:space="preserve">    </v>
          </cell>
          <cell r="F836" t="str">
            <v xml:space="preserve">   </v>
          </cell>
          <cell r="G836">
            <v>1290321</v>
          </cell>
          <cell r="H836">
            <v>5900.6</v>
          </cell>
          <cell r="I836">
            <v>0</v>
          </cell>
          <cell r="J836">
            <v>5533.69</v>
          </cell>
          <cell r="K836">
            <v>366.91</v>
          </cell>
          <cell r="L836">
            <v>0</v>
          </cell>
        </row>
        <row r="837">
          <cell r="A837">
            <v>2</v>
          </cell>
          <cell r="B837">
            <v>2</v>
          </cell>
          <cell r="C837">
            <v>903</v>
          </cell>
          <cell r="D837">
            <v>21</v>
          </cell>
          <cell r="E837" t="str">
            <v xml:space="preserve">    </v>
          </cell>
          <cell r="F837" t="str">
            <v xml:space="preserve">   </v>
          </cell>
          <cell r="G837">
            <v>2290321</v>
          </cell>
          <cell r="H837">
            <v>53385.34</v>
          </cell>
          <cell r="I837">
            <v>3719.92</v>
          </cell>
          <cell r="J837">
            <v>40732.769999999997</v>
          </cell>
          <cell r="K837">
            <v>8932.65</v>
          </cell>
          <cell r="L837">
            <v>0</v>
          </cell>
        </row>
        <row r="838">
          <cell r="A838">
            <v>1</v>
          </cell>
          <cell r="B838">
            <v>2</v>
          </cell>
          <cell r="C838">
            <v>903</v>
          </cell>
          <cell r="D838">
            <v>25</v>
          </cell>
          <cell r="E838" t="str">
            <v xml:space="preserve">    </v>
          </cell>
          <cell r="F838" t="str">
            <v xml:space="preserve">   </v>
          </cell>
          <cell r="G838">
            <v>1290325</v>
          </cell>
          <cell r="H838">
            <v>1697.31</v>
          </cell>
          <cell r="I838">
            <v>1697.31</v>
          </cell>
          <cell r="J838">
            <v>0</v>
          </cell>
          <cell r="K838">
            <v>0</v>
          </cell>
          <cell r="L838">
            <v>0</v>
          </cell>
        </row>
        <row r="839">
          <cell r="A839">
            <v>2</v>
          </cell>
          <cell r="B839">
            <v>2</v>
          </cell>
          <cell r="C839">
            <v>903</v>
          </cell>
          <cell r="D839">
            <v>25</v>
          </cell>
          <cell r="E839" t="str">
            <v xml:space="preserve">    </v>
          </cell>
          <cell r="F839" t="str">
            <v xml:space="preserve">   </v>
          </cell>
          <cell r="G839">
            <v>2290325</v>
          </cell>
          <cell r="H839">
            <v>27101.45</v>
          </cell>
          <cell r="I839">
            <v>27101.45</v>
          </cell>
          <cell r="J839">
            <v>0</v>
          </cell>
          <cell r="K839">
            <v>0</v>
          </cell>
          <cell r="L839">
            <v>0</v>
          </cell>
        </row>
        <row r="840">
          <cell r="A840">
            <v>1</v>
          </cell>
          <cell r="B840">
            <v>2</v>
          </cell>
          <cell r="C840">
            <v>903</v>
          </cell>
          <cell r="D840">
            <v>27</v>
          </cell>
          <cell r="E840" t="str">
            <v xml:space="preserve">    </v>
          </cell>
          <cell r="F840" t="str">
            <v xml:space="preserve">   </v>
          </cell>
          <cell r="G840">
            <v>1290327</v>
          </cell>
          <cell r="H840">
            <v>219.61</v>
          </cell>
          <cell r="I840">
            <v>219.61</v>
          </cell>
          <cell r="J840">
            <v>0</v>
          </cell>
          <cell r="K840">
            <v>0</v>
          </cell>
          <cell r="L840">
            <v>0</v>
          </cell>
        </row>
        <row r="841">
          <cell r="A841">
            <v>2</v>
          </cell>
          <cell r="B841">
            <v>2</v>
          </cell>
          <cell r="C841">
            <v>903</v>
          </cell>
          <cell r="D841">
            <v>27</v>
          </cell>
          <cell r="E841" t="str">
            <v xml:space="preserve">    </v>
          </cell>
          <cell r="F841" t="str">
            <v xml:space="preserve">   </v>
          </cell>
          <cell r="G841">
            <v>2290327</v>
          </cell>
          <cell r="H841">
            <v>2574.66</v>
          </cell>
          <cell r="I841">
            <v>2574.66</v>
          </cell>
          <cell r="J841">
            <v>0</v>
          </cell>
          <cell r="K841">
            <v>0</v>
          </cell>
          <cell r="L841">
            <v>0</v>
          </cell>
        </row>
        <row r="842">
          <cell r="A842">
            <v>1</v>
          </cell>
          <cell r="B842">
            <v>2</v>
          </cell>
          <cell r="C842">
            <v>903</v>
          </cell>
          <cell r="D842">
            <v>30</v>
          </cell>
          <cell r="E842" t="str">
            <v xml:space="preserve">    </v>
          </cell>
          <cell r="F842" t="str">
            <v xml:space="preserve">   </v>
          </cell>
          <cell r="G842">
            <v>1290330</v>
          </cell>
          <cell r="H842">
            <v>26003.17</v>
          </cell>
          <cell r="I842">
            <v>24580.39</v>
          </cell>
          <cell r="J842">
            <v>1422.78</v>
          </cell>
          <cell r="K842">
            <v>0</v>
          </cell>
          <cell r="L842">
            <v>0</v>
          </cell>
        </row>
        <row r="843">
          <cell r="A843">
            <v>2</v>
          </cell>
          <cell r="B843">
            <v>2</v>
          </cell>
          <cell r="C843">
            <v>903</v>
          </cell>
          <cell r="D843">
            <v>30</v>
          </cell>
          <cell r="E843" t="str">
            <v xml:space="preserve">    </v>
          </cell>
          <cell r="F843" t="str">
            <v xml:space="preserve">   </v>
          </cell>
          <cell r="G843">
            <v>2290330</v>
          </cell>
          <cell r="H843">
            <v>317500.73</v>
          </cell>
          <cell r="I843">
            <v>302526.18</v>
          </cell>
          <cell r="J843">
            <v>14974.55</v>
          </cell>
          <cell r="K843">
            <v>0</v>
          </cell>
          <cell r="L843">
            <v>0</v>
          </cell>
        </row>
        <row r="844">
          <cell r="A844">
            <v>1</v>
          </cell>
          <cell r="B844">
            <v>2</v>
          </cell>
          <cell r="C844">
            <v>903</v>
          </cell>
          <cell r="D844">
            <v>39</v>
          </cell>
          <cell r="E844" t="str">
            <v xml:space="preserve">    </v>
          </cell>
          <cell r="F844" t="str">
            <v xml:space="preserve">   </v>
          </cell>
          <cell r="G844">
            <v>1290339</v>
          </cell>
          <cell r="H844">
            <v>-302.44</v>
          </cell>
          <cell r="I844">
            <v>0</v>
          </cell>
          <cell r="J844">
            <v>-302.44</v>
          </cell>
          <cell r="K844">
            <v>0</v>
          </cell>
          <cell r="L844">
            <v>0</v>
          </cell>
        </row>
        <row r="845">
          <cell r="A845">
            <v>2</v>
          </cell>
          <cell r="B845">
            <v>2</v>
          </cell>
          <cell r="C845">
            <v>903</v>
          </cell>
          <cell r="D845">
            <v>39</v>
          </cell>
          <cell r="E845" t="str">
            <v xml:space="preserve">    </v>
          </cell>
          <cell r="F845" t="str">
            <v xml:space="preserve">   </v>
          </cell>
          <cell r="G845">
            <v>2290339</v>
          </cell>
          <cell r="H845">
            <v>-497.36</v>
          </cell>
          <cell r="I845">
            <v>0</v>
          </cell>
          <cell r="J845">
            <v>-497.36</v>
          </cell>
          <cell r="K845">
            <v>0</v>
          </cell>
          <cell r="L845">
            <v>0</v>
          </cell>
        </row>
        <row r="846">
          <cell r="A846">
            <v>1</v>
          </cell>
          <cell r="B846">
            <v>2</v>
          </cell>
          <cell r="C846">
            <v>903</v>
          </cell>
          <cell r="D846">
            <v>92</v>
          </cell>
          <cell r="E846" t="str">
            <v xml:space="preserve">    </v>
          </cell>
          <cell r="F846" t="str">
            <v xml:space="preserve">   </v>
          </cell>
          <cell r="G846">
            <v>1290392</v>
          </cell>
          <cell r="H846">
            <v>984.88</v>
          </cell>
          <cell r="I846">
            <v>984.88</v>
          </cell>
          <cell r="J846">
            <v>0</v>
          </cell>
          <cell r="K846">
            <v>0</v>
          </cell>
          <cell r="L846">
            <v>0</v>
          </cell>
        </row>
        <row r="847">
          <cell r="A847">
            <v>2</v>
          </cell>
          <cell r="B847">
            <v>2</v>
          </cell>
          <cell r="C847">
            <v>903</v>
          </cell>
          <cell r="D847">
            <v>92</v>
          </cell>
          <cell r="E847" t="str">
            <v xml:space="preserve">    </v>
          </cell>
          <cell r="F847" t="str">
            <v xml:space="preserve">   </v>
          </cell>
          <cell r="G847">
            <v>2290392</v>
          </cell>
          <cell r="H847">
            <v>10238.35</v>
          </cell>
          <cell r="I847">
            <v>10238.35</v>
          </cell>
          <cell r="J847">
            <v>0</v>
          </cell>
          <cell r="K847">
            <v>0</v>
          </cell>
          <cell r="L847">
            <v>0</v>
          </cell>
        </row>
        <row r="848">
          <cell r="A848">
            <v>1</v>
          </cell>
          <cell r="B848">
            <v>2</v>
          </cell>
          <cell r="C848">
            <v>903</v>
          </cell>
          <cell r="D848">
            <v>93</v>
          </cell>
          <cell r="E848" t="str">
            <v xml:space="preserve">    </v>
          </cell>
          <cell r="F848" t="str">
            <v xml:space="preserve">   </v>
          </cell>
          <cell r="G848">
            <v>1290393</v>
          </cell>
          <cell r="H848">
            <v>6183.18</v>
          </cell>
          <cell r="I848">
            <v>6183.18</v>
          </cell>
          <cell r="J848">
            <v>0</v>
          </cell>
          <cell r="K848">
            <v>0</v>
          </cell>
          <cell r="L848">
            <v>0</v>
          </cell>
        </row>
        <row r="849">
          <cell r="A849">
            <v>2</v>
          </cell>
          <cell r="B849">
            <v>2</v>
          </cell>
          <cell r="C849">
            <v>903</v>
          </cell>
          <cell r="D849">
            <v>93</v>
          </cell>
          <cell r="E849" t="str">
            <v xml:space="preserve">    </v>
          </cell>
          <cell r="F849" t="str">
            <v xml:space="preserve">   </v>
          </cell>
          <cell r="G849">
            <v>2290393</v>
          </cell>
          <cell r="H849">
            <v>146400.79</v>
          </cell>
          <cell r="I849">
            <v>146400.79</v>
          </cell>
          <cell r="J849">
            <v>0</v>
          </cell>
          <cell r="K849">
            <v>0</v>
          </cell>
          <cell r="L849">
            <v>0</v>
          </cell>
        </row>
        <row r="850">
          <cell r="A850">
            <v>1</v>
          </cell>
          <cell r="B850">
            <v>2</v>
          </cell>
          <cell r="C850">
            <v>999</v>
          </cell>
          <cell r="D850">
            <v>1</v>
          </cell>
          <cell r="E850" t="str">
            <v xml:space="preserve">    </v>
          </cell>
          <cell r="F850" t="str">
            <v xml:space="preserve">   </v>
          </cell>
          <cell r="G850">
            <v>1299901</v>
          </cell>
          <cell r="H850">
            <v>-427403</v>
          </cell>
          <cell r="I850">
            <v>-26577</v>
          </cell>
          <cell r="J850">
            <v>-348814</v>
          </cell>
          <cell r="K850">
            <v>-52012</v>
          </cell>
          <cell r="L850">
            <v>0</v>
          </cell>
        </row>
        <row r="851">
          <cell r="A851">
            <v>2</v>
          </cell>
          <cell r="B851">
            <v>2</v>
          </cell>
          <cell r="C851">
            <v>999</v>
          </cell>
          <cell r="D851">
            <v>1</v>
          </cell>
          <cell r="E851" t="str">
            <v xml:space="preserve">    </v>
          </cell>
          <cell r="F851" t="str">
            <v xml:space="preserve">   </v>
          </cell>
          <cell r="G851">
            <v>2299901</v>
          </cell>
          <cell r="H851">
            <v>-5006531</v>
          </cell>
          <cell r="I851">
            <v>-426153</v>
          </cell>
          <cell r="J851">
            <v>-3916765</v>
          </cell>
          <cell r="K851">
            <v>-663613</v>
          </cell>
          <cell r="L851">
            <v>0</v>
          </cell>
        </row>
        <row r="852">
          <cell r="A852">
            <v>1</v>
          </cell>
          <cell r="B852">
            <v>2</v>
          </cell>
          <cell r="C852">
            <v>999</v>
          </cell>
          <cell r="D852">
            <v>2</v>
          </cell>
          <cell r="E852" t="str">
            <v xml:space="preserve">    </v>
          </cell>
          <cell r="F852" t="str">
            <v xml:space="preserve">   </v>
          </cell>
          <cell r="G852">
            <v>1299902</v>
          </cell>
          <cell r="H852">
            <v>-16853</v>
          </cell>
          <cell r="I852">
            <v>0</v>
          </cell>
          <cell r="J852">
            <v>-9838</v>
          </cell>
          <cell r="K852">
            <v>-7015</v>
          </cell>
          <cell r="L852">
            <v>0</v>
          </cell>
        </row>
        <row r="853">
          <cell r="A853">
            <v>2</v>
          </cell>
          <cell r="B853">
            <v>2</v>
          </cell>
          <cell r="C853">
            <v>999</v>
          </cell>
          <cell r="D853">
            <v>2</v>
          </cell>
          <cell r="E853" t="str">
            <v xml:space="preserve">    </v>
          </cell>
          <cell r="F853" t="str">
            <v xml:space="preserve">   </v>
          </cell>
          <cell r="G853">
            <v>2299902</v>
          </cell>
          <cell r="H853">
            <v>-118204</v>
          </cell>
          <cell r="I853">
            <v>0</v>
          </cell>
          <cell r="J853">
            <v>-99332</v>
          </cell>
          <cell r="K853">
            <v>-18872</v>
          </cell>
          <cell r="L853">
            <v>0</v>
          </cell>
        </row>
        <row r="854">
          <cell r="A854">
            <v>1</v>
          </cell>
          <cell r="B854">
            <v>2</v>
          </cell>
          <cell r="C854">
            <v>999</v>
          </cell>
          <cell r="D854">
            <v>3</v>
          </cell>
          <cell r="E854" t="str">
            <v xml:space="preserve">    </v>
          </cell>
          <cell r="F854" t="str">
            <v xml:space="preserve">   </v>
          </cell>
          <cell r="G854">
            <v>1299903</v>
          </cell>
          <cell r="H854">
            <v>-2980</v>
          </cell>
          <cell r="I854">
            <v>-2980</v>
          </cell>
          <cell r="J854">
            <v>0</v>
          </cell>
          <cell r="K854">
            <v>0</v>
          </cell>
          <cell r="L854">
            <v>0</v>
          </cell>
        </row>
        <row r="855">
          <cell r="A855">
            <v>2</v>
          </cell>
          <cell r="B855">
            <v>2</v>
          </cell>
          <cell r="C855">
            <v>999</v>
          </cell>
          <cell r="D855">
            <v>3</v>
          </cell>
          <cell r="E855" t="str">
            <v xml:space="preserve">    </v>
          </cell>
          <cell r="F855" t="str">
            <v xml:space="preserve">   </v>
          </cell>
          <cell r="G855">
            <v>2299903</v>
          </cell>
          <cell r="H855">
            <v>-18139</v>
          </cell>
          <cell r="I855">
            <v>-18139</v>
          </cell>
          <cell r="J855">
            <v>0</v>
          </cell>
          <cell r="K855">
            <v>0</v>
          </cell>
          <cell r="L855">
            <v>0</v>
          </cell>
        </row>
        <row r="856">
          <cell r="A856">
            <v>1</v>
          </cell>
          <cell r="B856">
            <v>2</v>
          </cell>
          <cell r="C856">
            <v>999</v>
          </cell>
          <cell r="D856">
            <v>4</v>
          </cell>
          <cell r="E856" t="str">
            <v xml:space="preserve">    </v>
          </cell>
          <cell r="F856" t="str">
            <v xml:space="preserve">   </v>
          </cell>
          <cell r="G856">
            <v>1299904</v>
          </cell>
          <cell r="H856">
            <v>-53127</v>
          </cell>
          <cell r="I856">
            <v>-29219</v>
          </cell>
          <cell r="J856">
            <v>-16674</v>
          </cell>
          <cell r="K856">
            <v>-7234</v>
          </cell>
          <cell r="L856">
            <v>0</v>
          </cell>
        </row>
        <row r="857">
          <cell r="A857">
            <v>2</v>
          </cell>
          <cell r="B857">
            <v>2</v>
          </cell>
          <cell r="C857">
            <v>999</v>
          </cell>
          <cell r="D857">
            <v>4</v>
          </cell>
          <cell r="E857" t="str">
            <v xml:space="preserve">    </v>
          </cell>
          <cell r="F857" t="str">
            <v xml:space="preserve">   </v>
          </cell>
          <cell r="G857">
            <v>2299904</v>
          </cell>
          <cell r="H857">
            <v>-472219</v>
          </cell>
          <cell r="I857">
            <v>-185499</v>
          </cell>
          <cell r="J857">
            <v>-200000</v>
          </cell>
          <cell r="K857">
            <v>-86720</v>
          </cell>
          <cell r="L857">
            <v>0</v>
          </cell>
        </row>
        <row r="858">
          <cell r="A858">
            <v>1</v>
          </cell>
          <cell r="B858">
            <v>2</v>
          </cell>
          <cell r="C858">
            <v>999</v>
          </cell>
          <cell r="D858">
            <v>5</v>
          </cell>
          <cell r="E858" t="str">
            <v xml:space="preserve">    </v>
          </cell>
          <cell r="F858" t="str">
            <v xml:space="preserve">   </v>
          </cell>
          <cell r="G858">
            <v>1299905</v>
          </cell>
          <cell r="H858">
            <v>-5186</v>
          </cell>
          <cell r="I858">
            <v>-5186</v>
          </cell>
          <cell r="J858">
            <v>0</v>
          </cell>
          <cell r="K858">
            <v>0</v>
          </cell>
          <cell r="L858">
            <v>0</v>
          </cell>
        </row>
        <row r="859">
          <cell r="A859">
            <v>2</v>
          </cell>
          <cell r="B859">
            <v>2</v>
          </cell>
          <cell r="C859">
            <v>999</v>
          </cell>
          <cell r="D859">
            <v>5</v>
          </cell>
          <cell r="E859" t="str">
            <v xml:space="preserve">    </v>
          </cell>
          <cell r="F859" t="str">
            <v xml:space="preserve">   </v>
          </cell>
          <cell r="G859">
            <v>2299905</v>
          </cell>
          <cell r="H859">
            <v>-79692</v>
          </cell>
          <cell r="I859">
            <v>-79692</v>
          </cell>
          <cell r="J859">
            <v>0</v>
          </cell>
          <cell r="K859">
            <v>0</v>
          </cell>
          <cell r="L859">
            <v>0</v>
          </cell>
        </row>
        <row r="860">
          <cell r="A860">
            <v>1</v>
          </cell>
          <cell r="B860">
            <v>2</v>
          </cell>
          <cell r="C860">
            <v>999</v>
          </cell>
          <cell r="D860">
            <v>6</v>
          </cell>
          <cell r="E860" t="str">
            <v xml:space="preserve">    </v>
          </cell>
          <cell r="F860" t="str">
            <v xml:space="preserve">   </v>
          </cell>
          <cell r="G860">
            <v>1299906</v>
          </cell>
          <cell r="H860">
            <v>-633778</v>
          </cell>
          <cell r="I860">
            <v>0</v>
          </cell>
          <cell r="J860">
            <v>-633778</v>
          </cell>
          <cell r="K860">
            <v>0</v>
          </cell>
          <cell r="L860">
            <v>0</v>
          </cell>
        </row>
        <row r="861">
          <cell r="A861">
            <v>2</v>
          </cell>
          <cell r="B861">
            <v>2</v>
          </cell>
          <cell r="C861">
            <v>999</v>
          </cell>
          <cell r="D861">
            <v>6</v>
          </cell>
          <cell r="E861" t="str">
            <v xml:space="preserve">    </v>
          </cell>
          <cell r="F861" t="str">
            <v xml:space="preserve">   </v>
          </cell>
          <cell r="G861">
            <v>2299906</v>
          </cell>
          <cell r="H861">
            <v>-2866796</v>
          </cell>
          <cell r="I861">
            <v>0</v>
          </cell>
          <cell r="J861">
            <v>-2866796</v>
          </cell>
          <cell r="K861">
            <v>0</v>
          </cell>
          <cell r="L861">
            <v>0</v>
          </cell>
        </row>
        <row r="862">
          <cell r="A862">
            <v>1</v>
          </cell>
          <cell r="B862">
            <v>2</v>
          </cell>
          <cell r="C862">
            <v>999</v>
          </cell>
          <cell r="D862">
            <v>8</v>
          </cell>
          <cell r="E862" t="str">
            <v xml:space="preserve">    </v>
          </cell>
          <cell r="F862" t="str">
            <v xml:space="preserve">   </v>
          </cell>
          <cell r="G862">
            <v>1299908</v>
          </cell>
          <cell r="H862">
            <v>0</v>
          </cell>
          <cell r="I862">
            <v>0</v>
          </cell>
          <cell r="J862">
            <v>0</v>
          </cell>
          <cell r="K862">
            <v>0</v>
          </cell>
          <cell r="L862">
            <v>0</v>
          </cell>
        </row>
        <row r="863">
          <cell r="A863">
            <v>2</v>
          </cell>
          <cell r="B863">
            <v>2</v>
          </cell>
          <cell r="C863">
            <v>999</v>
          </cell>
          <cell r="D863">
            <v>8</v>
          </cell>
          <cell r="E863" t="str">
            <v xml:space="preserve">    </v>
          </cell>
          <cell r="F863" t="str">
            <v xml:space="preserve">   </v>
          </cell>
          <cell r="G863">
            <v>2299908</v>
          </cell>
          <cell r="H863">
            <v>-312994</v>
          </cell>
          <cell r="I863">
            <v>0</v>
          </cell>
          <cell r="J863">
            <v>-312994</v>
          </cell>
          <cell r="K863">
            <v>0</v>
          </cell>
          <cell r="L863">
            <v>0</v>
          </cell>
        </row>
        <row r="864">
          <cell r="A864">
            <v>1</v>
          </cell>
          <cell r="B864">
            <v>2</v>
          </cell>
          <cell r="C864">
            <v>999</v>
          </cell>
          <cell r="D864">
            <v>9</v>
          </cell>
          <cell r="E864" t="str">
            <v xml:space="preserve">    </v>
          </cell>
          <cell r="F864" t="str">
            <v xml:space="preserve">   </v>
          </cell>
          <cell r="G864">
            <v>1299909</v>
          </cell>
          <cell r="H864">
            <v>-2414</v>
          </cell>
          <cell r="I864">
            <v>0</v>
          </cell>
          <cell r="J864">
            <v>-2325</v>
          </cell>
          <cell r="K864">
            <v>-89</v>
          </cell>
          <cell r="L864">
            <v>0</v>
          </cell>
        </row>
        <row r="865">
          <cell r="A865">
            <v>2</v>
          </cell>
          <cell r="B865">
            <v>2</v>
          </cell>
          <cell r="C865">
            <v>999</v>
          </cell>
          <cell r="D865">
            <v>9</v>
          </cell>
          <cell r="E865" t="str">
            <v xml:space="preserve">    </v>
          </cell>
          <cell r="F865" t="str">
            <v xml:space="preserve">   </v>
          </cell>
          <cell r="G865">
            <v>2299909</v>
          </cell>
          <cell r="H865">
            <v>-28968</v>
          </cell>
          <cell r="I865">
            <v>0</v>
          </cell>
          <cell r="J865">
            <v>-27900</v>
          </cell>
          <cell r="K865">
            <v>-1068</v>
          </cell>
          <cell r="L865">
            <v>0</v>
          </cell>
        </row>
        <row r="866">
          <cell r="A866">
            <v>1</v>
          </cell>
          <cell r="B866">
            <v>2</v>
          </cell>
          <cell r="C866">
            <v>999</v>
          </cell>
          <cell r="D866">
            <v>11</v>
          </cell>
          <cell r="E866" t="str">
            <v xml:space="preserve">    </v>
          </cell>
          <cell r="F866" t="str">
            <v xml:space="preserve">   </v>
          </cell>
          <cell r="G866">
            <v>1299911</v>
          </cell>
          <cell r="H866">
            <v>-5151</v>
          </cell>
          <cell r="I866">
            <v>0</v>
          </cell>
          <cell r="J866">
            <v>-5151</v>
          </cell>
          <cell r="K866">
            <v>0</v>
          </cell>
          <cell r="L866">
            <v>0</v>
          </cell>
        </row>
        <row r="867">
          <cell r="A867">
            <v>2</v>
          </cell>
          <cell r="B867">
            <v>2</v>
          </cell>
          <cell r="C867">
            <v>999</v>
          </cell>
          <cell r="D867">
            <v>11</v>
          </cell>
          <cell r="E867" t="str">
            <v xml:space="preserve">    </v>
          </cell>
          <cell r="F867" t="str">
            <v xml:space="preserve">   </v>
          </cell>
          <cell r="G867">
            <v>2299911</v>
          </cell>
          <cell r="H867">
            <v>-61812</v>
          </cell>
          <cell r="I867">
            <v>0</v>
          </cell>
          <cell r="J867">
            <v>-61812</v>
          </cell>
          <cell r="K867">
            <v>0</v>
          </cell>
          <cell r="L867">
            <v>0</v>
          </cell>
        </row>
        <row r="868">
          <cell r="A868">
            <v>1</v>
          </cell>
          <cell r="B868">
            <v>2</v>
          </cell>
          <cell r="C868">
            <v>999</v>
          </cell>
          <cell r="D868">
            <v>53</v>
          </cell>
          <cell r="E868" t="str">
            <v xml:space="preserve">    </v>
          </cell>
          <cell r="F868" t="str">
            <v xml:space="preserve">   </v>
          </cell>
          <cell r="G868">
            <v>1299953</v>
          </cell>
          <cell r="H868">
            <v>0</v>
          </cell>
          <cell r="I868">
            <v>0</v>
          </cell>
          <cell r="J868">
            <v>0</v>
          </cell>
          <cell r="K868">
            <v>0</v>
          </cell>
          <cell r="L868">
            <v>0</v>
          </cell>
        </row>
        <row r="869">
          <cell r="A869">
            <v>2</v>
          </cell>
          <cell r="B869">
            <v>2</v>
          </cell>
          <cell r="C869">
            <v>999</v>
          </cell>
          <cell r="D869">
            <v>53</v>
          </cell>
          <cell r="E869" t="str">
            <v xml:space="preserve">    </v>
          </cell>
          <cell r="F869" t="str">
            <v xml:space="preserve">   </v>
          </cell>
          <cell r="G869">
            <v>2299953</v>
          </cell>
          <cell r="H869">
            <v>54394</v>
          </cell>
          <cell r="I869">
            <v>0</v>
          </cell>
          <cell r="J869">
            <v>49795</v>
          </cell>
          <cell r="K869">
            <v>4599</v>
          </cell>
          <cell r="L869">
            <v>0</v>
          </cell>
        </row>
        <row r="870">
          <cell r="A870">
            <v>1</v>
          </cell>
          <cell r="B870">
            <v>2</v>
          </cell>
          <cell r="C870">
            <v>999</v>
          </cell>
          <cell r="D870">
            <v>54</v>
          </cell>
          <cell r="E870" t="str">
            <v xml:space="preserve">    </v>
          </cell>
          <cell r="F870" t="str">
            <v xml:space="preserve">   </v>
          </cell>
          <cell r="G870">
            <v>1299954</v>
          </cell>
          <cell r="H870">
            <v>12605</v>
          </cell>
          <cell r="I870">
            <v>12605</v>
          </cell>
          <cell r="J870">
            <v>0</v>
          </cell>
          <cell r="K870">
            <v>0</v>
          </cell>
          <cell r="L870">
            <v>0</v>
          </cell>
        </row>
        <row r="871">
          <cell r="A871">
            <v>2</v>
          </cell>
          <cell r="B871">
            <v>2</v>
          </cell>
          <cell r="C871">
            <v>999</v>
          </cell>
          <cell r="D871">
            <v>54</v>
          </cell>
          <cell r="E871" t="str">
            <v xml:space="preserve">    </v>
          </cell>
          <cell r="F871" t="str">
            <v xml:space="preserve">   </v>
          </cell>
          <cell r="G871">
            <v>2299954</v>
          </cell>
          <cell r="H871">
            <v>406228</v>
          </cell>
          <cell r="I871">
            <v>406228</v>
          </cell>
          <cell r="J871">
            <v>0</v>
          </cell>
          <cell r="K871">
            <v>0</v>
          </cell>
          <cell r="L871">
            <v>0</v>
          </cell>
        </row>
        <row r="872">
          <cell r="A872">
            <v>1</v>
          </cell>
          <cell r="B872">
            <v>2</v>
          </cell>
          <cell r="C872">
            <v>999</v>
          </cell>
          <cell r="D872">
            <v>55</v>
          </cell>
          <cell r="E872" t="str">
            <v xml:space="preserve">    </v>
          </cell>
          <cell r="F872" t="str">
            <v xml:space="preserve">   </v>
          </cell>
          <cell r="G872">
            <v>1299955</v>
          </cell>
          <cell r="H872">
            <v>-595</v>
          </cell>
          <cell r="I872">
            <v>-595</v>
          </cell>
          <cell r="J872">
            <v>0</v>
          </cell>
          <cell r="K872">
            <v>0</v>
          </cell>
          <cell r="L872">
            <v>0</v>
          </cell>
        </row>
        <row r="873">
          <cell r="A873">
            <v>2</v>
          </cell>
          <cell r="B873">
            <v>2</v>
          </cell>
          <cell r="C873">
            <v>999</v>
          </cell>
          <cell r="D873">
            <v>55</v>
          </cell>
          <cell r="E873" t="str">
            <v xml:space="preserve">    </v>
          </cell>
          <cell r="F873" t="str">
            <v xml:space="preserve">   </v>
          </cell>
          <cell r="G873">
            <v>2299955</v>
          </cell>
          <cell r="H873">
            <v>7154</v>
          </cell>
          <cell r="I873">
            <v>7154</v>
          </cell>
          <cell r="J873">
            <v>0</v>
          </cell>
          <cell r="K873">
            <v>0</v>
          </cell>
          <cell r="L873">
            <v>0</v>
          </cell>
        </row>
        <row r="874">
          <cell r="A874">
            <v>1</v>
          </cell>
          <cell r="B874">
            <v>2</v>
          </cell>
          <cell r="C874">
            <v>999</v>
          </cell>
          <cell r="D874">
            <v>58</v>
          </cell>
          <cell r="E874" t="str">
            <v xml:space="preserve">    </v>
          </cell>
          <cell r="F874" t="str">
            <v xml:space="preserve">   </v>
          </cell>
          <cell r="G874">
            <v>1299958</v>
          </cell>
          <cell r="H874">
            <v>1611</v>
          </cell>
          <cell r="I874">
            <v>0</v>
          </cell>
          <cell r="J874">
            <v>1498</v>
          </cell>
          <cell r="K874">
            <v>113</v>
          </cell>
          <cell r="L874">
            <v>0</v>
          </cell>
        </row>
        <row r="875">
          <cell r="A875">
            <v>2</v>
          </cell>
          <cell r="B875">
            <v>2</v>
          </cell>
          <cell r="C875">
            <v>999</v>
          </cell>
          <cell r="D875">
            <v>58</v>
          </cell>
          <cell r="E875" t="str">
            <v xml:space="preserve">    </v>
          </cell>
          <cell r="F875" t="str">
            <v xml:space="preserve">   </v>
          </cell>
          <cell r="G875">
            <v>2299958</v>
          </cell>
          <cell r="H875">
            <v>43558</v>
          </cell>
          <cell r="I875">
            <v>0</v>
          </cell>
          <cell r="J875">
            <v>40609</v>
          </cell>
          <cell r="K875">
            <v>2949</v>
          </cell>
          <cell r="L875">
            <v>0</v>
          </cell>
        </row>
        <row r="876">
          <cell r="A876">
            <v>1</v>
          </cell>
          <cell r="B876">
            <v>2</v>
          </cell>
          <cell r="C876">
            <v>999</v>
          </cell>
          <cell r="D876">
            <v>59</v>
          </cell>
          <cell r="E876" t="str">
            <v xml:space="preserve">    </v>
          </cell>
          <cell r="F876" t="str">
            <v xml:space="preserve">   </v>
          </cell>
          <cell r="G876">
            <v>1299959</v>
          </cell>
          <cell r="H876">
            <v>5151</v>
          </cell>
          <cell r="I876">
            <v>0</v>
          </cell>
          <cell r="J876">
            <v>5151</v>
          </cell>
          <cell r="K876">
            <v>0</v>
          </cell>
          <cell r="L876">
            <v>0</v>
          </cell>
        </row>
        <row r="877">
          <cell r="A877">
            <v>2</v>
          </cell>
          <cell r="B877">
            <v>2</v>
          </cell>
          <cell r="C877">
            <v>999</v>
          </cell>
          <cell r="D877">
            <v>59</v>
          </cell>
          <cell r="E877" t="str">
            <v xml:space="preserve">    </v>
          </cell>
          <cell r="F877" t="str">
            <v xml:space="preserve">   </v>
          </cell>
          <cell r="G877">
            <v>2299959</v>
          </cell>
          <cell r="H877">
            <v>61812</v>
          </cell>
          <cell r="I877">
            <v>0</v>
          </cell>
          <cell r="J877">
            <v>61812</v>
          </cell>
          <cell r="K877">
            <v>0</v>
          </cell>
          <cell r="L877">
            <v>0</v>
          </cell>
        </row>
        <row r="878">
          <cell r="A878">
            <v>1</v>
          </cell>
          <cell r="B878">
            <v>2</v>
          </cell>
          <cell r="C878">
            <v>999</v>
          </cell>
          <cell r="D878">
            <v>60</v>
          </cell>
          <cell r="E878" t="str">
            <v xml:space="preserve">    </v>
          </cell>
          <cell r="F878" t="str">
            <v xml:space="preserve">   </v>
          </cell>
          <cell r="G878">
            <v>1299960</v>
          </cell>
          <cell r="H878">
            <v>593087</v>
          </cell>
          <cell r="I878">
            <v>89945</v>
          </cell>
          <cell r="J878">
            <v>439987</v>
          </cell>
          <cell r="K878">
            <v>63155</v>
          </cell>
          <cell r="L878">
            <v>0</v>
          </cell>
        </row>
        <row r="879">
          <cell r="A879">
            <v>2</v>
          </cell>
          <cell r="B879">
            <v>2</v>
          </cell>
          <cell r="C879">
            <v>999</v>
          </cell>
          <cell r="D879">
            <v>60</v>
          </cell>
          <cell r="E879" t="str">
            <v xml:space="preserve">    </v>
          </cell>
          <cell r="F879" t="str">
            <v xml:space="preserve">   </v>
          </cell>
          <cell r="G879">
            <v>2299960</v>
          </cell>
          <cell r="H879">
            <v>6436345</v>
          </cell>
          <cell r="I879">
            <v>861030</v>
          </cell>
          <cell r="J879">
            <v>4836065</v>
          </cell>
          <cell r="K879">
            <v>739250</v>
          </cell>
          <cell r="L879">
            <v>0</v>
          </cell>
        </row>
        <row r="880">
          <cell r="A880">
            <v>1</v>
          </cell>
          <cell r="B880">
            <v>2</v>
          </cell>
          <cell r="C880">
            <v>999</v>
          </cell>
          <cell r="D880">
            <v>62</v>
          </cell>
          <cell r="E880" t="str">
            <v xml:space="preserve">    </v>
          </cell>
          <cell r="F880" t="str">
            <v xml:space="preserve">   </v>
          </cell>
          <cell r="G880">
            <v>1299962</v>
          </cell>
          <cell r="H880">
            <v>5151</v>
          </cell>
          <cell r="I880">
            <v>0</v>
          </cell>
          <cell r="J880">
            <v>5151</v>
          </cell>
          <cell r="K880">
            <v>0</v>
          </cell>
          <cell r="L880">
            <v>0</v>
          </cell>
        </row>
        <row r="881">
          <cell r="A881">
            <v>2</v>
          </cell>
          <cell r="B881">
            <v>2</v>
          </cell>
          <cell r="C881">
            <v>999</v>
          </cell>
          <cell r="D881">
            <v>62</v>
          </cell>
          <cell r="E881" t="str">
            <v xml:space="preserve">    </v>
          </cell>
          <cell r="F881" t="str">
            <v xml:space="preserve">   </v>
          </cell>
          <cell r="G881">
            <v>2299962</v>
          </cell>
          <cell r="H881">
            <v>61812</v>
          </cell>
          <cell r="I881">
            <v>0</v>
          </cell>
          <cell r="J881">
            <v>61812</v>
          </cell>
          <cell r="K881">
            <v>0</v>
          </cell>
          <cell r="L881">
            <v>0</v>
          </cell>
        </row>
        <row r="882">
          <cell r="A882">
            <v>1</v>
          </cell>
          <cell r="B882">
            <v>2</v>
          </cell>
          <cell r="C882">
            <v>999</v>
          </cell>
          <cell r="D882">
            <v>70</v>
          </cell>
          <cell r="E882" t="str">
            <v xml:space="preserve">    </v>
          </cell>
          <cell r="F882" t="str">
            <v xml:space="preserve">   </v>
          </cell>
          <cell r="G882">
            <v>1299970</v>
          </cell>
          <cell r="H882">
            <v>310734.71999999997</v>
          </cell>
          <cell r="I882">
            <v>310734.71999999997</v>
          </cell>
          <cell r="J882">
            <v>0</v>
          </cell>
          <cell r="K882">
            <v>0</v>
          </cell>
          <cell r="L882">
            <v>0</v>
          </cell>
        </row>
        <row r="883">
          <cell r="A883">
            <v>2</v>
          </cell>
          <cell r="B883">
            <v>2</v>
          </cell>
          <cell r="C883">
            <v>999</v>
          </cell>
          <cell r="D883">
            <v>70</v>
          </cell>
          <cell r="E883" t="str">
            <v xml:space="preserve">    </v>
          </cell>
          <cell r="F883" t="str">
            <v xml:space="preserve">   </v>
          </cell>
          <cell r="G883">
            <v>2299970</v>
          </cell>
          <cell r="H883">
            <v>3614938.36</v>
          </cell>
          <cell r="I883">
            <v>3614938.36</v>
          </cell>
          <cell r="J883">
            <v>0</v>
          </cell>
          <cell r="K883">
            <v>0</v>
          </cell>
          <cell r="L883">
            <v>0</v>
          </cell>
        </row>
        <row r="884">
          <cell r="A884">
            <v>1</v>
          </cell>
          <cell r="B884">
            <v>2</v>
          </cell>
          <cell r="C884">
            <v>999</v>
          </cell>
          <cell r="D884">
            <v>91</v>
          </cell>
          <cell r="E884" t="str">
            <v xml:space="preserve">    </v>
          </cell>
          <cell r="F884" t="str">
            <v xml:space="preserve">   </v>
          </cell>
          <cell r="G884">
            <v>1299991</v>
          </cell>
          <cell r="H884">
            <v>-33049</v>
          </cell>
          <cell r="I884">
            <v>-33049</v>
          </cell>
          <cell r="J884">
            <v>0</v>
          </cell>
          <cell r="K884">
            <v>0</v>
          </cell>
          <cell r="L884">
            <v>0</v>
          </cell>
        </row>
        <row r="885">
          <cell r="A885">
            <v>2</v>
          </cell>
          <cell r="B885">
            <v>2</v>
          </cell>
          <cell r="C885">
            <v>999</v>
          </cell>
          <cell r="D885">
            <v>91</v>
          </cell>
          <cell r="E885" t="str">
            <v xml:space="preserve">    </v>
          </cell>
          <cell r="F885" t="str">
            <v xml:space="preserve">   </v>
          </cell>
          <cell r="G885">
            <v>2299991</v>
          </cell>
          <cell r="H885">
            <v>-1131411</v>
          </cell>
          <cell r="I885">
            <v>-1131411</v>
          </cell>
          <cell r="J885">
            <v>0</v>
          </cell>
          <cell r="K885">
            <v>0</v>
          </cell>
          <cell r="L885">
            <v>0</v>
          </cell>
        </row>
        <row r="886">
          <cell r="A886">
            <v>1</v>
          </cell>
          <cell r="B886">
            <v>2</v>
          </cell>
          <cell r="C886">
            <v>999</v>
          </cell>
          <cell r="D886">
            <v>95</v>
          </cell>
          <cell r="E886" t="str">
            <v xml:space="preserve">    </v>
          </cell>
          <cell r="F886" t="str">
            <v xml:space="preserve">   </v>
          </cell>
          <cell r="G886">
            <v>1299995</v>
          </cell>
          <cell r="H886">
            <v>155311</v>
          </cell>
          <cell r="I886">
            <v>155311</v>
          </cell>
          <cell r="J886">
            <v>0</v>
          </cell>
          <cell r="K886">
            <v>0</v>
          </cell>
          <cell r="L886">
            <v>0</v>
          </cell>
        </row>
        <row r="887">
          <cell r="A887">
            <v>2</v>
          </cell>
          <cell r="B887">
            <v>2</v>
          </cell>
          <cell r="C887">
            <v>999</v>
          </cell>
          <cell r="D887">
            <v>95</v>
          </cell>
          <cell r="E887" t="str">
            <v xml:space="preserve">    </v>
          </cell>
          <cell r="F887" t="str">
            <v xml:space="preserve">   </v>
          </cell>
          <cell r="G887">
            <v>2299995</v>
          </cell>
          <cell r="H887">
            <v>199505</v>
          </cell>
          <cell r="I887">
            <v>199505</v>
          </cell>
          <cell r="J887">
            <v>0</v>
          </cell>
          <cell r="K887">
            <v>0</v>
          </cell>
          <cell r="L887">
            <v>0</v>
          </cell>
        </row>
        <row r="888">
          <cell r="A888">
            <v>1</v>
          </cell>
          <cell r="B888">
            <v>9</v>
          </cell>
          <cell r="C888">
            <v>182</v>
          </cell>
          <cell r="D888">
            <v>31</v>
          </cell>
          <cell r="E888" t="str">
            <v xml:space="preserve">    </v>
          </cell>
          <cell r="F888" t="str">
            <v xml:space="preserve">   </v>
          </cell>
          <cell r="G888">
            <v>1918231</v>
          </cell>
          <cell r="H888">
            <v>-692072</v>
          </cell>
          <cell r="I888">
            <v>-692072</v>
          </cell>
          <cell r="J888">
            <v>0</v>
          </cell>
          <cell r="K888">
            <v>0</v>
          </cell>
          <cell r="L888">
            <v>0</v>
          </cell>
        </row>
        <row r="889">
          <cell r="A889">
            <v>2</v>
          </cell>
          <cell r="B889">
            <v>9</v>
          </cell>
          <cell r="C889">
            <v>182</v>
          </cell>
          <cell r="D889">
            <v>31</v>
          </cell>
          <cell r="E889" t="str">
            <v xml:space="preserve">    </v>
          </cell>
          <cell r="F889" t="str">
            <v xml:space="preserve">   </v>
          </cell>
          <cell r="G889">
            <v>2918231</v>
          </cell>
          <cell r="H889">
            <v>-4095512</v>
          </cell>
          <cell r="I889">
            <v>-4095512</v>
          </cell>
          <cell r="J889">
            <v>0</v>
          </cell>
          <cell r="K889">
            <v>0</v>
          </cell>
          <cell r="L889">
            <v>0</v>
          </cell>
        </row>
        <row r="890">
          <cell r="A890">
            <v>1</v>
          </cell>
          <cell r="B890">
            <v>9</v>
          </cell>
          <cell r="C890">
            <v>182</v>
          </cell>
          <cell r="D890">
            <v>32</v>
          </cell>
          <cell r="E890" t="str">
            <v xml:space="preserve">    </v>
          </cell>
          <cell r="F890" t="str">
            <v xml:space="preserve">   </v>
          </cell>
          <cell r="G890">
            <v>1918232</v>
          </cell>
          <cell r="H890">
            <v>-629101</v>
          </cell>
          <cell r="I890">
            <v>-629101</v>
          </cell>
          <cell r="J890">
            <v>0</v>
          </cell>
          <cell r="K890">
            <v>0</v>
          </cell>
          <cell r="L890">
            <v>0</v>
          </cell>
        </row>
        <row r="891">
          <cell r="A891">
            <v>2</v>
          </cell>
          <cell r="B891">
            <v>9</v>
          </cell>
          <cell r="C891">
            <v>182</v>
          </cell>
          <cell r="D891">
            <v>32</v>
          </cell>
          <cell r="E891" t="str">
            <v xml:space="preserve">    </v>
          </cell>
          <cell r="F891" t="str">
            <v xml:space="preserve">   </v>
          </cell>
          <cell r="G891">
            <v>2918232</v>
          </cell>
          <cell r="H891">
            <v>-1549296</v>
          </cell>
          <cell r="I891">
            <v>-1549296</v>
          </cell>
          <cell r="J891">
            <v>0</v>
          </cell>
          <cell r="K891">
            <v>0</v>
          </cell>
          <cell r="L891">
            <v>0</v>
          </cell>
        </row>
        <row r="892">
          <cell r="A892">
            <v>1</v>
          </cell>
          <cell r="B892">
            <v>9</v>
          </cell>
          <cell r="C892">
            <v>190</v>
          </cell>
          <cell r="D892">
            <v>10</v>
          </cell>
          <cell r="E892" t="str">
            <v xml:space="preserve">    </v>
          </cell>
          <cell r="F892" t="str">
            <v xml:space="preserve">   </v>
          </cell>
          <cell r="G892">
            <v>1919010</v>
          </cell>
          <cell r="H892">
            <v>148610</v>
          </cell>
          <cell r="I892">
            <v>148610</v>
          </cell>
          <cell r="J892">
            <v>0</v>
          </cell>
          <cell r="K892">
            <v>0</v>
          </cell>
          <cell r="L892">
            <v>0</v>
          </cell>
        </row>
        <row r="893">
          <cell r="A893">
            <v>2</v>
          </cell>
          <cell r="B893">
            <v>9</v>
          </cell>
          <cell r="C893">
            <v>190</v>
          </cell>
          <cell r="D893">
            <v>10</v>
          </cell>
          <cell r="E893" t="str">
            <v xml:space="preserve">    </v>
          </cell>
          <cell r="F893" t="str">
            <v xml:space="preserve">   </v>
          </cell>
          <cell r="G893">
            <v>2919010</v>
          </cell>
          <cell r="H893">
            <v>490493.61</v>
          </cell>
          <cell r="I893">
            <v>490493.61</v>
          </cell>
          <cell r="J893">
            <v>0</v>
          </cell>
          <cell r="K893">
            <v>0</v>
          </cell>
          <cell r="L893">
            <v>0</v>
          </cell>
        </row>
        <row r="894">
          <cell r="A894">
            <v>1</v>
          </cell>
          <cell r="B894">
            <v>9</v>
          </cell>
          <cell r="C894">
            <v>190</v>
          </cell>
          <cell r="D894">
            <v>11</v>
          </cell>
          <cell r="E894" t="str">
            <v xml:space="preserve">    </v>
          </cell>
          <cell r="F894" t="str">
            <v xml:space="preserve">   </v>
          </cell>
          <cell r="G894">
            <v>1919011</v>
          </cell>
          <cell r="H894">
            <v>-15805</v>
          </cell>
          <cell r="I894">
            <v>-15805</v>
          </cell>
          <cell r="J894">
            <v>0</v>
          </cell>
          <cell r="K894">
            <v>0</v>
          </cell>
          <cell r="L894">
            <v>0</v>
          </cell>
        </row>
        <row r="895">
          <cell r="A895">
            <v>2</v>
          </cell>
          <cell r="B895">
            <v>9</v>
          </cell>
          <cell r="C895">
            <v>190</v>
          </cell>
          <cell r="D895">
            <v>11</v>
          </cell>
          <cell r="E895" t="str">
            <v xml:space="preserve">    </v>
          </cell>
          <cell r="F895" t="str">
            <v xml:space="preserve">   </v>
          </cell>
          <cell r="G895">
            <v>2919011</v>
          </cell>
          <cell r="H895">
            <v>-189660</v>
          </cell>
          <cell r="I895">
            <v>-189660</v>
          </cell>
          <cell r="J895">
            <v>0</v>
          </cell>
          <cell r="K895">
            <v>0</v>
          </cell>
          <cell r="L895">
            <v>0</v>
          </cell>
        </row>
        <row r="896">
          <cell r="A896">
            <v>1</v>
          </cell>
          <cell r="B896">
            <v>9</v>
          </cell>
          <cell r="C896">
            <v>190</v>
          </cell>
          <cell r="D896">
            <v>15</v>
          </cell>
          <cell r="E896" t="str">
            <v xml:space="preserve">    </v>
          </cell>
          <cell r="F896" t="str">
            <v xml:space="preserve">   </v>
          </cell>
          <cell r="G896">
            <v>1919015</v>
          </cell>
          <cell r="H896">
            <v>14732</v>
          </cell>
          <cell r="I896">
            <v>14732</v>
          </cell>
          <cell r="J896">
            <v>0</v>
          </cell>
          <cell r="K896">
            <v>0</v>
          </cell>
          <cell r="L896">
            <v>0</v>
          </cell>
        </row>
        <row r="897">
          <cell r="A897">
            <v>2</v>
          </cell>
          <cell r="B897">
            <v>9</v>
          </cell>
          <cell r="C897">
            <v>190</v>
          </cell>
          <cell r="D897">
            <v>15</v>
          </cell>
          <cell r="E897" t="str">
            <v xml:space="preserve">    </v>
          </cell>
          <cell r="F897" t="str">
            <v xml:space="preserve">   </v>
          </cell>
          <cell r="G897">
            <v>2919015</v>
          </cell>
          <cell r="H897">
            <v>287449</v>
          </cell>
          <cell r="I897">
            <v>287449</v>
          </cell>
          <cell r="J897">
            <v>0</v>
          </cell>
          <cell r="K897">
            <v>0</v>
          </cell>
          <cell r="L897">
            <v>0</v>
          </cell>
        </row>
        <row r="898">
          <cell r="A898">
            <v>1</v>
          </cell>
          <cell r="B898">
            <v>9</v>
          </cell>
          <cell r="C898">
            <v>190</v>
          </cell>
          <cell r="D898">
            <v>20</v>
          </cell>
          <cell r="E898" t="str">
            <v xml:space="preserve">    </v>
          </cell>
          <cell r="F898" t="str">
            <v xml:space="preserve">   </v>
          </cell>
          <cell r="G898">
            <v>1919020</v>
          </cell>
          <cell r="H898">
            <v>432</v>
          </cell>
          <cell r="I898">
            <v>432</v>
          </cell>
          <cell r="J898">
            <v>0</v>
          </cell>
          <cell r="K898">
            <v>0</v>
          </cell>
          <cell r="L898">
            <v>0</v>
          </cell>
        </row>
        <row r="899">
          <cell r="A899">
            <v>2</v>
          </cell>
          <cell r="B899">
            <v>9</v>
          </cell>
          <cell r="C899">
            <v>190</v>
          </cell>
          <cell r="D899">
            <v>20</v>
          </cell>
          <cell r="E899" t="str">
            <v xml:space="preserve">    </v>
          </cell>
          <cell r="F899" t="str">
            <v xml:space="preserve">   </v>
          </cell>
          <cell r="G899">
            <v>2919020</v>
          </cell>
          <cell r="H899">
            <v>-33503</v>
          </cell>
          <cell r="I899">
            <v>-33503</v>
          </cell>
          <cell r="J899">
            <v>0</v>
          </cell>
          <cell r="K899">
            <v>0</v>
          </cell>
          <cell r="L899">
            <v>0</v>
          </cell>
        </row>
        <row r="900">
          <cell r="A900">
            <v>1</v>
          </cell>
          <cell r="B900">
            <v>9</v>
          </cell>
          <cell r="C900">
            <v>190</v>
          </cell>
          <cell r="D900">
            <v>21</v>
          </cell>
          <cell r="E900" t="str">
            <v xml:space="preserve">    </v>
          </cell>
          <cell r="F900" t="str">
            <v xml:space="preserve">   </v>
          </cell>
          <cell r="G900">
            <v>1919021</v>
          </cell>
          <cell r="H900">
            <v>426</v>
          </cell>
          <cell r="I900">
            <v>426</v>
          </cell>
          <cell r="J900">
            <v>0</v>
          </cell>
          <cell r="K900">
            <v>0</v>
          </cell>
          <cell r="L900">
            <v>0</v>
          </cell>
        </row>
        <row r="901">
          <cell r="A901">
            <v>2</v>
          </cell>
          <cell r="B901">
            <v>9</v>
          </cell>
          <cell r="C901">
            <v>190</v>
          </cell>
          <cell r="D901">
            <v>21</v>
          </cell>
          <cell r="E901" t="str">
            <v xml:space="preserve">    </v>
          </cell>
          <cell r="F901" t="str">
            <v xml:space="preserve">   </v>
          </cell>
          <cell r="G901">
            <v>2919021</v>
          </cell>
          <cell r="H901">
            <v>-61776</v>
          </cell>
          <cell r="I901">
            <v>-61776</v>
          </cell>
          <cell r="J901">
            <v>0</v>
          </cell>
          <cell r="K901">
            <v>0</v>
          </cell>
          <cell r="L901">
            <v>0</v>
          </cell>
        </row>
        <row r="902">
          <cell r="A902">
            <v>1</v>
          </cell>
          <cell r="B902">
            <v>9</v>
          </cell>
          <cell r="C902">
            <v>190</v>
          </cell>
          <cell r="D902">
            <v>28</v>
          </cell>
          <cell r="E902" t="str">
            <v xml:space="preserve">    </v>
          </cell>
          <cell r="F902" t="str">
            <v xml:space="preserve">   </v>
          </cell>
          <cell r="G902">
            <v>1919028</v>
          </cell>
          <cell r="H902">
            <v>146</v>
          </cell>
          <cell r="I902">
            <v>146</v>
          </cell>
          <cell r="J902">
            <v>0</v>
          </cell>
          <cell r="K902">
            <v>0</v>
          </cell>
          <cell r="L902">
            <v>0</v>
          </cell>
        </row>
        <row r="903">
          <cell r="A903">
            <v>2</v>
          </cell>
          <cell r="B903">
            <v>9</v>
          </cell>
          <cell r="C903">
            <v>190</v>
          </cell>
          <cell r="D903">
            <v>28</v>
          </cell>
          <cell r="E903" t="str">
            <v xml:space="preserve">    </v>
          </cell>
          <cell r="F903" t="str">
            <v xml:space="preserve">   </v>
          </cell>
          <cell r="G903">
            <v>2919028</v>
          </cell>
          <cell r="H903">
            <v>-13586</v>
          </cell>
          <cell r="I903">
            <v>-13586</v>
          </cell>
          <cell r="J903">
            <v>0</v>
          </cell>
          <cell r="K903">
            <v>0</v>
          </cell>
          <cell r="L903">
            <v>0</v>
          </cell>
        </row>
        <row r="904">
          <cell r="A904">
            <v>1</v>
          </cell>
          <cell r="B904">
            <v>9</v>
          </cell>
          <cell r="C904">
            <v>190</v>
          </cell>
          <cell r="D904">
            <v>38</v>
          </cell>
          <cell r="E904" t="str">
            <v xml:space="preserve">    </v>
          </cell>
          <cell r="F904" t="str">
            <v xml:space="preserve">   </v>
          </cell>
          <cell r="G904">
            <v>1919038</v>
          </cell>
          <cell r="H904">
            <v>-240064</v>
          </cell>
          <cell r="I904">
            <v>0</v>
          </cell>
          <cell r="J904">
            <v>0</v>
          </cell>
          <cell r="K904">
            <v>-240064</v>
          </cell>
          <cell r="L904">
            <v>0</v>
          </cell>
        </row>
        <row r="905">
          <cell r="A905">
            <v>2</v>
          </cell>
          <cell r="B905">
            <v>9</v>
          </cell>
          <cell r="C905">
            <v>190</v>
          </cell>
          <cell r="D905">
            <v>38</v>
          </cell>
          <cell r="E905" t="str">
            <v xml:space="preserve">    </v>
          </cell>
          <cell r="F905" t="str">
            <v xml:space="preserve">   </v>
          </cell>
          <cell r="G905">
            <v>2919038</v>
          </cell>
          <cell r="H905">
            <v>-995069</v>
          </cell>
          <cell r="I905">
            <v>0</v>
          </cell>
          <cell r="J905">
            <v>0</v>
          </cell>
          <cell r="K905">
            <v>-995069</v>
          </cell>
          <cell r="L905">
            <v>0</v>
          </cell>
        </row>
        <row r="906">
          <cell r="A906">
            <v>1</v>
          </cell>
          <cell r="B906">
            <v>9</v>
          </cell>
          <cell r="C906">
            <v>190</v>
          </cell>
          <cell r="D906">
            <v>61</v>
          </cell>
          <cell r="E906" t="str">
            <v xml:space="preserve">    </v>
          </cell>
          <cell r="F906" t="str">
            <v xml:space="preserve">   </v>
          </cell>
          <cell r="G906">
            <v>1919061</v>
          </cell>
          <cell r="H906">
            <v>624</v>
          </cell>
          <cell r="I906">
            <v>0</v>
          </cell>
          <cell r="J906">
            <v>624</v>
          </cell>
          <cell r="K906">
            <v>0</v>
          </cell>
          <cell r="L906">
            <v>0</v>
          </cell>
        </row>
        <row r="907">
          <cell r="A907">
            <v>2</v>
          </cell>
          <cell r="B907">
            <v>9</v>
          </cell>
          <cell r="C907">
            <v>190</v>
          </cell>
          <cell r="D907">
            <v>61</v>
          </cell>
          <cell r="E907" t="str">
            <v xml:space="preserve">    </v>
          </cell>
          <cell r="F907" t="str">
            <v xml:space="preserve">   </v>
          </cell>
          <cell r="G907">
            <v>2919061</v>
          </cell>
          <cell r="H907">
            <v>348311</v>
          </cell>
          <cell r="I907">
            <v>0</v>
          </cell>
          <cell r="J907">
            <v>348311</v>
          </cell>
          <cell r="K907">
            <v>0</v>
          </cell>
          <cell r="L907">
            <v>0</v>
          </cell>
        </row>
        <row r="908">
          <cell r="A908">
            <v>1</v>
          </cell>
          <cell r="B908">
            <v>9</v>
          </cell>
          <cell r="C908">
            <v>190</v>
          </cell>
          <cell r="D908">
            <v>63</v>
          </cell>
          <cell r="E908" t="str">
            <v xml:space="preserve">    </v>
          </cell>
          <cell r="F908" t="str">
            <v xml:space="preserve">   </v>
          </cell>
          <cell r="G908">
            <v>1919063</v>
          </cell>
          <cell r="H908">
            <v>14168</v>
          </cell>
          <cell r="I908">
            <v>0</v>
          </cell>
          <cell r="J908">
            <v>0</v>
          </cell>
          <cell r="K908">
            <v>14168</v>
          </cell>
          <cell r="L908">
            <v>0</v>
          </cell>
        </row>
        <row r="909">
          <cell r="A909">
            <v>2</v>
          </cell>
          <cell r="B909">
            <v>9</v>
          </cell>
          <cell r="C909">
            <v>190</v>
          </cell>
          <cell r="D909">
            <v>63</v>
          </cell>
          <cell r="E909" t="str">
            <v xml:space="preserve">    </v>
          </cell>
          <cell r="F909" t="str">
            <v xml:space="preserve">   </v>
          </cell>
          <cell r="G909">
            <v>2919063</v>
          </cell>
          <cell r="H909">
            <v>318700</v>
          </cell>
          <cell r="I909">
            <v>0</v>
          </cell>
          <cell r="J909">
            <v>0</v>
          </cell>
          <cell r="K909">
            <v>318700</v>
          </cell>
          <cell r="L909">
            <v>0</v>
          </cell>
        </row>
        <row r="910">
          <cell r="A910">
            <v>1</v>
          </cell>
          <cell r="B910">
            <v>9</v>
          </cell>
          <cell r="C910">
            <v>190</v>
          </cell>
          <cell r="D910">
            <v>64</v>
          </cell>
          <cell r="E910" t="str">
            <v xml:space="preserve">    </v>
          </cell>
          <cell r="F910" t="str">
            <v xml:space="preserve">   </v>
          </cell>
          <cell r="G910">
            <v>1919064</v>
          </cell>
          <cell r="H910">
            <v>693</v>
          </cell>
          <cell r="I910">
            <v>0</v>
          </cell>
          <cell r="J910">
            <v>693</v>
          </cell>
          <cell r="K910">
            <v>0</v>
          </cell>
          <cell r="L910">
            <v>0</v>
          </cell>
        </row>
        <row r="911">
          <cell r="A911">
            <v>2</v>
          </cell>
          <cell r="B911">
            <v>9</v>
          </cell>
          <cell r="C911">
            <v>190</v>
          </cell>
          <cell r="D911">
            <v>64</v>
          </cell>
          <cell r="E911" t="str">
            <v xml:space="preserve">    </v>
          </cell>
          <cell r="F911" t="str">
            <v xml:space="preserve">   </v>
          </cell>
          <cell r="G911">
            <v>2919064</v>
          </cell>
          <cell r="H911">
            <v>103855</v>
          </cell>
          <cell r="I911">
            <v>0</v>
          </cell>
          <cell r="J911">
            <v>103855</v>
          </cell>
          <cell r="K911">
            <v>0</v>
          </cell>
          <cell r="L911">
            <v>0</v>
          </cell>
        </row>
        <row r="912">
          <cell r="A912">
            <v>1</v>
          </cell>
          <cell r="B912">
            <v>9</v>
          </cell>
          <cell r="C912">
            <v>190</v>
          </cell>
          <cell r="D912">
            <v>65</v>
          </cell>
          <cell r="E912" t="str">
            <v xml:space="preserve">    </v>
          </cell>
          <cell r="F912" t="str">
            <v xml:space="preserve">   </v>
          </cell>
          <cell r="G912">
            <v>1919065</v>
          </cell>
          <cell r="H912">
            <v>15952</v>
          </cell>
          <cell r="I912">
            <v>0</v>
          </cell>
          <cell r="J912">
            <v>0</v>
          </cell>
          <cell r="K912">
            <v>15952</v>
          </cell>
          <cell r="L912">
            <v>0</v>
          </cell>
        </row>
        <row r="913">
          <cell r="A913">
            <v>2</v>
          </cell>
          <cell r="B913">
            <v>9</v>
          </cell>
          <cell r="C913">
            <v>190</v>
          </cell>
          <cell r="D913">
            <v>65</v>
          </cell>
          <cell r="E913" t="str">
            <v xml:space="preserve">    </v>
          </cell>
          <cell r="F913" t="str">
            <v xml:space="preserve">   </v>
          </cell>
          <cell r="G913">
            <v>2919065</v>
          </cell>
          <cell r="H913">
            <v>93578</v>
          </cell>
          <cell r="I913">
            <v>0</v>
          </cell>
          <cell r="J913">
            <v>0</v>
          </cell>
          <cell r="K913">
            <v>93578</v>
          </cell>
          <cell r="L913">
            <v>0</v>
          </cell>
        </row>
        <row r="914">
          <cell r="A914">
            <v>1</v>
          </cell>
          <cell r="B914">
            <v>9</v>
          </cell>
          <cell r="C914">
            <v>190</v>
          </cell>
          <cell r="D914">
            <v>68</v>
          </cell>
          <cell r="E914" t="str">
            <v xml:space="preserve">    </v>
          </cell>
          <cell r="F914" t="str">
            <v xml:space="preserve">   </v>
          </cell>
          <cell r="G914">
            <v>1919068</v>
          </cell>
          <cell r="H914">
            <v>1907</v>
          </cell>
          <cell r="I914">
            <v>0</v>
          </cell>
          <cell r="J914">
            <v>1907</v>
          </cell>
          <cell r="K914">
            <v>0</v>
          </cell>
          <cell r="L914">
            <v>0</v>
          </cell>
        </row>
        <row r="915">
          <cell r="A915">
            <v>2</v>
          </cell>
          <cell r="B915">
            <v>9</v>
          </cell>
          <cell r="C915">
            <v>190</v>
          </cell>
          <cell r="D915">
            <v>68</v>
          </cell>
          <cell r="E915" t="str">
            <v xml:space="preserve">    </v>
          </cell>
          <cell r="F915" t="str">
            <v xml:space="preserve">   </v>
          </cell>
          <cell r="G915">
            <v>2919068</v>
          </cell>
          <cell r="H915">
            <v>16576</v>
          </cell>
          <cell r="I915">
            <v>0</v>
          </cell>
          <cell r="J915">
            <v>16576</v>
          </cell>
          <cell r="K915">
            <v>0</v>
          </cell>
          <cell r="L915">
            <v>0</v>
          </cell>
        </row>
        <row r="916">
          <cell r="A916">
            <v>1</v>
          </cell>
          <cell r="B916">
            <v>9</v>
          </cell>
          <cell r="C916">
            <v>190</v>
          </cell>
          <cell r="D916">
            <v>78</v>
          </cell>
          <cell r="E916" t="str">
            <v xml:space="preserve">    </v>
          </cell>
          <cell r="F916" t="str">
            <v xml:space="preserve">   </v>
          </cell>
          <cell r="G916">
            <v>1919078</v>
          </cell>
          <cell r="H916">
            <v>1968</v>
          </cell>
          <cell r="I916">
            <v>0</v>
          </cell>
          <cell r="J916">
            <v>0</v>
          </cell>
          <cell r="K916">
            <v>1968</v>
          </cell>
          <cell r="L916">
            <v>0</v>
          </cell>
        </row>
        <row r="917">
          <cell r="A917">
            <v>2</v>
          </cell>
          <cell r="B917">
            <v>9</v>
          </cell>
          <cell r="C917">
            <v>190</v>
          </cell>
          <cell r="D917">
            <v>78</v>
          </cell>
          <cell r="E917" t="str">
            <v xml:space="preserve">    </v>
          </cell>
          <cell r="F917" t="str">
            <v xml:space="preserve">   </v>
          </cell>
          <cell r="G917">
            <v>2919078</v>
          </cell>
          <cell r="H917">
            <v>1619</v>
          </cell>
          <cell r="I917">
            <v>0</v>
          </cell>
          <cell r="J917">
            <v>0</v>
          </cell>
          <cell r="K917">
            <v>1619</v>
          </cell>
          <cell r="L917">
            <v>0</v>
          </cell>
        </row>
        <row r="918">
          <cell r="A918">
            <v>1</v>
          </cell>
          <cell r="B918">
            <v>9</v>
          </cell>
          <cell r="C918">
            <v>190</v>
          </cell>
          <cell r="D918">
            <v>85</v>
          </cell>
          <cell r="E918" t="str">
            <v xml:space="preserve">    </v>
          </cell>
          <cell r="F918" t="str">
            <v xml:space="preserve">   </v>
          </cell>
          <cell r="G918">
            <v>1919085</v>
          </cell>
          <cell r="H918">
            <v>-5719</v>
          </cell>
          <cell r="I918">
            <v>-5719</v>
          </cell>
          <cell r="J918">
            <v>0</v>
          </cell>
          <cell r="K918">
            <v>0</v>
          </cell>
          <cell r="L918">
            <v>0</v>
          </cell>
        </row>
        <row r="919">
          <cell r="A919">
            <v>2</v>
          </cell>
          <cell r="B919">
            <v>9</v>
          </cell>
          <cell r="C919">
            <v>190</v>
          </cell>
          <cell r="D919">
            <v>85</v>
          </cell>
          <cell r="E919" t="str">
            <v xml:space="preserve">    </v>
          </cell>
          <cell r="F919" t="str">
            <v xml:space="preserve">   </v>
          </cell>
          <cell r="G919">
            <v>2919085</v>
          </cell>
          <cell r="H919">
            <v>-67347.77</v>
          </cell>
          <cell r="I919">
            <v>-67347.77</v>
          </cell>
          <cell r="J919">
            <v>0</v>
          </cell>
          <cell r="K919">
            <v>0</v>
          </cell>
          <cell r="L919">
            <v>0</v>
          </cell>
        </row>
        <row r="920">
          <cell r="A920">
            <v>1</v>
          </cell>
          <cell r="B920">
            <v>9</v>
          </cell>
          <cell r="C920">
            <v>190</v>
          </cell>
          <cell r="D920">
            <v>86</v>
          </cell>
          <cell r="E920" t="str">
            <v xml:space="preserve">    </v>
          </cell>
          <cell r="F920" t="str">
            <v xml:space="preserve">   </v>
          </cell>
          <cell r="G920">
            <v>1919086</v>
          </cell>
          <cell r="H920">
            <v>-1907</v>
          </cell>
          <cell r="I920">
            <v>-1907</v>
          </cell>
          <cell r="J920">
            <v>0</v>
          </cell>
          <cell r="K920">
            <v>0</v>
          </cell>
          <cell r="L920">
            <v>0</v>
          </cell>
        </row>
        <row r="921">
          <cell r="A921">
            <v>2</v>
          </cell>
          <cell r="B921">
            <v>9</v>
          </cell>
          <cell r="C921">
            <v>190</v>
          </cell>
          <cell r="D921">
            <v>86</v>
          </cell>
          <cell r="E921" t="str">
            <v xml:space="preserve">    </v>
          </cell>
          <cell r="F921" t="str">
            <v xml:space="preserve">   </v>
          </cell>
          <cell r="G921">
            <v>2919086</v>
          </cell>
          <cell r="H921">
            <v>-22451.919999999998</v>
          </cell>
          <cell r="I921">
            <v>-22451.919999999998</v>
          </cell>
          <cell r="J921">
            <v>0</v>
          </cell>
          <cell r="K921">
            <v>0</v>
          </cell>
          <cell r="L921">
            <v>0</v>
          </cell>
        </row>
        <row r="922">
          <cell r="A922">
            <v>1</v>
          </cell>
          <cell r="B922">
            <v>9</v>
          </cell>
          <cell r="C922">
            <v>190</v>
          </cell>
          <cell r="D922">
            <v>88</v>
          </cell>
          <cell r="E922" t="str">
            <v xml:space="preserve">    </v>
          </cell>
          <cell r="F922" t="str">
            <v xml:space="preserve">   </v>
          </cell>
          <cell r="G922">
            <v>1919088</v>
          </cell>
          <cell r="H922">
            <v>261835</v>
          </cell>
          <cell r="I922">
            <v>0</v>
          </cell>
          <cell r="J922">
            <v>261835</v>
          </cell>
          <cell r="K922">
            <v>0</v>
          </cell>
          <cell r="L922">
            <v>0</v>
          </cell>
        </row>
        <row r="923">
          <cell r="A923">
            <v>2</v>
          </cell>
          <cell r="B923">
            <v>9</v>
          </cell>
          <cell r="C923">
            <v>190</v>
          </cell>
          <cell r="D923">
            <v>88</v>
          </cell>
          <cell r="E923" t="str">
            <v xml:space="preserve">    </v>
          </cell>
          <cell r="F923" t="str">
            <v xml:space="preserve">   </v>
          </cell>
          <cell r="G923">
            <v>2919088</v>
          </cell>
          <cell r="H923">
            <v>1211219.3400000001</v>
          </cell>
          <cell r="I923">
            <v>0</v>
          </cell>
          <cell r="J923">
            <v>1211219.3400000001</v>
          </cell>
          <cell r="K923">
            <v>0</v>
          </cell>
          <cell r="L923">
            <v>0</v>
          </cell>
        </row>
        <row r="924">
          <cell r="A924">
            <v>1</v>
          </cell>
          <cell r="B924">
            <v>9</v>
          </cell>
          <cell r="C924">
            <v>252</v>
          </cell>
          <cell r="D924">
            <v>10</v>
          </cell>
          <cell r="E924" t="str">
            <v xml:space="preserve">    </v>
          </cell>
          <cell r="F924" t="str">
            <v xml:space="preserve">   </v>
          </cell>
          <cell r="G924">
            <v>1925210</v>
          </cell>
          <cell r="H924">
            <v>-466.69</v>
          </cell>
          <cell r="I924">
            <v>-466.69</v>
          </cell>
          <cell r="J924">
            <v>0</v>
          </cell>
          <cell r="K924">
            <v>0</v>
          </cell>
          <cell r="L924">
            <v>0</v>
          </cell>
        </row>
        <row r="925">
          <cell r="A925">
            <v>2</v>
          </cell>
          <cell r="B925">
            <v>9</v>
          </cell>
          <cell r="C925">
            <v>252</v>
          </cell>
          <cell r="D925">
            <v>10</v>
          </cell>
          <cell r="E925" t="str">
            <v xml:space="preserve">    </v>
          </cell>
          <cell r="F925" t="str">
            <v xml:space="preserve">   </v>
          </cell>
          <cell r="G925">
            <v>2925210</v>
          </cell>
          <cell r="H925">
            <v>-32219</v>
          </cell>
          <cell r="I925">
            <v>-32219</v>
          </cell>
          <cell r="J925">
            <v>0</v>
          </cell>
          <cell r="K925">
            <v>0</v>
          </cell>
          <cell r="L925">
            <v>0</v>
          </cell>
        </row>
        <row r="926">
          <cell r="A926">
            <v>1</v>
          </cell>
          <cell r="B926">
            <v>9</v>
          </cell>
          <cell r="C926">
            <v>252</v>
          </cell>
          <cell r="D926">
            <v>30</v>
          </cell>
          <cell r="E926" t="str">
            <v xml:space="preserve">    </v>
          </cell>
          <cell r="F926" t="str">
            <v xml:space="preserve">   </v>
          </cell>
          <cell r="G926">
            <v>1925230</v>
          </cell>
          <cell r="H926">
            <v>35735</v>
          </cell>
          <cell r="I926">
            <v>0</v>
          </cell>
          <cell r="J926">
            <v>531</v>
          </cell>
          <cell r="K926">
            <v>35204</v>
          </cell>
          <cell r="L926">
            <v>0</v>
          </cell>
        </row>
        <row r="927">
          <cell r="A927">
            <v>2</v>
          </cell>
          <cell r="B927">
            <v>9</v>
          </cell>
          <cell r="C927">
            <v>252</v>
          </cell>
          <cell r="D927">
            <v>30</v>
          </cell>
          <cell r="E927" t="str">
            <v xml:space="preserve">    </v>
          </cell>
          <cell r="F927" t="str">
            <v xml:space="preserve">   </v>
          </cell>
          <cell r="G927">
            <v>2925230</v>
          </cell>
          <cell r="H927">
            <v>154390.37</v>
          </cell>
          <cell r="I927">
            <v>0</v>
          </cell>
          <cell r="J927">
            <v>69615.600000000006</v>
          </cell>
          <cell r="K927">
            <v>84774.77</v>
          </cell>
          <cell r="L927">
            <v>0</v>
          </cell>
        </row>
        <row r="928">
          <cell r="A928">
            <v>1</v>
          </cell>
          <cell r="B928">
            <v>9</v>
          </cell>
          <cell r="C928">
            <v>253</v>
          </cell>
          <cell r="D928">
            <v>38</v>
          </cell>
          <cell r="E928" t="str">
            <v xml:space="preserve">    </v>
          </cell>
          <cell r="F928" t="str">
            <v xml:space="preserve">   </v>
          </cell>
          <cell r="G928">
            <v>1925338</v>
          </cell>
          <cell r="H928">
            <v>3552683</v>
          </cell>
          <cell r="I928">
            <v>0</v>
          </cell>
          <cell r="J928">
            <v>0</v>
          </cell>
          <cell r="K928">
            <v>3552683</v>
          </cell>
          <cell r="L928">
            <v>0</v>
          </cell>
        </row>
        <row r="929">
          <cell r="A929">
            <v>2</v>
          </cell>
          <cell r="B929">
            <v>9</v>
          </cell>
          <cell r="C929">
            <v>253</v>
          </cell>
          <cell r="D929">
            <v>38</v>
          </cell>
          <cell r="E929" t="str">
            <v xml:space="preserve">    </v>
          </cell>
          <cell r="F929" t="str">
            <v xml:space="preserve">   </v>
          </cell>
          <cell r="G929">
            <v>2925338</v>
          </cell>
          <cell r="H929">
            <v>4064951</v>
          </cell>
          <cell r="I929">
            <v>0</v>
          </cell>
          <cell r="J929">
            <v>0</v>
          </cell>
          <cell r="K929">
            <v>4064951</v>
          </cell>
          <cell r="L929">
            <v>0</v>
          </cell>
        </row>
        <row r="930">
          <cell r="A930">
            <v>1</v>
          </cell>
          <cell r="B930">
            <v>9</v>
          </cell>
          <cell r="C930">
            <v>253</v>
          </cell>
          <cell r="D930">
            <v>85</v>
          </cell>
          <cell r="E930" t="str">
            <v xml:space="preserve">    </v>
          </cell>
          <cell r="F930" t="str">
            <v xml:space="preserve">   </v>
          </cell>
          <cell r="G930">
            <v>1925385</v>
          </cell>
          <cell r="H930">
            <v>16341</v>
          </cell>
          <cell r="I930">
            <v>16341</v>
          </cell>
          <cell r="J930">
            <v>0</v>
          </cell>
          <cell r="K930">
            <v>0</v>
          </cell>
          <cell r="L930">
            <v>0</v>
          </cell>
        </row>
        <row r="931">
          <cell r="A931">
            <v>2</v>
          </cell>
          <cell r="B931">
            <v>9</v>
          </cell>
          <cell r="C931">
            <v>253</v>
          </cell>
          <cell r="D931">
            <v>85</v>
          </cell>
          <cell r="E931" t="str">
            <v xml:space="preserve">    </v>
          </cell>
          <cell r="F931" t="str">
            <v xml:space="preserve">   </v>
          </cell>
          <cell r="G931">
            <v>2925385</v>
          </cell>
          <cell r="H931">
            <v>196092</v>
          </cell>
          <cell r="I931">
            <v>196092</v>
          </cell>
          <cell r="J931">
            <v>0</v>
          </cell>
          <cell r="K931">
            <v>0</v>
          </cell>
          <cell r="L931">
            <v>0</v>
          </cell>
        </row>
        <row r="932">
          <cell r="A932">
            <v>1</v>
          </cell>
          <cell r="B932">
            <v>9</v>
          </cell>
          <cell r="C932">
            <v>253</v>
          </cell>
          <cell r="D932">
            <v>86</v>
          </cell>
          <cell r="E932" t="str">
            <v xml:space="preserve">    </v>
          </cell>
          <cell r="F932" t="str">
            <v xml:space="preserve">   </v>
          </cell>
          <cell r="G932">
            <v>1925386</v>
          </cell>
          <cell r="H932">
            <v>5447</v>
          </cell>
          <cell r="I932">
            <v>5447</v>
          </cell>
          <cell r="J932">
            <v>0</v>
          </cell>
          <cell r="K932">
            <v>0</v>
          </cell>
          <cell r="L932">
            <v>0</v>
          </cell>
        </row>
        <row r="933">
          <cell r="A933">
            <v>2</v>
          </cell>
          <cell r="B933">
            <v>9</v>
          </cell>
          <cell r="C933">
            <v>253</v>
          </cell>
          <cell r="D933">
            <v>86</v>
          </cell>
          <cell r="E933" t="str">
            <v xml:space="preserve">    </v>
          </cell>
          <cell r="F933" t="str">
            <v xml:space="preserve">   </v>
          </cell>
          <cell r="G933">
            <v>2925386</v>
          </cell>
          <cell r="H933">
            <v>65364</v>
          </cell>
          <cell r="I933">
            <v>65364</v>
          </cell>
          <cell r="J933">
            <v>0</v>
          </cell>
          <cell r="K933">
            <v>0</v>
          </cell>
          <cell r="L933">
            <v>0</v>
          </cell>
        </row>
        <row r="934">
          <cell r="A934">
            <v>1</v>
          </cell>
          <cell r="B934">
            <v>9</v>
          </cell>
          <cell r="C934">
            <v>282</v>
          </cell>
          <cell r="D934">
            <v>10</v>
          </cell>
          <cell r="E934" t="str">
            <v xml:space="preserve">    </v>
          </cell>
          <cell r="F934" t="str">
            <v xml:space="preserve">   </v>
          </cell>
          <cell r="G934">
            <v>1928210</v>
          </cell>
          <cell r="H934">
            <v>13273</v>
          </cell>
          <cell r="I934">
            <v>0</v>
          </cell>
          <cell r="J934">
            <v>0</v>
          </cell>
          <cell r="K934">
            <v>13273</v>
          </cell>
          <cell r="L934">
            <v>0</v>
          </cell>
        </row>
        <row r="935">
          <cell r="A935">
            <v>2</v>
          </cell>
          <cell r="B935">
            <v>9</v>
          </cell>
          <cell r="C935">
            <v>282</v>
          </cell>
          <cell r="D935">
            <v>10</v>
          </cell>
          <cell r="E935" t="str">
            <v xml:space="preserve">    </v>
          </cell>
          <cell r="F935" t="str">
            <v xml:space="preserve">   </v>
          </cell>
          <cell r="G935">
            <v>2928210</v>
          </cell>
          <cell r="H935">
            <v>159276</v>
          </cell>
          <cell r="I935">
            <v>0</v>
          </cell>
          <cell r="J935">
            <v>0</v>
          </cell>
          <cell r="K935">
            <v>159276</v>
          </cell>
          <cell r="L935">
            <v>0</v>
          </cell>
        </row>
        <row r="936">
          <cell r="A936">
            <v>1</v>
          </cell>
          <cell r="B936">
            <v>9</v>
          </cell>
          <cell r="C936">
            <v>282</v>
          </cell>
          <cell r="D936">
            <v>40</v>
          </cell>
          <cell r="E936" t="str">
            <v xml:space="preserve">    </v>
          </cell>
          <cell r="F936" t="str">
            <v xml:space="preserve">   </v>
          </cell>
          <cell r="G936">
            <v>1928240</v>
          </cell>
          <cell r="H936">
            <v>-26690</v>
          </cell>
          <cell r="I936">
            <v>-26690</v>
          </cell>
          <cell r="J936">
            <v>0</v>
          </cell>
          <cell r="K936">
            <v>0</v>
          </cell>
          <cell r="L936">
            <v>0</v>
          </cell>
        </row>
        <row r="937">
          <cell r="A937">
            <v>2</v>
          </cell>
          <cell r="B937">
            <v>9</v>
          </cell>
          <cell r="C937">
            <v>282</v>
          </cell>
          <cell r="D937">
            <v>40</v>
          </cell>
          <cell r="E937" t="str">
            <v xml:space="preserve">    </v>
          </cell>
          <cell r="F937" t="str">
            <v xml:space="preserve">   </v>
          </cell>
          <cell r="G937">
            <v>2928240</v>
          </cell>
          <cell r="H937">
            <v>-418190</v>
          </cell>
          <cell r="I937">
            <v>-418190</v>
          </cell>
          <cell r="J937">
            <v>0</v>
          </cell>
          <cell r="K937">
            <v>0</v>
          </cell>
          <cell r="L937">
            <v>0</v>
          </cell>
        </row>
        <row r="938">
          <cell r="A938">
            <v>1</v>
          </cell>
          <cell r="B938">
            <v>9</v>
          </cell>
          <cell r="C938">
            <v>282</v>
          </cell>
          <cell r="D938">
            <v>41</v>
          </cell>
          <cell r="E938" t="str">
            <v xml:space="preserve">    </v>
          </cell>
          <cell r="F938" t="str">
            <v xml:space="preserve">   </v>
          </cell>
          <cell r="G938">
            <v>1928241</v>
          </cell>
          <cell r="H938">
            <v>-8220</v>
          </cell>
          <cell r="I938">
            <v>-8220</v>
          </cell>
          <cell r="J938">
            <v>0</v>
          </cell>
          <cell r="K938">
            <v>0</v>
          </cell>
          <cell r="L938">
            <v>0</v>
          </cell>
        </row>
        <row r="939">
          <cell r="A939">
            <v>2</v>
          </cell>
          <cell r="B939">
            <v>9</v>
          </cell>
          <cell r="C939">
            <v>282</v>
          </cell>
          <cell r="D939">
            <v>41</v>
          </cell>
          <cell r="E939" t="str">
            <v xml:space="preserve">    </v>
          </cell>
          <cell r="F939" t="str">
            <v xml:space="preserve">   </v>
          </cell>
          <cell r="G939">
            <v>2928241</v>
          </cell>
          <cell r="H939">
            <v>-109720</v>
          </cell>
          <cell r="I939">
            <v>-109720</v>
          </cell>
          <cell r="J939">
            <v>0</v>
          </cell>
          <cell r="K939">
            <v>0</v>
          </cell>
          <cell r="L939">
            <v>0</v>
          </cell>
        </row>
        <row r="940">
          <cell r="A940">
            <v>1</v>
          </cell>
          <cell r="B940">
            <v>9</v>
          </cell>
          <cell r="C940">
            <v>282</v>
          </cell>
          <cell r="D940">
            <v>42</v>
          </cell>
          <cell r="E940" t="str">
            <v xml:space="preserve">    </v>
          </cell>
          <cell r="F940" t="str">
            <v xml:space="preserve">   </v>
          </cell>
          <cell r="G940">
            <v>1928242</v>
          </cell>
          <cell r="H940">
            <v>2550</v>
          </cell>
          <cell r="I940">
            <v>2550</v>
          </cell>
          <cell r="J940">
            <v>0</v>
          </cell>
          <cell r="K940">
            <v>0</v>
          </cell>
          <cell r="L940">
            <v>0</v>
          </cell>
        </row>
        <row r="941">
          <cell r="A941">
            <v>2</v>
          </cell>
          <cell r="B941">
            <v>9</v>
          </cell>
          <cell r="C941">
            <v>282</v>
          </cell>
          <cell r="D941">
            <v>42</v>
          </cell>
          <cell r="E941" t="str">
            <v xml:space="preserve">    </v>
          </cell>
          <cell r="F941" t="str">
            <v xml:space="preserve">   </v>
          </cell>
          <cell r="G941">
            <v>2928242</v>
          </cell>
          <cell r="H941">
            <v>-41260</v>
          </cell>
          <cell r="I941">
            <v>-41260</v>
          </cell>
          <cell r="J941">
            <v>0</v>
          </cell>
          <cell r="K941">
            <v>0</v>
          </cell>
          <cell r="L941">
            <v>0</v>
          </cell>
        </row>
        <row r="942">
          <cell r="A942">
            <v>1</v>
          </cell>
          <cell r="B942">
            <v>9</v>
          </cell>
          <cell r="C942">
            <v>282</v>
          </cell>
          <cell r="D942">
            <v>47</v>
          </cell>
          <cell r="E942" t="str">
            <v xml:space="preserve">    </v>
          </cell>
          <cell r="F942" t="str">
            <v xml:space="preserve">   </v>
          </cell>
          <cell r="G942">
            <v>1928247</v>
          </cell>
          <cell r="H942">
            <v>-46644</v>
          </cell>
          <cell r="I942">
            <v>-46644</v>
          </cell>
          <cell r="J942">
            <v>0</v>
          </cell>
          <cell r="K942">
            <v>0</v>
          </cell>
          <cell r="L942">
            <v>0</v>
          </cell>
        </row>
        <row r="943">
          <cell r="A943">
            <v>2</v>
          </cell>
          <cell r="B943">
            <v>9</v>
          </cell>
          <cell r="C943">
            <v>282</v>
          </cell>
          <cell r="D943">
            <v>47</v>
          </cell>
          <cell r="E943" t="str">
            <v xml:space="preserve">    </v>
          </cell>
          <cell r="F943" t="str">
            <v xml:space="preserve">   </v>
          </cell>
          <cell r="G943">
            <v>2928247</v>
          </cell>
          <cell r="H943">
            <v>-151098</v>
          </cell>
          <cell r="I943">
            <v>-151098</v>
          </cell>
          <cell r="J943">
            <v>0</v>
          </cell>
          <cell r="K943">
            <v>0</v>
          </cell>
          <cell r="L943">
            <v>0</v>
          </cell>
        </row>
        <row r="944">
          <cell r="A944">
            <v>1</v>
          </cell>
          <cell r="B944">
            <v>9</v>
          </cell>
          <cell r="C944">
            <v>282</v>
          </cell>
          <cell r="D944">
            <v>48</v>
          </cell>
          <cell r="E944" t="str">
            <v xml:space="preserve">    </v>
          </cell>
          <cell r="F944" t="str">
            <v xml:space="preserve">   </v>
          </cell>
          <cell r="G944">
            <v>1928248</v>
          </cell>
          <cell r="H944">
            <v>-977</v>
          </cell>
          <cell r="I944">
            <v>-977</v>
          </cell>
          <cell r="J944">
            <v>0</v>
          </cell>
          <cell r="K944">
            <v>0</v>
          </cell>
          <cell r="L944">
            <v>0</v>
          </cell>
        </row>
        <row r="945">
          <cell r="A945">
            <v>2</v>
          </cell>
          <cell r="B945">
            <v>9</v>
          </cell>
          <cell r="C945">
            <v>282</v>
          </cell>
          <cell r="D945">
            <v>48</v>
          </cell>
          <cell r="E945" t="str">
            <v xml:space="preserve">    </v>
          </cell>
          <cell r="F945" t="str">
            <v xml:space="preserve">   </v>
          </cell>
          <cell r="G945">
            <v>2928248</v>
          </cell>
          <cell r="H945">
            <v>-1994</v>
          </cell>
          <cell r="I945">
            <v>-1994</v>
          </cell>
          <cell r="J945">
            <v>0</v>
          </cell>
          <cell r="K945">
            <v>0</v>
          </cell>
          <cell r="L945">
            <v>0</v>
          </cell>
        </row>
        <row r="946">
          <cell r="A946">
            <v>1</v>
          </cell>
          <cell r="B946">
            <v>9</v>
          </cell>
          <cell r="C946">
            <v>282</v>
          </cell>
          <cell r="D946">
            <v>49</v>
          </cell>
          <cell r="E946" t="str">
            <v xml:space="preserve">    </v>
          </cell>
          <cell r="F946" t="str">
            <v xml:space="preserve">   </v>
          </cell>
          <cell r="G946">
            <v>1928249</v>
          </cell>
          <cell r="H946">
            <v>-19664</v>
          </cell>
          <cell r="I946">
            <v>-19664</v>
          </cell>
          <cell r="J946">
            <v>0</v>
          </cell>
          <cell r="K946">
            <v>0</v>
          </cell>
          <cell r="L946">
            <v>0</v>
          </cell>
        </row>
        <row r="947">
          <cell r="A947">
            <v>2</v>
          </cell>
          <cell r="B947">
            <v>9</v>
          </cell>
          <cell r="C947">
            <v>282</v>
          </cell>
          <cell r="D947">
            <v>49</v>
          </cell>
          <cell r="E947" t="str">
            <v xml:space="preserve">    </v>
          </cell>
          <cell r="F947" t="str">
            <v xml:space="preserve">   </v>
          </cell>
          <cell r="G947">
            <v>2928249</v>
          </cell>
          <cell r="H947">
            <v>-50858</v>
          </cell>
          <cell r="I947">
            <v>-50858</v>
          </cell>
          <cell r="J947">
            <v>0</v>
          </cell>
          <cell r="K947">
            <v>0</v>
          </cell>
          <cell r="L947">
            <v>0</v>
          </cell>
        </row>
        <row r="948">
          <cell r="A948">
            <v>1</v>
          </cell>
          <cell r="B948">
            <v>9</v>
          </cell>
          <cell r="C948">
            <v>282</v>
          </cell>
          <cell r="D948">
            <v>68</v>
          </cell>
          <cell r="E948" t="str">
            <v xml:space="preserve">    </v>
          </cell>
          <cell r="F948" t="str">
            <v xml:space="preserve">   </v>
          </cell>
          <cell r="G948">
            <v>1928268</v>
          </cell>
          <cell r="H948">
            <v>9921</v>
          </cell>
          <cell r="I948">
            <v>0</v>
          </cell>
          <cell r="J948">
            <v>9921</v>
          </cell>
          <cell r="K948">
            <v>0</v>
          </cell>
          <cell r="L948">
            <v>0</v>
          </cell>
        </row>
        <row r="949">
          <cell r="A949">
            <v>2</v>
          </cell>
          <cell r="B949">
            <v>9</v>
          </cell>
          <cell r="C949">
            <v>282</v>
          </cell>
          <cell r="D949">
            <v>68</v>
          </cell>
          <cell r="E949" t="str">
            <v xml:space="preserve">    </v>
          </cell>
          <cell r="F949" t="str">
            <v xml:space="preserve">   </v>
          </cell>
          <cell r="G949">
            <v>2928268</v>
          </cell>
          <cell r="H949">
            <v>119052</v>
          </cell>
          <cell r="I949">
            <v>0</v>
          </cell>
          <cell r="J949">
            <v>119052</v>
          </cell>
          <cell r="K949">
            <v>0</v>
          </cell>
          <cell r="L949">
            <v>0</v>
          </cell>
        </row>
        <row r="950">
          <cell r="A950">
            <v>1</v>
          </cell>
          <cell r="B950">
            <v>9</v>
          </cell>
          <cell r="C950">
            <v>282</v>
          </cell>
          <cell r="D950">
            <v>78</v>
          </cell>
          <cell r="E950" t="str">
            <v xml:space="preserve">    </v>
          </cell>
          <cell r="F950" t="str">
            <v xml:space="preserve">   </v>
          </cell>
          <cell r="G950">
            <v>1928278</v>
          </cell>
          <cell r="H950">
            <v>1972</v>
          </cell>
          <cell r="I950">
            <v>0</v>
          </cell>
          <cell r="J950">
            <v>0</v>
          </cell>
          <cell r="K950">
            <v>1972</v>
          </cell>
          <cell r="L950">
            <v>0</v>
          </cell>
        </row>
        <row r="951">
          <cell r="A951">
            <v>2</v>
          </cell>
          <cell r="B951">
            <v>9</v>
          </cell>
          <cell r="C951">
            <v>282</v>
          </cell>
          <cell r="D951">
            <v>78</v>
          </cell>
          <cell r="E951" t="str">
            <v xml:space="preserve">    </v>
          </cell>
          <cell r="F951" t="str">
            <v xml:space="preserve">   </v>
          </cell>
          <cell r="G951">
            <v>2928278</v>
          </cell>
          <cell r="H951">
            <v>23684</v>
          </cell>
          <cell r="I951">
            <v>0</v>
          </cell>
          <cell r="J951">
            <v>0</v>
          </cell>
          <cell r="K951">
            <v>23684</v>
          </cell>
          <cell r="L951">
            <v>0</v>
          </cell>
        </row>
        <row r="952">
          <cell r="A952">
            <v>1</v>
          </cell>
          <cell r="B952">
            <v>9</v>
          </cell>
          <cell r="C952">
            <v>282</v>
          </cell>
          <cell r="D952">
            <v>90</v>
          </cell>
          <cell r="E952" t="str">
            <v xml:space="preserve">    </v>
          </cell>
          <cell r="F952" t="str">
            <v xml:space="preserve">   </v>
          </cell>
          <cell r="G952">
            <v>1928290</v>
          </cell>
          <cell r="H952">
            <v>-555802.97</v>
          </cell>
          <cell r="I952">
            <v>-555802.97</v>
          </cell>
          <cell r="J952">
            <v>0</v>
          </cell>
          <cell r="K952">
            <v>0</v>
          </cell>
          <cell r="L952">
            <v>0</v>
          </cell>
        </row>
        <row r="953">
          <cell r="A953">
            <v>2</v>
          </cell>
          <cell r="B953">
            <v>9</v>
          </cell>
          <cell r="C953">
            <v>282</v>
          </cell>
          <cell r="D953">
            <v>90</v>
          </cell>
          <cell r="E953" t="str">
            <v xml:space="preserve">    </v>
          </cell>
          <cell r="F953" t="str">
            <v xml:space="preserve">   </v>
          </cell>
          <cell r="G953">
            <v>2928290</v>
          </cell>
          <cell r="H953">
            <v>-5464325.6399999997</v>
          </cell>
          <cell r="I953">
            <v>-5464325.6399999997</v>
          </cell>
          <cell r="J953">
            <v>0</v>
          </cell>
          <cell r="K953">
            <v>0</v>
          </cell>
          <cell r="L953">
            <v>0</v>
          </cell>
        </row>
        <row r="954">
          <cell r="A954">
            <v>1</v>
          </cell>
          <cell r="B954">
            <v>9</v>
          </cell>
          <cell r="C954">
            <v>282</v>
          </cell>
          <cell r="D954">
            <v>91</v>
          </cell>
          <cell r="E954" t="str">
            <v xml:space="preserve">    </v>
          </cell>
          <cell r="F954" t="str">
            <v xml:space="preserve">   </v>
          </cell>
          <cell r="G954">
            <v>1928291</v>
          </cell>
          <cell r="H954">
            <v>-156307</v>
          </cell>
          <cell r="I954">
            <v>-156307</v>
          </cell>
          <cell r="J954">
            <v>0</v>
          </cell>
          <cell r="K954">
            <v>0</v>
          </cell>
          <cell r="L954">
            <v>0</v>
          </cell>
        </row>
        <row r="955">
          <cell r="A955">
            <v>2</v>
          </cell>
          <cell r="B955">
            <v>9</v>
          </cell>
          <cell r="C955">
            <v>282</v>
          </cell>
          <cell r="D955">
            <v>91</v>
          </cell>
          <cell r="E955" t="str">
            <v xml:space="preserve">    </v>
          </cell>
          <cell r="F955" t="str">
            <v xml:space="preserve">   </v>
          </cell>
          <cell r="G955">
            <v>2928291</v>
          </cell>
          <cell r="H955">
            <v>-1999674</v>
          </cell>
          <cell r="I955">
            <v>-1999674</v>
          </cell>
          <cell r="J955">
            <v>0</v>
          </cell>
          <cell r="K955">
            <v>0</v>
          </cell>
          <cell r="L955">
            <v>0</v>
          </cell>
        </row>
        <row r="956">
          <cell r="A956">
            <v>1</v>
          </cell>
          <cell r="B956">
            <v>9</v>
          </cell>
          <cell r="C956">
            <v>282</v>
          </cell>
          <cell r="D956">
            <v>92</v>
          </cell>
          <cell r="E956" t="str">
            <v xml:space="preserve">    </v>
          </cell>
          <cell r="F956" t="str">
            <v xml:space="preserve">   </v>
          </cell>
          <cell r="G956">
            <v>1928292</v>
          </cell>
          <cell r="H956">
            <v>-112590</v>
          </cell>
          <cell r="I956">
            <v>-112590</v>
          </cell>
          <cell r="J956">
            <v>0</v>
          </cell>
          <cell r="K956">
            <v>0</v>
          </cell>
          <cell r="L956">
            <v>0</v>
          </cell>
        </row>
        <row r="957">
          <cell r="A957">
            <v>2</v>
          </cell>
          <cell r="B957">
            <v>9</v>
          </cell>
          <cell r="C957">
            <v>282</v>
          </cell>
          <cell r="D957">
            <v>92</v>
          </cell>
          <cell r="E957" t="str">
            <v xml:space="preserve">    </v>
          </cell>
          <cell r="F957" t="str">
            <v xml:space="preserve">   </v>
          </cell>
          <cell r="G957">
            <v>2928292</v>
          </cell>
          <cell r="H957">
            <v>-1196890</v>
          </cell>
          <cell r="I957">
            <v>-1196890</v>
          </cell>
          <cell r="J957">
            <v>0</v>
          </cell>
          <cell r="K957">
            <v>0</v>
          </cell>
          <cell r="L957">
            <v>0</v>
          </cell>
        </row>
        <row r="958">
          <cell r="A958">
            <v>1</v>
          </cell>
          <cell r="B958">
            <v>9</v>
          </cell>
          <cell r="C958">
            <v>282</v>
          </cell>
          <cell r="D958">
            <v>97</v>
          </cell>
          <cell r="E958" t="str">
            <v xml:space="preserve">    </v>
          </cell>
          <cell r="F958" t="str">
            <v xml:space="preserve">   </v>
          </cell>
          <cell r="G958">
            <v>1928297</v>
          </cell>
          <cell r="H958">
            <v>-5792</v>
          </cell>
          <cell r="I958">
            <v>-5792</v>
          </cell>
          <cell r="J958">
            <v>0</v>
          </cell>
          <cell r="K958">
            <v>0</v>
          </cell>
          <cell r="L958">
            <v>0</v>
          </cell>
        </row>
        <row r="959">
          <cell r="A959">
            <v>2</v>
          </cell>
          <cell r="B959">
            <v>9</v>
          </cell>
          <cell r="C959">
            <v>282</v>
          </cell>
          <cell r="D959">
            <v>97</v>
          </cell>
          <cell r="E959" t="str">
            <v xml:space="preserve">    </v>
          </cell>
          <cell r="F959" t="str">
            <v xml:space="preserve">   </v>
          </cell>
          <cell r="G959">
            <v>2928297</v>
          </cell>
          <cell r="H959">
            <v>-698804</v>
          </cell>
          <cell r="I959">
            <v>-698804</v>
          </cell>
          <cell r="J959">
            <v>0</v>
          </cell>
          <cell r="K959">
            <v>0</v>
          </cell>
          <cell r="L959">
            <v>0</v>
          </cell>
        </row>
        <row r="960">
          <cell r="A960">
            <v>1</v>
          </cell>
          <cell r="B960">
            <v>9</v>
          </cell>
          <cell r="C960">
            <v>282</v>
          </cell>
          <cell r="D960">
            <v>98</v>
          </cell>
          <cell r="E960" t="str">
            <v xml:space="preserve">    </v>
          </cell>
          <cell r="F960" t="str">
            <v xml:space="preserve">   </v>
          </cell>
          <cell r="G960">
            <v>1928298</v>
          </cell>
          <cell r="H960">
            <v>-5837</v>
          </cell>
          <cell r="I960">
            <v>-5837</v>
          </cell>
          <cell r="J960">
            <v>0</v>
          </cell>
          <cell r="K960">
            <v>0</v>
          </cell>
          <cell r="L960">
            <v>0</v>
          </cell>
        </row>
        <row r="961">
          <cell r="A961">
            <v>2</v>
          </cell>
          <cell r="B961">
            <v>9</v>
          </cell>
          <cell r="C961">
            <v>282</v>
          </cell>
          <cell r="D961">
            <v>98</v>
          </cell>
          <cell r="E961" t="str">
            <v xml:space="preserve">    </v>
          </cell>
          <cell r="F961" t="str">
            <v xml:space="preserve">   </v>
          </cell>
          <cell r="G961">
            <v>2928298</v>
          </cell>
          <cell r="H961">
            <v>-11864</v>
          </cell>
          <cell r="I961">
            <v>-11864</v>
          </cell>
          <cell r="J961">
            <v>0</v>
          </cell>
          <cell r="K961">
            <v>0</v>
          </cell>
          <cell r="L961">
            <v>0</v>
          </cell>
        </row>
        <row r="962">
          <cell r="A962">
            <v>1</v>
          </cell>
          <cell r="B962">
            <v>9</v>
          </cell>
          <cell r="C962">
            <v>282</v>
          </cell>
          <cell r="D962">
            <v>99</v>
          </cell>
          <cell r="E962" t="str">
            <v xml:space="preserve">    </v>
          </cell>
          <cell r="F962" t="str">
            <v xml:space="preserve">   </v>
          </cell>
          <cell r="G962">
            <v>1928299</v>
          </cell>
          <cell r="H962">
            <v>-123016</v>
          </cell>
          <cell r="I962">
            <v>-123016</v>
          </cell>
          <cell r="J962">
            <v>0</v>
          </cell>
          <cell r="K962">
            <v>0</v>
          </cell>
          <cell r="L962">
            <v>0</v>
          </cell>
        </row>
        <row r="963">
          <cell r="A963">
            <v>2</v>
          </cell>
          <cell r="B963">
            <v>9</v>
          </cell>
          <cell r="C963">
            <v>282</v>
          </cell>
          <cell r="D963">
            <v>99</v>
          </cell>
          <cell r="E963" t="str">
            <v xml:space="preserve">    </v>
          </cell>
          <cell r="F963" t="str">
            <v xml:space="preserve">   </v>
          </cell>
          <cell r="G963">
            <v>2928299</v>
          </cell>
          <cell r="H963">
            <v>-352472</v>
          </cell>
          <cell r="I963">
            <v>-352472</v>
          </cell>
          <cell r="J963">
            <v>0</v>
          </cell>
          <cell r="K963">
            <v>0</v>
          </cell>
          <cell r="L963">
            <v>0</v>
          </cell>
        </row>
        <row r="964">
          <cell r="A964">
            <v>1</v>
          </cell>
          <cell r="B964">
            <v>9</v>
          </cell>
          <cell r="C964">
            <v>283</v>
          </cell>
          <cell r="D964">
            <v>15</v>
          </cell>
          <cell r="E964" t="str">
            <v xml:space="preserve">    </v>
          </cell>
          <cell r="F964" t="str">
            <v xml:space="preserve">   </v>
          </cell>
          <cell r="G964">
            <v>1928315</v>
          </cell>
          <cell r="H964">
            <v>21252</v>
          </cell>
          <cell r="I964">
            <v>21252</v>
          </cell>
          <cell r="J964">
            <v>0</v>
          </cell>
          <cell r="K964">
            <v>0</v>
          </cell>
          <cell r="L964">
            <v>0</v>
          </cell>
        </row>
        <row r="965">
          <cell r="A965">
            <v>2</v>
          </cell>
          <cell r="B965">
            <v>9</v>
          </cell>
          <cell r="C965">
            <v>283</v>
          </cell>
          <cell r="D965">
            <v>15</v>
          </cell>
          <cell r="E965" t="str">
            <v xml:space="preserve">    </v>
          </cell>
          <cell r="F965" t="str">
            <v xml:space="preserve">   </v>
          </cell>
          <cell r="G965">
            <v>2928315</v>
          </cell>
          <cell r="H965">
            <v>232599</v>
          </cell>
          <cell r="I965">
            <v>232599</v>
          </cell>
          <cell r="J965">
            <v>0</v>
          </cell>
          <cell r="K965">
            <v>0</v>
          </cell>
          <cell r="L965">
            <v>0</v>
          </cell>
        </row>
        <row r="966">
          <cell r="A966">
            <v>1</v>
          </cell>
          <cell r="B966">
            <v>9</v>
          </cell>
          <cell r="C966">
            <v>283</v>
          </cell>
          <cell r="D966">
            <v>17</v>
          </cell>
          <cell r="E966" t="str">
            <v xml:space="preserve">    </v>
          </cell>
          <cell r="F966" t="str">
            <v xml:space="preserve">   </v>
          </cell>
          <cell r="G966">
            <v>1928317</v>
          </cell>
          <cell r="H966">
            <v>692072</v>
          </cell>
          <cell r="I966">
            <v>692072</v>
          </cell>
          <cell r="J966">
            <v>0</v>
          </cell>
          <cell r="K966">
            <v>0</v>
          </cell>
          <cell r="L966">
            <v>0</v>
          </cell>
        </row>
        <row r="967">
          <cell r="A967">
            <v>2</v>
          </cell>
          <cell r="B967">
            <v>9</v>
          </cell>
          <cell r="C967">
            <v>283</v>
          </cell>
          <cell r="D967">
            <v>17</v>
          </cell>
          <cell r="E967" t="str">
            <v xml:space="preserve">    </v>
          </cell>
          <cell r="F967" t="str">
            <v xml:space="preserve">   </v>
          </cell>
          <cell r="G967">
            <v>2928317</v>
          </cell>
          <cell r="H967">
            <v>3472575</v>
          </cell>
          <cell r="I967">
            <v>3472575</v>
          </cell>
          <cell r="J967">
            <v>0</v>
          </cell>
          <cell r="K967">
            <v>0</v>
          </cell>
          <cell r="L967">
            <v>0</v>
          </cell>
        </row>
        <row r="968">
          <cell r="A968">
            <v>1</v>
          </cell>
          <cell r="B968">
            <v>9</v>
          </cell>
          <cell r="C968">
            <v>283</v>
          </cell>
          <cell r="D968">
            <v>18</v>
          </cell>
          <cell r="E968" t="str">
            <v xml:space="preserve">    </v>
          </cell>
          <cell r="F968" t="str">
            <v xml:space="preserve">   </v>
          </cell>
          <cell r="G968">
            <v>1928318</v>
          </cell>
          <cell r="H968">
            <v>629101</v>
          </cell>
          <cell r="I968">
            <v>629101</v>
          </cell>
          <cell r="J968">
            <v>0</v>
          </cell>
          <cell r="K968">
            <v>0</v>
          </cell>
          <cell r="L968">
            <v>0</v>
          </cell>
        </row>
        <row r="969">
          <cell r="A969">
            <v>2</v>
          </cell>
          <cell r="B969">
            <v>9</v>
          </cell>
          <cell r="C969">
            <v>283</v>
          </cell>
          <cell r="D969">
            <v>18</v>
          </cell>
          <cell r="E969" t="str">
            <v xml:space="preserve">    </v>
          </cell>
          <cell r="F969" t="str">
            <v xml:space="preserve">   </v>
          </cell>
          <cell r="G969">
            <v>2928318</v>
          </cell>
          <cell r="H969">
            <v>2172233</v>
          </cell>
          <cell r="I969">
            <v>2172233</v>
          </cell>
          <cell r="J969">
            <v>0</v>
          </cell>
          <cell r="K969">
            <v>0</v>
          </cell>
          <cell r="L969">
            <v>0</v>
          </cell>
        </row>
        <row r="970">
          <cell r="A970">
            <v>1</v>
          </cell>
          <cell r="B970">
            <v>9</v>
          </cell>
          <cell r="C970">
            <v>283</v>
          </cell>
          <cell r="D970">
            <v>20</v>
          </cell>
          <cell r="E970" t="str">
            <v xml:space="preserve">    </v>
          </cell>
          <cell r="F970" t="str">
            <v xml:space="preserve">   </v>
          </cell>
          <cell r="G970">
            <v>1928320</v>
          </cell>
          <cell r="H970">
            <v>2836.25</v>
          </cell>
          <cell r="I970">
            <v>2836.25</v>
          </cell>
          <cell r="J970">
            <v>0</v>
          </cell>
          <cell r="K970">
            <v>0</v>
          </cell>
          <cell r="L970">
            <v>0</v>
          </cell>
        </row>
        <row r="971">
          <cell r="A971">
            <v>2</v>
          </cell>
          <cell r="B971">
            <v>9</v>
          </cell>
          <cell r="C971">
            <v>283</v>
          </cell>
          <cell r="D971">
            <v>20</v>
          </cell>
          <cell r="E971" t="str">
            <v xml:space="preserve">    </v>
          </cell>
          <cell r="F971" t="str">
            <v xml:space="preserve">   </v>
          </cell>
          <cell r="G971">
            <v>2928320</v>
          </cell>
          <cell r="H971">
            <v>34035</v>
          </cell>
          <cell r="I971">
            <v>34035</v>
          </cell>
          <cell r="J971">
            <v>0</v>
          </cell>
          <cell r="K971">
            <v>0</v>
          </cell>
          <cell r="L971">
            <v>0</v>
          </cell>
        </row>
        <row r="972">
          <cell r="A972">
            <v>1</v>
          </cell>
          <cell r="B972">
            <v>9</v>
          </cell>
          <cell r="C972">
            <v>283</v>
          </cell>
          <cell r="D972">
            <v>28</v>
          </cell>
          <cell r="E972" t="str">
            <v xml:space="preserve">    </v>
          </cell>
          <cell r="F972" t="str">
            <v xml:space="preserve">   </v>
          </cell>
          <cell r="G972">
            <v>1928328</v>
          </cell>
          <cell r="H972">
            <v>0</v>
          </cell>
          <cell r="I972">
            <v>0</v>
          </cell>
          <cell r="J972">
            <v>0</v>
          </cell>
          <cell r="K972">
            <v>0</v>
          </cell>
          <cell r="L972">
            <v>0</v>
          </cell>
        </row>
        <row r="973">
          <cell r="A973">
            <v>2</v>
          </cell>
          <cell r="B973">
            <v>9</v>
          </cell>
          <cell r="C973">
            <v>283</v>
          </cell>
          <cell r="D973">
            <v>28</v>
          </cell>
          <cell r="E973" t="str">
            <v xml:space="preserve">    </v>
          </cell>
          <cell r="F973" t="str">
            <v xml:space="preserve">   </v>
          </cell>
          <cell r="G973">
            <v>2928328</v>
          </cell>
          <cell r="H973">
            <v>14489</v>
          </cell>
          <cell r="I973">
            <v>0</v>
          </cell>
          <cell r="J973">
            <v>14489</v>
          </cell>
          <cell r="K973">
            <v>0</v>
          </cell>
          <cell r="L973">
            <v>0</v>
          </cell>
        </row>
        <row r="974">
          <cell r="A974">
            <v>1</v>
          </cell>
          <cell r="B974">
            <v>9</v>
          </cell>
          <cell r="C974">
            <v>283</v>
          </cell>
          <cell r="D974">
            <v>33</v>
          </cell>
          <cell r="E974" t="str">
            <v xml:space="preserve">    </v>
          </cell>
          <cell r="F974" t="str">
            <v xml:space="preserve">   </v>
          </cell>
          <cell r="G974">
            <v>1928333</v>
          </cell>
          <cell r="H974">
            <v>83567</v>
          </cell>
          <cell r="I974">
            <v>0</v>
          </cell>
          <cell r="J974">
            <v>83567</v>
          </cell>
          <cell r="K974">
            <v>0</v>
          </cell>
          <cell r="L974">
            <v>0</v>
          </cell>
        </row>
        <row r="975">
          <cell r="A975">
            <v>2</v>
          </cell>
          <cell r="B975">
            <v>9</v>
          </cell>
          <cell r="C975">
            <v>283</v>
          </cell>
          <cell r="D975">
            <v>33</v>
          </cell>
          <cell r="E975" t="str">
            <v xml:space="preserve">    </v>
          </cell>
          <cell r="F975" t="str">
            <v xml:space="preserve">   </v>
          </cell>
          <cell r="G975">
            <v>2928333</v>
          </cell>
          <cell r="H975">
            <v>-307769</v>
          </cell>
          <cell r="I975">
            <v>0</v>
          </cell>
          <cell r="J975">
            <v>-307769</v>
          </cell>
          <cell r="K975">
            <v>0</v>
          </cell>
          <cell r="L975">
            <v>0</v>
          </cell>
        </row>
        <row r="976">
          <cell r="A976">
            <v>1</v>
          </cell>
          <cell r="B976">
            <v>9</v>
          </cell>
          <cell r="C976">
            <v>283</v>
          </cell>
          <cell r="D976">
            <v>41</v>
          </cell>
          <cell r="E976" t="str">
            <v xml:space="preserve">    </v>
          </cell>
          <cell r="F976" t="str">
            <v xml:space="preserve">   </v>
          </cell>
          <cell r="G976">
            <v>1928341</v>
          </cell>
          <cell r="H976">
            <v>36094</v>
          </cell>
          <cell r="I976">
            <v>0</v>
          </cell>
          <cell r="J976">
            <v>0</v>
          </cell>
          <cell r="K976">
            <v>36094</v>
          </cell>
          <cell r="L976">
            <v>0</v>
          </cell>
        </row>
        <row r="977">
          <cell r="A977">
            <v>2</v>
          </cell>
          <cell r="B977">
            <v>9</v>
          </cell>
          <cell r="C977">
            <v>283</v>
          </cell>
          <cell r="D977">
            <v>41</v>
          </cell>
          <cell r="E977" t="str">
            <v xml:space="preserve">    </v>
          </cell>
          <cell r="F977" t="str">
            <v xml:space="preserve">   </v>
          </cell>
          <cell r="G977">
            <v>2928341</v>
          </cell>
          <cell r="H977">
            <v>-179733</v>
          </cell>
          <cell r="I977">
            <v>0</v>
          </cell>
          <cell r="J977">
            <v>0</v>
          </cell>
          <cell r="K977">
            <v>-179733</v>
          </cell>
          <cell r="L977">
            <v>0</v>
          </cell>
        </row>
        <row r="978">
          <cell r="A978">
            <v>1</v>
          </cell>
          <cell r="B978">
            <v>9</v>
          </cell>
          <cell r="C978">
            <v>283</v>
          </cell>
          <cell r="D978">
            <v>72</v>
          </cell>
          <cell r="E978" t="str">
            <v xml:space="preserve">    </v>
          </cell>
          <cell r="F978" t="str">
            <v xml:space="preserve">   </v>
          </cell>
          <cell r="G978">
            <v>1928372</v>
          </cell>
          <cell r="H978">
            <v>-124198.55</v>
          </cell>
          <cell r="I978">
            <v>-124198.55</v>
          </cell>
          <cell r="J978">
            <v>0</v>
          </cell>
          <cell r="K978">
            <v>0</v>
          </cell>
          <cell r="L978">
            <v>0</v>
          </cell>
        </row>
        <row r="979">
          <cell r="A979">
            <v>2</v>
          </cell>
          <cell r="B979">
            <v>9</v>
          </cell>
          <cell r="C979">
            <v>283</v>
          </cell>
          <cell r="D979">
            <v>72</v>
          </cell>
          <cell r="E979" t="str">
            <v xml:space="preserve">    </v>
          </cell>
          <cell r="F979" t="str">
            <v xml:space="preserve">   </v>
          </cell>
          <cell r="G979">
            <v>2928372</v>
          </cell>
          <cell r="H979">
            <v>-1490382.61</v>
          </cell>
          <cell r="I979">
            <v>-1490382.61</v>
          </cell>
          <cell r="J979">
            <v>0</v>
          </cell>
          <cell r="K979">
            <v>0</v>
          </cell>
          <cell r="L979">
            <v>0</v>
          </cell>
        </row>
        <row r="980">
          <cell r="A980">
            <v>1</v>
          </cell>
          <cell r="B980">
            <v>9</v>
          </cell>
          <cell r="C980">
            <v>283</v>
          </cell>
          <cell r="D980">
            <v>73</v>
          </cell>
          <cell r="E980" t="str">
            <v xml:space="preserve">    </v>
          </cell>
          <cell r="F980" t="str">
            <v xml:space="preserve">   </v>
          </cell>
          <cell r="G980">
            <v>1928373</v>
          </cell>
          <cell r="H980">
            <v>-15252.91</v>
          </cell>
          <cell r="I980">
            <v>-15252.91</v>
          </cell>
          <cell r="J980">
            <v>0</v>
          </cell>
          <cell r="K980">
            <v>0</v>
          </cell>
          <cell r="L980">
            <v>0</v>
          </cell>
        </row>
        <row r="981">
          <cell r="A981">
            <v>2</v>
          </cell>
          <cell r="B981">
            <v>9</v>
          </cell>
          <cell r="C981">
            <v>283</v>
          </cell>
          <cell r="D981">
            <v>73</v>
          </cell>
          <cell r="E981" t="str">
            <v xml:space="preserve">    </v>
          </cell>
          <cell r="F981" t="str">
            <v xml:space="preserve">   </v>
          </cell>
          <cell r="G981">
            <v>2928373</v>
          </cell>
          <cell r="H981">
            <v>-183034.92</v>
          </cell>
          <cell r="I981">
            <v>-183034.92</v>
          </cell>
          <cell r="J981">
            <v>0</v>
          </cell>
          <cell r="K981">
            <v>0</v>
          </cell>
          <cell r="L981">
            <v>0</v>
          </cell>
        </row>
        <row r="982">
          <cell r="A982">
            <v>1</v>
          </cell>
          <cell r="B982">
            <v>9</v>
          </cell>
          <cell r="C982">
            <v>283</v>
          </cell>
          <cell r="D982">
            <v>74</v>
          </cell>
          <cell r="E982" t="str">
            <v xml:space="preserve">    </v>
          </cell>
          <cell r="F982" t="str">
            <v xml:space="preserve">   </v>
          </cell>
          <cell r="G982">
            <v>1928374</v>
          </cell>
          <cell r="H982">
            <v>6697</v>
          </cell>
          <cell r="I982">
            <v>0</v>
          </cell>
          <cell r="J982">
            <v>3199</v>
          </cell>
          <cell r="K982">
            <v>3498</v>
          </cell>
          <cell r="L982">
            <v>0</v>
          </cell>
        </row>
        <row r="983">
          <cell r="A983">
            <v>2</v>
          </cell>
          <cell r="B983">
            <v>9</v>
          </cell>
          <cell r="C983">
            <v>283</v>
          </cell>
          <cell r="D983">
            <v>74</v>
          </cell>
          <cell r="E983" t="str">
            <v xml:space="preserve">    </v>
          </cell>
          <cell r="F983" t="str">
            <v xml:space="preserve">   </v>
          </cell>
          <cell r="G983">
            <v>2928374</v>
          </cell>
          <cell r="H983">
            <v>80364</v>
          </cell>
          <cell r="I983">
            <v>0</v>
          </cell>
          <cell r="J983">
            <v>38388</v>
          </cell>
          <cell r="K983">
            <v>41976</v>
          </cell>
          <cell r="L983">
            <v>0</v>
          </cell>
        </row>
        <row r="984">
          <cell r="A984">
            <v>1</v>
          </cell>
          <cell r="B984">
            <v>9</v>
          </cell>
          <cell r="C984">
            <v>283</v>
          </cell>
          <cell r="D984">
            <v>75</v>
          </cell>
          <cell r="E984" t="str">
            <v xml:space="preserve">    </v>
          </cell>
          <cell r="F984" t="str">
            <v xml:space="preserve">   </v>
          </cell>
          <cell r="G984">
            <v>1928375</v>
          </cell>
          <cell r="H984">
            <v>1719.58</v>
          </cell>
          <cell r="I984">
            <v>0</v>
          </cell>
          <cell r="J984">
            <v>1251.58</v>
          </cell>
          <cell r="K984">
            <v>468</v>
          </cell>
          <cell r="L984">
            <v>0</v>
          </cell>
        </row>
        <row r="985">
          <cell r="A985">
            <v>2</v>
          </cell>
          <cell r="B985">
            <v>9</v>
          </cell>
          <cell r="C985">
            <v>283</v>
          </cell>
          <cell r="D985">
            <v>75</v>
          </cell>
          <cell r="E985" t="str">
            <v xml:space="preserve">    </v>
          </cell>
          <cell r="F985" t="str">
            <v xml:space="preserve">   </v>
          </cell>
          <cell r="G985">
            <v>2928375</v>
          </cell>
          <cell r="H985">
            <v>20634.96</v>
          </cell>
          <cell r="I985">
            <v>0</v>
          </cell>
          <cell r="J985">
            <v>15018.96</v>
          </cell>
          <cell r="K985">
            <v>5616</v>
          </cell>
          <cell r="L985">
            <v>0</v>
          </cell>
        </row>
        <row r="986">
          <cell r="A986">
            <v>1</v>
          </cell>
          <cell r="B986">
            <v>9</v>
          </cell>
          <cell r="C986">
            <v>283</v>
          </cell>
          <cell r="D986">
            <v>85</v>
          </cell>
          <cell r="E986" t="str">
            <v xml:space="preserve">    </v>
          </cell>
          <cell r="F986" t="str">
            <v xml:space="preserve">   </v>
          </cell>
          <cell r="G986">
            <v>1928385</v>
          </cell>
          <cell r="H986">
            <v>52292.959999999999</v>
          </cell>
          <cell r="I986">
            <v>52292.959999999999</v>
          </cell>
          <cell r="J986">
            <v>0</v>
          </cell>
          <cell r="K986">
            <v>0</v>
          </cell>
          <cell r="L986">
            <v>0</v>
          </cell>
        </row>
        <row r="987">
          <cell r="A987">
            <v>2</v>
          </cell>
          <cell r="B987">
            <v>9</v>
          </cell>
          <cell r="C987">
            <v>283</v>
          </cell>
          <cell r="D987">
            <v>85</v>
          </cell>
          <cell r="E987" t="str">
            <v xml:space="preserve">    </v>
          </cell>
          <cell r="F987" t="str">
            <v xml:space="preserve">   </v>
          </cell>
          <cell r="G987">
            <v>2928385</v>
          </cell>
          <cell r="H987">
            <v>736498</v>
          </cell>
          <cell r="I987">
            <v>736498</v>
          </cell>
          <cell r="J987">
            <v>0</v>
          </cell>
          <cell r="K987">
            <v>0</v>
          </cell>
          <cell r="L987">
            <v>0</v>
          </cell>
        </row>
        <row r="988">
          <cell r="A988">
            <v>1</v>
          </cell>
          <cell r="B988">
            <v>9</v>
          </cell>
          <cell r="C988">
            <v>283</v>
          </cell>
          <cell r="D988">
            <v>86</v>
          </cell>
          <cell r="E988" t="str">
            <v xml:space="preserve">    </v>
          </cell>
          <cell r="F988" t="str">
            <v xml:space="preserve">   </v>
          </cell>
          <cell r="G988">
            <v>1928386</v>
          </cell>
          <cell r="H988">
            <v>8588.67</v>
          </cell>
          <cell r="I988">
            <v>8588.67</v>
          </cell>
          <cell r="J988">
            <v>0</v>
          </cell>
          <cell r="K988">
            <v>0</v>
          </cell>
          <cell r="L988">
            <v>0</v>
          </cell>
        </row>
        <row r="989">
          <cell r="A989">
            <v>2</v>
          </cell>
          <cell r="B989">
            <v>9</v>
          </cell>
          <cell r="C989">
            <v>283</v>
          </cell>
          <cell r="D989">
            <v>86</v>
          </cell>
          <cell r="E989" t="str">
            <v xml:space="preserve">    </v>
          </cell>
          <cell r="F989" t="str">
            <v xml:space="preserve">   </v>
          </cell>
          <cell r="G989">
            <v>2928386</v>
          </cell>
          <cell r="H989">
            <v>-176715.06</v>
          </cell>
          <cell r="I989">
            <v>-176715.06</v>
          </cell>
          <cell r="J989">
            <v>0</v>
          </cell>
          <cell r="K989">
            <v>0</v>
          </cell>
          <cell r="L989">
            <v>0</v>
          </cell>
        </row>
        <row r="990">
          <cell r="A990">
            <v>1</v>
          </cell>
          <cell r="B990">
            <v>9</v>
          </cell>
          <cell r="C990">
            <v>283</v>
          </cell>
          <cell r="D990">
            <v>87</v>
          </cell>
          <cell r="E990" t="str">
            <v xml:space="preserve">    </v>
          </cell>
          <cell r="F990" t="str">
            <v xml:space="preserve">   </v>
          </cell>
          <cell r="G990">
            <v>1928387</v>
          </cell>
          <cell r="H990">
            <v>3601</v>
          </cell>
          <cell r="I990">
            <v>3601</v>
          </cell>
          <cell r="J990">
            <v>0</v>
          </cell>
          <cell r="K990">
            <v>0</v>
          </cell>
          <cell r="L990">
            <v>0</v>
          </cell>
        </row>
        <row r="991">
          <cell r="A991">
            <v>2</v>
          </cell>
          <cell r="B991">
            <v>9</v>
          </cell>
          <cell r="C991">
            <v>283</v>
          </cell>
          <cell r="D991">
            <v>87</v>
          </cell>
          <cell r="E991" t="str">
            <v xml:space="preserve">    </v>
          </cell>
          <cell r="F991" t="str">
            <v xml:space="preserve">   </v>
          </cell>
          <cell r="G991">
            <v>2928387</v>
          </cell>
          <cell r="H991">
            <v>-216600.83</v>
          </cell>
          <cell r="I991">
            <v>-216600.83</v>
          </cell>
          <cell r="J991">
            <v>0</v>
          </cell>
          <cell r="K991">
            <v>0</v>
          </cell>
          <cell r="L991">
            <v>0</v>
          </cell>
        </row>
        <row r="992">
          <cell r="A992">
            <v>1</v>
          </cell>
          <cell r="B992">
            <v>9</v>
          </cell>
          <cell r="C992">
            <v>425</v>
          </cell>
          <cell r="D992">
            <v>68</v>
          </cell>
          <cell r="E992" t="str">
            <v xml:space="preserve">    </v>
          </cell>
          <cell r="F992" t="str">
            <v xml:space="preserve">   </v>
          </cell>
          <cell r="G992">
            <v>1942568</v>
          </cell>
          <cell r="H992">
            <v>93104.67</v>
          </cell>
          <cell r="I992">
            <v>0</v>
          </cell>
          <cell r="J992">
            <v>93104.67</v>
          </cell>
          <cell r="K992">
            <v>0</v>
          </cell>
          <cell r="L992">
            <v>0</v>
          </cell>
        </row>
        <row r="993">
          <cell r="A993">
            <v>2</v>
          </cell>
          <cell r="B993">
            <v>9</v>
          </cell>
          <cell r="C993">
            <v>425</v>
          </cell>
          <cell r="D993">
            <v>68</v>
          </cell>
          <cell r="E993" t="str">
            <v xml:space="preserve">    </v>
          </cell>
          <cell r="F993" t="str">
            <v xml:space="preserve">   </v>
          </cell>
          <cell r="G993">
            <v>2942568</v>
          </cell>
          <cell r="H993">
            <v>1117256.04</v>
          </cell>
          <cell r="I993">
            <v>0</v>
          </cell>
          <cell r="J993">
            <v>1117256.04</v>
          </cell>
          <cell r="K993">
            <v>0</v>
          </cell>
          <cell r="L993">
            <v>0</v>
          </cell>
        </row>
        <row r="994">
          <cell r="A994">
            <v>1</v>
          </cell>
          <cell r="B994">
            <v>9</v>
          </cell>
          <cell r="C994">
            <v>425</v>
          </cell>
          <cell r="D994">
            <v>78</v>
          </cell>
          <cell r="E994" t="str">
            <v xml:space="preserve">    </v>
          </cell>
          <cell r="F994" t="str">
            <v xml:space="preserve">   </v>
          </cell>
          <cell r="G994">
            <v>1942578</v>
          </cell>
          <cell r="H994">
            <v>17180</v>
          </cell>
          <cell r="I994">
            <v>0</v>
          </cell>
          <cell r="J994">
            <v>0</v>
          </cell>
          <cell r="K994">
            <v>17180</v>
          </cell>
          <cell r="L994">
            <v>0</v>
          </cell>
        </row>
        <row r="995">
          <cell r="A995">
            <v>2</v>
          </cell>
          <cell r="B995">
            <v>9</v>
          </cell>
          <cell r="C995">
            <v>425</v>
          </cell>
          <cell r="D995">
            <v>78</v>
          </cell>
          <cell r="E995" t="str">
            <v xml:space="preserve">    </v>
          </cell>
          <cell r="F995" t="str">
            <v xml:space="preserve">   </v>
          </cell>
          <cell r="G995">
            <v>2942578</v>
          </cell>
          <cell r="H995">
            <v>206160</v>
          </cell>
          <cell r="I995">
            <v>0</v>
          </cell>
          <cell r="J995">
            <v>0</v>
          </cell>
          <cell r="K995">
            <v>206160</v>
          </cell>
          <cell r="L995">
            <v>0</v>
          </cell>
        </row>
        <row r="996">
          <cell r="A996">
            <v>1</v>
          </cell>
          <cell r="B996">
            <v>0</v>
          </cell>
          <cell r="C996">
            <v>928</v>
          </cell>
          <cell r="D996" t="str">
            <v xml:space="preserve">  </v>
          </cell>
          <cell r="E996">
            <v>3035</v>
          </cell>
          <cell r="F996" t="str">
            <v xml:space="preserve">   </v>
          </cell>
          <cell r="G996">
            <v>109283035</v>
          </cell>
          <cell r="H996">
            <v>32244</v>
          </cell>
          <cell r="I996">
            <v>0</v>
          </cell>
          <cell r="J996">
            <v>32244</v>
          </cell>
          <cell r="K996">
            <v>0</v>
          </cell>
          <cell r="L996">
            <v>0</v>
          </cell>
        </row>
        <row r="997">
          <cell r="A997">
            <v>2</v>
          </cell>
          <cell r="B997">
            <v>0</v>
          </cell>
          <cell r="C997">
            <v>928</v>
          </cell>
          <cell r="D997" t="str">
            <v xml:space="preserve">  </v>
          </cell>
          <cell r="E997">
            <v>3035</v>
          </cell>
          <cell r="F997" t="str">
            <v xml:space="preserve">   </v>
          </cell>
          <cell r="G997">
            <v>209283035</v>
          </cell>
          <cell r="H997">
            <v>478312</v>
          </cell>
          <cell r="I997">
            <v>0</v>
          </cell>
          <cell r="J997">
            <v>478312</v>
          </cell>
          <cell r="K997">
            <v>0</v>
          </cell>
          <cell r="L997">
            <v>0</v>
          </cell>
        </row>
        <row r="998">
          <cell r="A998">
            <v>1</v>
          </cell>
          <cell r="B998">
            <v>0</v>
          </cell>
          <cell r="C998">
            <v>928</v>
          </cell>
          <cell r="D998" t="str">
            <v xml:space="preserve">  </v>
          </cell>
          <cell r="E998">
            <v>3037</v>
          </cell>
          <cell r="F998" t="str">
            <v xml:space="preserve">   </v>
          </cell>
          <cell r="G998">
            <v>109283037</v>
          </cell>
          <cell r="H998">
            <v>28562.82</v>
          </cell>
          <cell r="I998">
            <v>0</v>
          </cell>
          <cell r="J998">
            <v>0</v>
          </cell>
          <cell r="K998">
            <v>28562.82</v>
          </cell>
          <cell r="L998">
            <v>0</v>
          </cell>
        </row>
        <row r="999">
          <cell r="A999">
            <v>2</v>
          </cell>
          <cell r="B999">
            <v>0</v>
          </cell>
          <cell r="C999">
            <v>928</v>
          </cell>
          <cell r="D999" t="str">
            <v xml:space="preserve">  </v>
          </cell>
          <cell r="E999">
            <v>3037</v>
          </cell>
          <cell r="F999" t="str">
            <v xml:space="preserve">   </v>
          </cell>
          <cell r="G999">
            <v>209283037</v>
          </cell>
          <cell r="H999">
            <v>313620.84999999998</v>
          </cell>
          <cell r="I999">
            <v>0</v>
          </cell>
          <cell r="J999">
            <v>0</v>
          </cell>
          <cell r="K999">
            <v>313620.84999999998</v>
          </cell>
          <cell r="L999">
            <v>0</v>
          </cell>
        </row>
        <row r="1000">
          <cell r="A1000">
            <v>1</v>
          </cell>
          <cell r="B1000">
            <v>0</v>
          </cell>
          <cell r="C1000">
            <v>928</v>
          </cell>
          <cell r="D1000" t="str">
            <v xml:space="preserve">  </v>
          </cell>
          <cell r="E1000">
            <v>3039</v>
          </cell>
          <cell r="F1000" t="str">
            <v xml:space="preserve">   </v>
          </cell>
          <cell r="G1000">
            <v>109283039</v>
          </cell>
          <cell r="H1000">
            <v>182915</v>
          </cell>
          <cell r="I1000">
            <v>182915</v>
          </cell>
          <cell r="J1000">
            <v>0</v>
          </cell>
          <cell r="K1000">
            <v>0</v>
          </cell>
          <cell r="L1000">
            <v>0</v>
          </cell>
        </row>
        <row r="1001">
          <cell r="A1001">
            <v>2</v>
          </cell>
          <cell r="B1001">
            <v>0</v>
          </cell>
          <cell r="C1001">
            <v>928</v>
          </cell>
          <cell r="D1001" t="str">
            <v xml:space="preserve">  </v>
          </cell>
          <cell r="E1001">
            <v>3039</v>
          </cell>
          <cell r="F1001" t="str">
            <v xml:space="preserve">   </v>
          </cell>
          <cell r="G1001">
            <v>209283039</v>
          </cell>
          <cell r="H1001">
            <v>2018489.81</v>
          </cell>
          <cell r="I1001">
            <v>2018489.81</v>
          </cell>
          <cell r="J1001">
            <v>0</v>
          </cell>
          <cell r="K1001">
            <v>0</v>
          </cell>
          <cell r="L1001">
            <v>0</v>
          </cell>
        </row>
        <row r="1002">
          <cell r="A1002">
            <v>1</v>
          </cell>
          <cell r="B1002">
            <v>0</v>
          </cell>
          <cell r="C1002">
            <v>928</v>
          </cell>
          <cell r="D1002" t="str">
            <v xml:space="preserve">  </v>
          </cell>
          <cell r="E1002">
            <v>3059</v>
          </cell>
          <cell r="F1002" t="str">
            <v xml:space="preserve">   </v>
          </cell>
          <cell r="G1002">
            <v>109283059</v>
          </cell>
          <cell r="H1002">
            <v>3159.49</v>
          </cell>
          <cell r="I1002">
            <v>0</v>
          </cell>
          <cell r="J1002">
            <v>0</v>
          </cell>
          <cell r="K1002">
            <v>3159.49</v>
          </cell>
          <cell r="L1002">
            <v>0</v>
          </cell>
        </row>
        <row r="1003">
          <cell r="A1003">
            <v>2</v>
          </cell>
          <cell r="B1003">
            <v>0</v>
          </cell>
          <cell r="C1003">
            <v>928</v>
          </cell>
          <cell r="D1003" t="str">
            <v xml:space="preserve">  </v>
          </cell>
          <cell r="E1003">
            <v>3059</v>
          </cell>
          <cell r="F1003" t="str">
            <v xml:space="preserve">   </v>
          </cell>
          <cell r="G1003">
            <v>209283059</v>
          </cell>
          <cell r="H1003">
            <v>87656.88</v>
          </cell>
          <cell r="I1003">
            <v>0</v>
          </cell>
          <cell r="J1003">
            <v>0</v>
          </cell>
          <cell r="K1003">
            <v>87656.88</v>
          </cell>
          <cell r="L1003">
            <v>0</v>
          </cell>
        </row>
        <row r="1004">
          <cell r="A1004">
            <v>1</v>
          </cell>
          <cell r="B1004">
            <v>0</v>
          </cell>
          <cell r="C1004">
            <v>928</v>
          </cell>
          <cell r="D1004" t="str">
            <v xml:space="preserve">  </v>
          </cell>
          <cell r="E1004">
            <v>3060</v>
          </cell>
          <cell r="F1004" t="str">
            <v xml:space="preserve">   </v>
          </cell>
          <cell r="G1004">
            <v>109283060</v>
          </cell>
          <cell r="H1004">
            <v>390.32</v>
          </cell>
          <cell r="I1004">
            <v>0</v>
          </cell>
          <cell r="J1004">
            <v>0</v>
          </cell>
          <cell r="K1004">
            <v>390.32</v>
          </cell>
          <cell r="L1004">
            <v>0</v>
          </cell>
        </row>
        <row r="1005">
          <cell r="A1005">
            <v>2</v>
          </cell>
          <cell r="B1005">
            <v>0</v>
          </cell>
          <cell r="C1005">
            <v>928</v>
          </cell>
          <cell r="D1005" t="str">
            <v xml:space="preserve">  </v>
          </cell>
          <cell r="E1005">
            <v>3060</v>
          </cell>
          <cell r="F1005" t="str">
            <v xml:space="preserve">   </v>
          </cell>
          <cell r="G1005">
            <v>209283060</v>
          </cell>
          <cell r="H1005">
            <v>4950.88</v>
          </cell>
          <cell r="I1005">
            <v>0</v>
          </cell>
          <cell r="J1005">
            <v>0</v>
          </cell>
          <cell r="K1005">
            <v>4950.88</v>
          </cell>
          <cell r="L1005">
            <v>0</v>
          </cell>
        </row>
        <row r="1006">
          <cell r="A1006">
            <v>1</v>
          </cell>
          <cell r="B1006">
            <v>0</v>
          </cell>
          <cell r="C1006">
            <v>928</v>
          </cell>
          <cell r="D1006" t="str">
            <v xml:space="preserve">  </v>
          </cell>
          <cell r="E1006">
            <v>3062</v>
          </cell>
          <cell r="F1006" t="str">
            <v xml:space="preserve">   </v>
          </cell>
          <cell r="G1006">
            <v>109283062</v>
          </cell>
          <cell r="H1006">
            <v>6638.32</v>
          </cell>
          <cell r="I1006">
            <v>0</v>
          </cell>
          <cell r="J1006">
            <v>6638.32</v>
          </cell>
          <cell r="K1006">
            <v>0</v>
          </cell>
          <cell r="L1006">
            <v>0</v>
          </cell>
        </row>
        <row r="1007">
          <cell r="A1007">
            <v>2</v>
          </cell>
          <cell r="B1007">
            <v>0</v>
          </cell>
          <cell r="C1007">
            <v>928</v>
          </cell>
          <cell r="D1007" t="str">
            <v xml:space="preserve">  </v>
          </cell>
          <cell r="E1007">
            <v>3062</v>
          </cell>
          <cell r="F1007" t="str">
            <v xml:space="preserve">   </v>
          </cell>
          <cell r="G1007">
            <v>209283062</v>
          </cell>
          <cell r="H1007">
            <v>207438.43</v>
          </cell>
          <cell r="I1007">
            <v>0</v>
          </cell>
          <cell r="J1007">
            <v>207438.43</v>
          </cell>
          <cell r="K1007">
            <v>0</v>
          </cell>
          <cell r="L1007">
            <v>0</v>
          </cell>
        </row>
        <row r="1008">
          <cell r="A1008">
            <v>1</v>
          </cell>
          <cell r="B1008">
            <v>0</v>
          </cell>
          <cell r="C1008">
            <v>928</v>
          </cell>
          <cell r="D1008" t="str">
            <v xml:space="preserve">  </v>
          </cell>
          <cell r="E1008">
            <v>3063</v>
          </cell>
          <cell r="F1008" t="str">
            <v xml:space="preserve">   </v>
          </cell>
          <cell r="G1008">
            <v>109283063</v>
          </cell>
          <cell r="H1008">
            <v>390.32</v>
          </cell>
          <cell r="I1008">
            <v>0</v>
          </cell>
          <cell r="J1008">
            <v>390.32</v>
          </cell>
          <cell r="K1008">
            <v>0</v>
          </cell>
          <cell r="L1008">
            <v>0</v>
          </cell>
        </row>
        <row r="1009">
          <cell r="A1009">
            <v>2</v>
          </cell>
          <cell r="B1009">
            <v>0</v>
          </cell>
          <cell r="C1009">
            <v>928</v>
          </cell>
          <cell r="D1009" t="str">
            <v xml:space="preserve">  </v>
          </cell>
          <cell r="E1009">
            <v>3063</v>
          </cell>
          <cell r="F1009" t="str">
            <v xml:space="preserve">   </v>
          </cell>
          <cell r="G1009">
            <v>209283063</v>
          </cell>
          <cell r="H1009">
            <v>4950.88</v>
          </cell>
          <cell r="I1009">
            <v>0</v>
          </cell>
          <cell r="J1009">
            <v>4950.88</v>
          </cell>
          <cell r="K1009">
            <v>0</v>
          </cell>
          <cell r="L1009">
            <v>0</v>
          </cell>
        </row>
        <row r="1010">
          <cell r="A1010">
            <v>1</v>
          </cell>
          <cell r="B1010">
            <v>0</v>
          </cell>
          <cell r="C1010">
            <v>928</v>
          </cell>
          <cell r="D1010" t="str">
            <v xml:space="preserve">  </v>
          </cell>
          <cell r="E1010">
            <v>3067</v>
          </cell>
          <cell r="F1010" t="str">
            <v xml:space="preserve">   </v>
          </cell>
          <cell r="G1010">
            <v>109283067</v>
          </cell>
          <cell r="H1010">
            <v>32171.5</v>
          </cell>
          <cell r="I1010">
            <v>0</v>
          </cell>
          <cell r="J1010">
            <v>0</v>
          </cell>
          <cell r="K1010">
            <v>32171.5</v>
          </cell>
          <cell r="L1010">
            <v>0</v>
          </cell>
        </row>
        <row r="1011">
          <cell r="A1011">
            <v>2</v>
          </cell>
          <cell r="B1011">
            <v>0</v>
          </cell>
          <cell r="C1011">
            <v>928</v>
          </cell>
          <cell r="D1011" t="str">
            <v xml:space="preserve">  </v>
          </cell>
          <cell r="E1011">
            <v>3067</v>
          </cell>
          <cell r="F1011" t="str">
            <v xml:space="preserve">   </v>
          </cell>
          <cell r="G1011">
            <v>209283067</v>
          </cell>
          <cell r="H1011">
            <v>60528.12</v>
          </cell>
          <cell r="I1011">
            <v>0</v>
          </cell>
          <cell r="J1011">
            <v>0</v>
          </cell>
          <cell r="K1011">
            <v>60528.12</v>
          </cell>
          <cell r="L1011">
            <v>0</v>
          </cell>
        </row>
        <row r="1012">
          <cell r="A1012">
            <v>1</v>
          </cell>
          <cell r="B1012">
            <v>0</v>
          </cell>
          <cell r="C1012">
            <v>928</v>
          </cell>
          <cell r="D1012" t="str">
            <v xml:space="preserve">  </v>
          </cell>
          <cell r="E1012">
            <v>3398</v>
          </cell>
          <cell r="F1012" t="str">
            <v xml:space="preserve">   </v>
          </cell>
          <cell r="G1012">
            <v>109283398</v>
          </cell>
          <cell r="H1012">
            <v>0</v>
          </cell>
          <cell r="I1012">
            <v>0</v>
          </cell>
          <cell r="J1012">
            <v>0</v>
          </cell>
          <cell r="K1012">
            <v>0</v>
          </cell>
          <cell r="L1012">
            <v>0</v>
          </cell>
        </row>
        <row r="1013">
          <cell r="A1013">
            <v>2</v>
          </cell>
          <cell r="B1013">
            <v>0</v>
          </cell>
          <cell r="C1013">
            <v>928</v>
          </cell>
          <cell r="D1013" t="str">
            <v xml:space="preserve">  </v>
          </cell>
          <cell r="E1013">
            <v>3398</v>
          </cell>
          <cell r="F1013" t="str">
            <v xml:space="preserve">   </v>
          </cell>
          <cell r="G1013">
            <v>209283398</v>
          </cell>
          <cell r="H1013">
            <v>3321.7</v>
          </cell>
          <cell r="I1013">
            <v>0</v>
          </cell>
          <cell r="J1013">
            <v>2283.58</v>
          </cell>
          <cell r="K1013">
            <v>1038.1199999999999</v>
          </cell>
          <cell r="L1013">
            <v>0</v>
          </cell>
        </row>
        <row r="1014">
          <cell r="A1014">
            <v>1</v>
          </cell>
          <cell r="B1014">
            <v>0</v>
          </cell>
          <cell r="C1014">
            <v>928</v>
          </cell>
          <cell r="D1014" t="str">
            <v xml:space="preserve">  </v>
          </cell>
          <cell r="E1014">
            <v>3509</v>
          </cell>
          <cell r="F1014" t="str">
            <v xml:space="preserve">   </v>
          </cell>
          <cell r="G1014">
            <v>109283509</v>
          </cell>
          <cell r="H1014">
            <v>286.64</v>
          </cell>
          <cell r="I1014">
            <v>0</v>
          </cell>
          <cell r="J1014">
            <v>286.64</v>
          </cell>
          <cell r="K1014">
            <v>0</v>
          </cell>
          <cell r="L1014">
            <v>0</v>
          </cell>
        </row>
        <row r="1015">
          <cell r="A1015">
            <v>2</v>
          </cell>
          <cell r="B1015">
            <v>0</v>
          </cell>
          <cell r="C1015">
            <v>928</v>
          </cell>
          <cell r="D1015" t="str">
            <v xml:space="preserve">  </v>
          </cell>
          <cell r="E1015">
            <v>3509</v>
          </cell>
          <cell r="F1015" t="str">
            <v xml:space="preserve">   </v>
          </cell>
          <cell r="G1015">
            <v>209283509</v>
          </cell>
          <cell r="H1015">
            <v>6020.9</v>
          </cell>
          <cell r="I1015">
            <v>148.25</v>
          </cell>
          <cell r="J1015">
            <v>5855.88</v>
          </cell>
          <cell r="K1015">
            <v>16.77</v>
          </cell>
          <cell r="L1015">
            <v>0</v>
          </cell>
        </row>
        <row r="1016">
          <cell r="A1016">
            <v>1</v>
          </cell>
          <cell r="B1016">
            <v>0</v>
          </cell>
          <cell r="C1016">
            <v>928</v>
          </cell>
          <cell r="D1016" t="str">
            <v xml:space="preserve">  </v>
          </cell>
          <cell r="E1016">
            <v>3519</v>
          </cell>
          <cell r="F1016" t="str">
            <v xml:space="preserve">   </v>
          </cell>
          <cell r="G1016">
            <v>109283519</v>
          </cell>
          <cell r="H1016">
            <v>50.21</v>
          </cell>
          <cell r="I1016">
            <v>50.21</v>
          </cell>
          <cell r="J1016">
            <v>0</v>
          </cell>
          <cell r="K1016">
            <v>0</v>
          </cell>
          <cell r="L1016">
            <v>0</v>
          </cell>
        </row>
        <row r="1017">
          <cell r="A1017">
            <v>2</v>
          </cell>
          <cell r="B1017">
            <v>0</v>
          </cell>
          <cell r="C1017">
            <v>928</v>
          </cell>
          <cell r="D1017" t="str">
            <v xml:space="preserve">  </v>
          </cell>
          <cell r="E1017">
            <v>3519</v>
          </cell>
          <cell r="F1017" t="str">
            <v xml:space="preserve">   </v>
          </cell>
          <cell r="G1017">
            <v>209283519</v>
          </cell>
          <cell r="H1017">
            <v>819.56</v>
          </cell>
          <cell r="I1017">
            <v>819.56</v>
          </cell>
          <cell r="J1017">
            <v>0</v>
          </cell>
          <cell r="K1017">
            <v>0</v>
          </cell>
          <cell r="L1017">
            <v>0</v>
          </cell>
        </row>
        <row r="1018">
          <cell r="A1018">
            <v>1</v>
          </cell>
          <cell r="B1018">
            <v>0</v>
          </cell>
          <cell r="C1018">
            <v>928</v>
          </cell>
          <cell r="D1018" t="str">
            <v xml:space="preserve">  </v>
          </cell>
          <cell r="E1018">
            <v>3688</v>
          </cell>
          <cell r="F1018" t="str">
            <v xml:space="preserve">   </v>
          </cell>
          <cell r="G1018">
            <v>109283688</v>
          </cell>
          <cell r="H1018">
            <v>43.72</v>
          </cell>
          <cell r="I1018">
            <v>0</v>
          </cell>
          <cell r="J1018">
            <v>0</v>
          </cell>
          <cell r="K1018">
            <v>43.72</v>
          </cell>
          <cell r="L1018">
            <v>0</v>
          </cell>
        </row>
        <row r="1019">
          <cell r="A1019">
            <v>2</v>
          </cell>
          <cell r="B1019">
            <v>0</v>
          </cell>
          <cell r="C1019">
            <v>928</v>
          </cell>
          <cell r="D1019" t="str">
            <v xml:space="preserve">  </v>
          </cell>
          <cell r="E1019">
            <v>3688</v>
          </cell>
          <cell r="F1019" t="str">
            <v xml:space="preserve">   </v>
          </cell>
          <cell r="G1019">
            <v>209283688</v>
          </cell>
          <cell r="H1019">
            <v>24970.14</v>
          </cell>
          <cell r="I1019">
            <v>0</v>
          </cell>
          <cell r="J1019">
            <v>0</v>
          </cell>
          <cell r="K1019">
            <v>24970.14</v>
          </cell>
          <cell r="L1019">
            <v>0</v>
          </cell>
        </row>
        <row r="1020">
          <cell r="A1020">
            <v>1</v>
          </cell>
          <cell r="B1020">
            <v>0</v>
          </cell>
          <cell r="C1020">
            <v>928</v>
          </cell>
          <cell r="D1020" t="str">
            <v xml:space="preserve">  </v>
          </cell>
          <cell r="E1020">
            <v>3826</v>
          </cell>
          <cell r="F1020" t="str">
            <v xml:space="preserve">   </v>
          </cell>
          <cell r="G1020">
            <v>109283826</v>
          </cell>
          <cell r="H1020">
            <v>352.9</v>
          </cell>
          <cell r="I1020">
            <v>0</v>
          </cell>
          <cell r="J1020">
            <v>352.9</v>
          </cell>
          <cell r="K1020">
            <v>0</v>
          </cell>
          <cell r="L1020">
            <v>0</v>
          </cell>
        </row>
        <row r="1021">
          <cell r="A1021">
            <v>2</v>
          </cell>
          <cell r="B1021">
            <v>0</v>
          </cell>
          <cell r="C1021">
            <v>928</v>
          </cell>
          <cell r="D1021" t="str">
            <v xml:space="preserve">  </v>
          </cell>
          <cell r="E1021">
            <v>3826</v>
          </cell>
          <cell r="F1021" t="str">
            <v xml:space="preserve">   </v>
          </cell>
          <cell r="G1021">
            <v>209283826</v>
          </cell>
          <cell r="H1021">
            <v>34871.5</v>
          </cell>
          <cell r="I1021">
            <v>0</v>
          </cell>
          <cell r="J1021">
            <v>34871.5</v>
          </cell>
          <cell r="K1021">
            <v>0</v>
          </cell>
          <cell r="L1021">
            <v>0</v>
          </cell>
        </row>
        <row r="1022">
          <cell r="A1022">
            <v>1</v>
          </cell>
          <cell r="B1022">
            <v>1</v>
          </cell>
          <cell r="C1022">
            <v>928</v>
          </cell>
          <cell r="D1022" t="str">
            <v xml:space="preserve">  </v>
          </cell>
          <cell r="E1022">
            <v>3035</v>
          </cell>
          <cell r="F1022" t="str">
            <v xml:space="preserve">   </v>
          </cell>
          <cell r="G1022">
            <v>119283035</v>
          </cell>
          <cell r="H1022">
            <v>8289.25</v>
          </cell>
          <cell r="I1022">
            <v>0</v>
          </cell>
          <cell r="J1022">
            <v>8289.25</v>
          </cell>
          <cell r="K1022">
            <v>0</v>
          </cell>
          <cell r="L1022">
            <v>0</v>
          </cell>
        </row>
        <row r="1023">
          <cell r="A1023">
            <v>2</v>
          </cell>
          <cell r="B1023">
            <v>1</v>
          </cell>
          <cell r="C1023">
            <v>928</v>
          </cell>
          <cell r="D1023" t="str">
            <v xml:space="preserve">  </v>
          </cell>
          <cell r="E1023">
            <v>3035</v>
          </cell>
          <cell r="F1023" t="str">
            <v xml:space="preserve">   </v>
          </cell>
          <cell r="G1023">
            <v>219283035</v>
          </cell>
          <cell r="H1023">
            <v>128493</v>
          </cell>
          <cell r="I1023">
            <v>0</v>
          </cell>
          <cell r="J1023">
            <v>128493</v>
          </cell>
          <cell r="K1023">
            <v>0</v>
          </cell>
          <cell r="L1023">
            <v>0</v>
          </cell>
        </row>
        <row r="1024">
          <cell r="A1024">
            <v>1</v>
          </cell>
          <cell r="B1024">
            <v>1</v>
          </cell>
          <cell r="C1024">
            <v>928</v>
          </cell>
          <cell r="D1024" t="str">
            <v xml:space="preserve">  </v>
          </cell>
          <cell r="E1024">
            <v>3037</v>
          </cell>
          <cell r="F1024" t="str">
            <v xml:space="preserve">   </v>
          </cell>
          <cell r="G1024">
            <v>119283037</v>
          </cell>
          <cell r="H1024">
            <v>4749.0600000000004</v>
          </cell>
          <cell r="I1024">
            <v>0</v>
          </cell>
          <cell r="J1024">
            <v>0</v>
          </cell>
          <cell r="K1024">
            <v>4749.0600000000004</v>
          </cell>
          <cell r="L1024">
            <v>0</v>
          </cell>
        </row>
        <row r="1025">
          <cell r="A1025">
            <v>2</v>
          </cell>
          <cell r="B1025">
            <v>1</v>
          </cell>
          <cell r="C1025">
            <v>928</v>
          </cell>
          <cell r="D1025" t="str">
            <v xml:space="preserve">  </v>
          </cell>
          <cell r="E1025">
            <v>3037</v>
          </cell>
          <cell r="F1025" t="str">
            <v xml:space="preserve">   </v>
          </cell>
          <cell r="G1025">
            <v>219283037</v>
          </cell>
          <cell r="H1025">
            <v>60365.78</v>
          </cell>
          <cell r="I1025">
            <v>0</v>
          </cell>
          <cell r="J1025">
            <v>0</v>
          </cell>
          <cell r="K1025">
            <v>60365.78</v>
          </cell>
          <cell r="L1025">
            <v>0</v>
          </cell>
        </row>
        <row r="1026">
          <cell r="A1026">
            <v>1</v>
          </cell>
          <cell r="B1026">
            <v>1</v>
          </cell>
          <cell r="C1026">
            <v>928</v>
          </cell>
          <cell r="D1026" t="str">
            <v xml:space="preserve">  </v>
          </cell>
          <cell r="E1026">
            <v>3059</v>
          </cell>
          <cell r="F1026" t="str">
            <v xml:space="preserve">   </v>
          </cell>
          <cell r="G1026">
            <v>119283059</v>
          </cell>
          <cell r="H1026">
            <v>3266.56</v>
          </cell>
          <cell r="I1026">
            <v>0</v>
          </cell>
          <cell r="J1026">
            <v>0</v>
          </cell>
          <cell r="K1026">
            <v>3266.56</v>
          </cell>
          <cell r="L1026">
            <v>0</v>
          </cell>
        </row>
        <row r="1027">
          <cell r="A1027">
            <v>2</v>
          </cell>
          <cell r="B1027">
            <v>1</v>
          </cell>
          <cell r="C1027">
            <v>928</v>
          </cell>
          <cell r="D1027" t="str">
            <v xml:space="preserve">  </v>
          </cell>
          <cell r="E1027">
            <v>3059</v>
          </cell>
          <cell r="F1027" t="str">
            <v xml:space="preserve">   </v>
          </cell>
          <cell r="G1027">
            <v>219283059</v>
          </cell>
          <cell r="H1027">
            <v>37617.620000000003</v>
          </cell>
          <cell r="I1027">
            <v>0</v>
          </cell>
          <cell r="J1027">
            <v>0</v>
          </cell>
          <cell r="K1027">
            <v>37617.620000000003</v>
          </cell>
          <cell r="L1027">
            <v>0</v>
          </cell>
        </row>
        <row r="1028">
          <cell r="A1028">
            <v>1</v>
          </cell>
          <cell r="B1028">
            <v>1</v>
          </cell>
          <cell r="C1028">
            <v>928</v>
          </cell>
          <cell r="D1028" t="str">
            <v xml:space="preserve">  </v>
          </cell>
          <cell r="E1028">
            <v>3062</v>
          </cell>
          <cell r="F1028" t="str">
            <v xml:space="preserve">   </v>
          </cell>
          <cell r="G1028">
            <v>119283062</v>
          </cell>
          <cell r="H1028">
            <v>6427.52</v>
          </cell>
          <cell r="I1028">
            <v>0</v>
          </cell>
          <cell r="J1028">
            <v>6427.52</v>
          </cell>
          <cell r="K1028">
            <v>0</v>
          </cell>
          <cell r="L1028">
            <v>0</v>
          </cell>
        </row>
        <row r="1029">
          <cell r="A1029">
            <v>2</v>
          </cell>
          <cell r="B1029">
            <v>1</v>
          </cell>
          <cell r="C1029">
            <v>928</v>
          </cell>
          <cell r="D1029" t="str">
            <v xml:space="preserve">  </v>
          </cell>
          <cell r="E1029">
            <v>3062</v>
          </cell>
          <cell r="F1029" t="str">
            <v xml:space="preserve">   </v>
          </cell>
          <cell r="G1029">
            <v>219283062</v>
          </cell>
          <cell r="H1029">
            <v>138251.96</v>
          </cell>
          <cell r="I1029">
            <v>0</v>
          </cell>
          <cell r="J1029">
            <v>138251.96</v>
          </cell>
          <cell r="K1029">
            <v>0</v>
          </cell>
          <cell r="L1029">
            <v>0</v>
          </cell>
        </row>
        <row r="1030">
          <cell r="A1030">
            <v>1</v>
          </cell>
          <cell r="B1030">
            <v>1</v>
          </cell>
          <cell r="C1030">
            <v>928</v>
          </cell>
          <cell r="D1030" t="str">
            <v xml:space="preserve">  </v>
          </cell>
          <cell r="E1030">
            <v>3136</v>
          </cell>
          <cell r="F1030" t="str">
            <v xml:space="preserve">   </v>
          </cell>
          <cell r="G1030">
            <v>119283136</v>
          </cell>
          <cell r="H1030">
            <v>4096.6499999999996</v>
          </cell>
          <cell r="I1030">
            <v>4096.6499999999996</v>
          </cell>
          <cell r="J1030">
            <v>0</v>
          </cell>
          <cell r="K1030">
            <v>0</v>
          </cell>
          <cell r="L1030">
            <v>0</v>
          </cell>
        </row>
        <row r="1031">
          <cell r="A1031">
            <v>2</v>
          </cell>
          <cell r="B1031">
            <v>1</v>
          </cell>
          <cell r="C1031">
            <v>928</v>
          </cell>
          <cell r="D1031" t="str">
            <v xml:space="preserve">  </v>
          </cell>
          <cell r="E1031">
            <v>3136</v>
          </cell>
          <cell r="F1031" t="str">
            <v xml:space="preserve">   </v>
          </cell>
          <cell r="G1031">
            <v>219283136</v>
          </cell>
          <cell r="H1031">
            <v>34283.040000000001</v>
          </cell>
          <cell r="I1031">
            <v>34283.040000000001</v>
          </cell>
          <cell r="J1031">
            <v>0</v>
          </cell>
          <cell r="K1031">
            <v>0</v>
          </cell>
          <cell r="L1031">
            <v>0</v>
          </cell>
        </row>
        <row r="1032">
          <cell r="A1032">
            <v>1</v>
          </cell>
          <cell r="B1032">
            <v>1</v>
          </cell>
          <cell r="C1032">
            <v>928</v>
          </cell>
          <cell r="D1032" t="str">
            <v xml:space="preserve">  </v>
          </cell>
          <cell r="E1032">
            <v>3575</v>
          </cell>
          <cell r="F1032" t="str">
            <v xml:space="preserve">   </v>
          </cell>
          <cell r="G1032">
            <v>119283575</v>
          </cell>
          <cell r="H1032">
            <v>0</v>
          </cell>
          <cell r="I1032">
            <v>0</v>
          </cell>
          <cell r="J1032">
            <v>0</v>
          </cell>
          <cell r="K1032">
            <v>0</v>
          </cell>
          <cell r="L1032">
            <v>0</v>
          </cell>
        </row>
        <row r="1033">
          <cell r="A1033">
            <v>2</v>
          </cell>
          <cell r="B1033">
            <v>1</v>
          </cell>
          <cell r="C1033">
            <v>928</v>
          </cell>
          <cell r="D1033" t="str">
            <v xml:space="preserve">  </v>
          </cell>
          <cell r="E1033">
            <v>3575</v>
          </cell>
          <cell r="F1033" t="str">
            <v xml:space="preserve">   </v>
          </cell>
          <cell r="G1033">
            <v>219283575</v>
          </cell>
          <cell r="H1033">
            <v>5656.29</v>
          </cell>
          <cell r="I1033">
            <v>0</v>
          </cell>
          <cell r="J1033">
            <v>5656.29</v>
          </cell>
          <cell r="K1033">
            <v>0</v>
          </cell>
          <cell r="L1033">
            <v>0</v>
          </cell>
        </row>
        <row r="1034">
          <cell r="A1034">
            <v>1</v>
          </cell>
          <cell r="B1034">
            <v>1</v>
          </cell>
          <cell r="C1034">
            <v>928</v>
          </cell>
          <cell r="D1034" t="str">
            <v xml:space="preserve">  </v>
          </cell>
          <cell r="E1034">
            <v>3598</v>
          </cell>
          <cell r="F1034" t="str">
            <v xml:space="preserve">   </v>
          </cell>
          <cell r="G1034">
            <v>119283598</v>
          </cell>
          <cell r="H1034">
            <v>20794.12</v>
          </cell>
          <cell r="I1034">
            <v>20794.12</v>
          </cell>
          <cell r="J1034">
            <v>0</v>
          </cell>
          <cell r="K1034">
            <v>0</v>
          </cell>
          <cell r="L1034">
            <v>0</v>
          </cell>
        </row>
        <row r="1035">
          <cell r="A1035">
            <v>2</v>
          </cell>
          <cell r="B1035">
            <v>1</v>
          </cell>
          <cell r="C1035">
            <v>928</v>
          </cell>
          <cell r="D1035" t="str">
            <v xml:space="preserve">  </v>
          </cell>
          <cell r="E1035">
            <v>3598</v>
          </cell>
          <cell r="F1035" t="str">
            <v xml:space="preserve">   </v>
          </cell>
          <cell r="G1035">
            <v>219283598</v>
          </cell>
          <cell r="H1035">
            <v>83472.149999999994</v>
          </cell>
          <cell r="I1035">
            <v>83472.149999999994</v>
          </cell>
          <cell r="J1035">
            <v>0</v>
          </cell>
          <cell r="K1035">
            <v>0</v>
          </cell>
          <cell r="L1035">
            <v>0</v>
          </cell>
        </row>
        <row r="1036">
          <cell r="A1036">
            <v>1</v>
          </cell>
          <cell r="B1036">
            <v>2</v>
          </cell>
          <cell r="C1036">
            <v>928</v>
          </cell>
          <cell r="D1036" t="str">
            <v xml:space="preserve">  </v>
          </cell>
          <cell r="E1036">
            <v>3136</v>
          </cell>
          <cell r="F1036" t="str">
            <v xml:space="preserve">   </v>
          </cell>
          <cell r="G1036">
            <v>129283136</v>
          </cell>
          <cell r="H1036">
            <v>453.3</v>
          </cell>
          <cell r="I1036">
            <v>453.3</v>
          </cell>
          <cell r="J1036">
            <v>0</v>
          </cell>
          <cell r="K1036">
            <v>0</v>
          </cell>
          <cell r="L1036">
            <v>0</v>
          </cell>
        </row>
        <row r="1037">
          <cell r="A1037">
            <v>2</v>
          </cell>
          <cell r="B1037">
            <v>2</v>
          </cell>
          <cell r="C1037">
            <v>928</v>
          </cell>
          <cell r="D1037" t="str">
            <v xml:space="preserve">  </v>
          </cell>
          <cell r="E1037">
            <v>3136</v>
          </cell>
          <cell r="F1037" t="str">
            <v xml:space="preserve">   </v>
          </cell>
          <cell r="G1037">
            <v>229283136</v>
          </cell>
          <cell r="H1037">
            <v>963.25</v>
          </cell>
          <cell r="I1037">
            <v>963.25</v>
          </cell>
          <cell r="J1037">
            <v>0</v>
          </cell>
          <cell r="K1037">
            <v>0</v>
          </cell>
          <cell r="L1037">
            <v>0</v>
          </cell>
        </row>
        <row r="1038">
          <cell r="A1038">
            <v>1</v>
          </cell>
          <cell r="B1038">
            <v>2</v>
          </cell>
          <cell r="C1038">
            <v>928</v>
          </cell>
          <cell r="D1038" t="str">
            <v xml:space="preserve">  </v>
          </cell>
          <cell r="E1038">
            <v>3293</v>
          </cell>
          <cell r="F1038" t="str">
            <v xml:space="preserve">   </v>
          </cell>
          <cell r="G1038">
            <v>129283293</v>
          </cell>
          <cell r="H1038">
            <v>5374.73</v>
          </cell>
          <cell r="I1038">
            <v>0</v>
          </cell>
          <cell r="J1038">
            <v>5374.73</v>
          </cell>
          <cell r="K1038">
            <v>0</v>
          </cell>
          <cell r="L1038">
            <v>0</v>
          </cell>
        </row>
        <row r="1039">
          <cell r="A1039">
            <v>2</v>
          </cell>
          <cell r="B1039">
            <v>2</v>
          </cell>
          <cell r="C1039">
            <v>928</v>
          </cell>
          <cell r="D1039" t="str">
            <v xml:space="preserve">  </v>
          </cell>
          <cell r="E1039">
            <v>3293</v>
          </cell>
          <cell r="F1039" t="str">
            <v xml:space="preserve">   </v>
          </cell>
          <cell r="G1039">
            <v>229283293</v>
          </cell>
          <cell r="H1039">
            <v>77160.53</v>
          </cell>
          <cell r="I1039">
            <v>0</v>
          </cell>
          <cell r="J1039">
            <v>77160.53</v>
          </cell>
          <cell r="K1039">
            <v>0</v>
          </cell>
          <cell r="L1039">
            <v>0</v>
          </cell>
        </row>
        <row r="1040">
          <cell r="A1040">
            <v>1</v>
          </cell>
          <cell r="B1040">
            <v>2</v>
          </cell>
          <cell r="C1040">
            <v>928</v>
          </cell>
          <cell r="D1040" t="str">
            <v xml:space="preserve">  </v>
          </cell>
          <cell r="E1040">
            <v>3294</v>
          </cell>
          <cell r="F1040" t="str">
            <v xml:space="preserve">   </v>
          </cell>
          <cell r="G1040">
            <v>129283294</v>
          </cell>
          <cell r="H1040">
            <v>817.17</v>
          </cell>
          <cell r="I1040">
            <v>0</v>
          </cell>
          <cell r="J1040">
            <v>0</v>
          </cell>
          <cell r="K1040">
            <v>817.17</v>
          </cell>
          <cell r="L1040">
            <v>0</v>
          </cell>
        </row>
        <row r="1041">
          <cell r="A1041">
            <v>2</v>
          </cell>
          <cell r="B1041">
            <v>2</v>
          </cell>
          <cell r="C1041">
            <v>928</v>
          </cell>
          <cell r="D1041" t="str">
            <v xml:space="preserve">  </v>
          </cell>
          <cell r="E1041">
            <v>3294</v>
          </cell>
          <cell r="F1041" t="str">
            <v xml:space="preserve">   </v>
          </cell>
          <cell r="G1041">
            <v>229283294</v>
          </cell>
          <cell r="H1041">
            <v>29674.5</v>
          </cell>
          <cell r="I1041">
            <v>0</v>
          </cell>
          <cell r="J1041">
            <v>0</v>
          </cell>
          <cell r="K1041">
            <v>29674.5</v>
          </cell>
          <cell r="L1041">
            <v>0</v>
          </cell>
        </row>
        <row r="1042">
          <cell r="A1042">
            <v>1</v>
          </cell>
          <cell r="B1042">
            <v>2</v>
          </cell>
          <cell r="C1042">
            <v>928</v>
          </cell>
          <cell r="D1042" t="str">
            <v xml:space="preserve">  </v>
          </cell>
          <cell r="E1042">
            <v>3598</v>
          </cell>
          <cell r="F1042" t="str">
            <v xml:space="preserve">   </v>
          </cell>
          <cell r="G1042">
            <v>129283598</v>
          </cell>
          <cell r="H1042">
            <v>10409.24</v>
          </cell>
          <cell r="I1042">
            <v>7433.28</v>
          </cell>
          <cell r="J1042">
            <v>2610.48</v>
          </cell>
          <cell r="K1042">
            <v>365.48</v>
          </cell>
          <cell r="L1042">
            <v>0</v>
          </cell>
        </row>
        <row r="1043">
          <cell r="A1043">
            <v>2</v>
          </cell>
          <cell r="B1043">
            <v>2</v>
          </cell>
          <cell r="C1043">
            <v>928</v>
          </cell>
          <cell r="D1043" t="str">
            <v xml:space="preserve">  </v>
          </cell>
          <cell r="E1043">
            <v>3598</v>
          </cell>
          <cell r="F1043" t="str">
            <v xml:space="preserve">   </v>
          </cell>
          <cell r="G1043">
            <v>229283598</v>
          </cell>
          <cell r="H1043">
            <v>28399.77</v>
          </cell>
          <cell r="I1043">
            <v>24580.85</v>
          </cell>
          <cell r="J1043">
            <v>3238.19</v>
          </cell>
          <cell r="K1043">
            <v>580.73</v>
          </cell>
          <cell r="L1043">
            <v>0</v>
          </cell>
        </row>
        <row r="1044">
          <cell r="A1044">
            <v>1</v>
          </cell>
          <cell r="B1044">
            <v>2</v>
          </cell>
          <cell r="C1044">
            <v>928</v>
          </cell>
          <cell r="D1044" t="str">
            <v xml:space="preserve">  </v>
          </cell>
          <cell r="E1044">
            <v>3603</v>
          </cell>
          <cell r="F1044" t="str">
            <v xml:space="preserve">   </v>
          </cell>
          <cell r="G1044">
            <v>129283603</v>
          </cell>
          <cell r="H1044">
            <v>7082.09</v>
          </cell>
          <cell r="I1044">
            <v>0</v>
          </cell>
          <cell r="J1044">
            <v>7082.09</v>
          </cell>
          <cell r="K1044">
            <v>0</v>
          </cell>
          <cell r="L1044">
            <v>0</v>
          </cell>
        </row>
        <row r="1045">
          <cell r="A1045">
            <v>2</v>
          </cell>
          <cell r="B1045">
            <v>2</v>
          </cell>
          <cell r="C1045">
            <v>928</v>
          </cell>
          <cell r="D1045" t="str">
            <v xml:space="preserve">  </v>
          </cell>
          <cell r="E1045">
            <v>3603</v>
          </cell>
          <cell r="F1045" t="str">
            <v xml:space="preserve">   </v>
          </cell>
          <cell r="G1045">
            <v>229283603</v>
          </cell>
          <cell r="H1045">
            <v>121670.51</v>
          </cell>
          <cell r="I1045">
            <v>0</v>
          </cell>
          <cell r="J1045">
            <v>121670.51</v>
          </cell>
          <cell r="K1045">
            <v>0</v>
          </cell>
          <cell r="L1045">
            <v>0</v>
          </cell>
        </row>
        <row r="1046">
          <cell r="A1046">
            <v>1</v>
          </cell>
          <cell r="B1046">
            <v>2</v>
          </cell>
          <cell r="C1046">
            <v>928</v>
          </cell>
          <cell r="D1046" t="str">
            <v xml:space="preserve">  </v>
          </cell>
          <cell r="E1046">
            <v>3608</v>
          </cell>
          <cell r="F1046" t="str">
            <v xml:space="preserve">   </v>
          </cell>
          <cell r="G1046">
            <v>129283608</v>
          </cell>
          <cell r="H1046">
            <v>0</v>
          </cell>
          <cell r="I1046">
            <v>0</v>
          </cell>
          <cell r="J1046">
            <v>0</v>
          </cell>
          <cell r="K1046">
            <v>0</v>
          </cell>
          <cell r="L1046">
            <v>0</v>
          </cell>
        </row>
        <row r="1047">
          <cell r="A1047">
            <v>2</v>
          </cell>
          <cell r="B1047">
            <v>2</v>
          </cell>
          <cell r="C1047">
            <v>928</v>
          </cell>
          <cell r="D1047" t="str">
            <v xml:space="preserve">  </v>
          </cell>
          <cell r="E1047">
            <v>3608</v>
          </cell>
          <cell r="F1047" t="str">
            <v xml:space="preserve">   </v>
          </cell>
          <cell r="G1047">
            <v>229283608</v>
          </cell>
          <cell r="H1047">
            <v>18511.150000000001</v>
          </cell>
          <cell r="I1047">
            <v>0</v>
          </cell>
          <cell r="J1047">
            <v>0</v>
          </cell>
          <cell r="K1047">
            <v>18511.150000000001</v>
          </cell>
          <cell r="L1047">
            <v>0</v>
          </cell>
        </row>
        <row r="1048">
          <cell r="A1048">
            <v>1</v>
          </cell>
          <cell r="B1048">
            <v>2</v>
          </cell>
          <cell r="C1048">
            <v>928</v>
          </cell>
          <cell r="D1048" t="str">
            <v xml:space="preserve">  </v>
          </cell>
          <cell r="E1048">
            <v>3648</v>
          </cell>
          <cell r="F1048" t="str">
            <v xml:space="preserve">   </v>
          </cell>
          <cell r="G1048">
            <v>129283648</v>
          </cell>
          <cell r="H1048">
            <v>0</v>
          </cell>
          <cell r="I1048">
            <v>0</v>
          </cell>
          <cell r="J1048">
            <v>0</v>
          </cell>
          <cell r="K1048">
            <v>0</v>
          </cell>
          <cell r="L1048">
            <v>0</v>
          </cell>
        </row>
        <row r="1049">
          <cell r="A1049">
            <v>2</v>
          </cell>
          <cell r="B1049">
            <v>2</v>
          </cell>
          <cell r="C1049">
            <v>928</v>
          </cell>
          <cell r="D1049" t="str">
            <v xml:space="preserve">  </v>
          </cell>
          <cell r="E1049">
            <v>3648</v>
          </cell>
          <cell r="F1049" t="str">
            <v xml:space="preserve">   </v>
          </cell>
          <cell r="G1049">
            <v>229283648</v>
          </cell>
          <cell r="H1049">
            <v>2528.0300000000002</v>
          </cell>
          <cell r="I1049">
            <v>0</v>
          </cell>
          <cell r="J1049">
            <v>0</v>
          </cell>
          <cell r="K1049">
            <v>2528.0300000000002</v>
          </cell>
          <cell r="L1049">
            <v>0</v>
          </cell>
        </row>
        <row r="1050">
          <cell r="A1050">
            <v>1</v>
          </cell>
          <cell r="B1050">
            <v>2</v>
          </cell>
          <cell r="C1050">
            <v>928</v>
          </cell>
          <cell r="D1050" t="str">
            <v xml:space="preserve">  </v>
          </cell>
          <cell r="E1050">
            <v>3683</v>
          </cell>
          <cell r="F1050" t="str">
            <v xml:space="preserve">   </v>
          </cell>
          <cell r="G1050">
            <v>129283683</v>
          </cell>
          <cell r="H1050">
            <v>0</v>
          </cell>
          <cell r="I1050">
            <v>0</v>
          </cell>
          <cell r="J1050">
            <v>0</v>
          </cell>
          <cell r="K1050">
            <v>0</v>
          </cell>
          <cell r="L1050">
            <v>0</v>
          </cell>
        </row>
        <row r="1051">
          <cell r="A1051">
            <v>2</v>
          </cell>
          <cell r="B1051">
            <v>2</v>
          </cell>
          <cell r="C1051">
            <v>928</v>
          </cell>
          <cell r="D1051" t="str">
            <v xml:space="preserve">  </v>
          </cell>
          <cell r="E1051">
            <v>3683</v>
          </cell>
          <cell r="F1051" t="str">
            <v xml:space="preserve">   </v>
          </cell>
          <cell r="G1051">
            <v>229283683</v>
          </cell>
          <cell r="H1051">
            <v>1046.25</v>
          </cell>
          <cell r="I1051">
            <v>0</v>
          </cell>
          <cell r="J1051">
            <v>0</v>
          </cell>
          <cell r="K1051">
            <v>1046.25</v>
          </cell>
          <cell r="L1051">
            <v>0</v>
          </cell>
        </row>
        <row r="1052">
          <cell r="A1052">
            <v>3</v>
          </cell>
          <cell r="B1052">
            <v>0</v>
          </cell>
          <cell r="C1052">
            <v>101</v>
          </cell>
          <cell r="D1052" t="str">
            <v xml:space="preserve">  </v>
          </cell>
          <cell r="E1052" t="str">
            <v xml:space="preserve">    </v>
          </cell>
          <cell r="F1052" t="str">
            <v xml:space="preserve">   </v>
          </cell>
          <cell r="G1052">
            <v>30101</v>
          </cell>
          <cell r="H1052">
            <v>-4569474</v>
          </cell>
          <cell r="I1052">
            <v>0</v>
          </cell>
          <cell r="J1052">
            <v>-3279821</v>
          </cell>
          <cell r="K1052">
            <v>-1289653</v>
          </cell>
          <cell r="L1052">
            <v>0</v>
          </cell>
        </row>
        <row r="1053">
          <cell r="A1053">
            <v>4</v>
          </cell>
          <cell r="B1053">
            <v>0</v>
          </cell>
          <cell r="C1053">
            <v>101</v>
          </cell>
          <cell r="D1053" t="str">
            <v xml:space="preserve">  </v>
          </cell>
          <cell r="E1053" t="str">
            <v xml:space="preserve">    </v>
          </cell>
          <cell r="F1053" t="str">
            <v xml:space="preserve">   </v>
          </cell>
          <cell r="G1053">
            <v>40101</v>
          </cell>
          <cell r="H1053">
            <v>-4683713.91</v>
          </cell>
          <cell r="I1053">
            <v>0</v>
          </cell>
          <cell r="J1053">
            <v>-3361816.95</v>
          </cell>
          <cell r="K1053">
            <v>-1321896.96</v>
          </cell>
          <cell r="L1053">
            <v>0</v>
          </cell>
        </row>
        <row r="1054">
          <cell r="A1054">
            <v>5</v>
          </cell>
          <cell r="B1054">
            <v>0</v>
          </cell>
          <cell r="C1054">
            <v>101</v>
          </cell>
          <cell r="D1054" t="str">
            <v xml:space="preserve">  </v>
          </cell>
          <cell r="E1054" t="str">
            <v xml:space="preserve">    </v>
          </cell>
          <cell r="F1054" t="str">
            <v xml:space="preserve">   </v>
          </cell>
          <cell r="G1054">
            <v>50101</v>
          </cell>
          <cell r="H1054">
            <v>-4578994</v>
          </cell>
          <cell r="I1054">
            <v>0</v>
          </cell>
          <cell r="J1054">
            <v>-3286654</v>
          </cell>
          <cell r="K1054">
            <v>-1292340</v>
          </cell>
          <cell r="L1054">
            <v>0</v>
          </cell>
        </row>
        <row r="1055">
          <cell r="A1055">
            <v>3</v>
          </cell>
          <cell r="B1055">
            <v>0</v>
          </cell>
          <cell r="C1055">
            <v>301</v>
          </cell>
          <cell r="D1055" t="str">
            <v xml:space="preserve">  </v>
          </cell>
          <cell r="E1055" t="str">
            <v xml:space="preserve">    </v>
          </cell>
          <cell r="F1055" t="str">
            <v xml:space="preserve">   </v>
          </cell>
          <cell r="G1055">
            <v>30301</v>
          </cell>
          <cell r="H1055">
            <v>14698</v>
          </cell>
          <cell r="I1055">
            <v>14698</v>
          </cell>
          <cell r="J1055">
            <v>0</v>
          </cell>
          <cell r="K1055">
            <v>0</v>
          </cell>
          <cell r="L1055">
            <v>0</v>
          </cell>
        </row>
        <row r="1056">
          <cell r="A1056">
            <v>4</v>
          </cell>
          <cell r="B1056">
            <v>0</v>
          </cell>
          <cell r="C1056">
            <v>301</v>
          </cell>
          <cell r="D1056" t="str">
            <v xml:space="preserve">  </v>
          </cell>
          <cell r="E1056" t="str">
            <v xml:space="preserve">    </v>
          </cell>
          <cell r="F1056" t="str">
            <v xml:space="preserve">   </v>
          </cell>
          <cell r="G1056">
            <v>40301</v>
          </cell>
          <cell r="H1056">
            <v>14697.92</v>
          </cell>
          <cell r="I1056">
            <v>14697.92</v>
          </cell>
          <cell r="J1056">
            <v>0</v>
          </cell>
          <cell r="K1056">
            <v>0</v>
          </cell>
          <cell r="L1056">
            <v>0</v>
          </cell>
        </row>
        <row r="1057">
          <cell r="A1057">
            <v>5</v>
          </cell>
          <cell r="B1057">
            <v>0</v>
          </cell>
          <cell r="C1057">
            <v>301</v>
          </cell>
          <cell r="D1057" t="str">
            <v xml:space="preserve">  </v>
          </cell>
          <cell r="E1057" t="str">
            <v xml:space="preserve">    </v>
          </cell>
          <cell r="F1057" t="str">
            <v xml:space="preserve">   </v>
          </cell>
          <cell r="G1057">
            <v>50301</v>
          </cell>
          <cell r="H1057">
            <v>14698</v>
          </cell>
          <cell r="I1057">
            <v>14698</v>
          </cell>
          <cell r="J1057">
            <v>0</v>
          </cell>
          <cell r="K1057">
            <v>0</v>
          </cell>
          <cell r="L1057">
            <v>0</v>
          </cell>
        </row>
        <row r="1058">
          <cell r="A1058">
            <v>3</v>
          </cell>
          <cell r="B1058">
            <v>0</v>
          </cell>
          <cell r="C1058">
            <v>302</v>
          </cell>
          <cell r="D1058" t="str">
            <v xml:space="preserve">  </v>
          </cell>
          <cell r="E1058" t="str">
            <v xml:space="preserve">    </v>
          </cell>
          <cell r="F1058" t="str">
            <v xml:space="preserve">   </v>
          </cell>
          <cell r="G1058">
            <v>30302</v>
          </cell>
          <cell r="H1058">
            <v>343855.93</v>
          </cell>
          <cell r="I1058">
            <v>343855.93</v>
          </cell>
          <cell r="J1058">
            <v>0</v>
          </cell>
          <cell r="K1058">
            <v>0</v>
          </cell>
          <cell r="L1058">
            <v>0</v>
          </cell>
        </row>
        <row r="1059">
          <cell r="A1059">
            <v>4</v>
          </cell>
          <cell r="B1059">
            <v>0</v>
          </cell>
          <cell r="C1059">
            <v>302</v>
          </cell>
          <cell r="D1059" t="str">
            <v xml:space="preserve">  </v>
          </cell>
          <cell r="E1059" t="str">
            <v xml:space="preserve">    </v>
          </cell>
          <cell r="F1059" t="str">
            <v xml:space="preserve">   </v>
          </cell>
          <cell r="G1059">
            <v>40302</v>
          </cell>
          <cell r="H1059">
            <v>343855.63</v>
          </cell>
          <cell r="I1059">
            <v>343855.63</v>
          </cell>
          <cell r="J1059">
            <v>0</v>
          </cell>
          <cell r="K1059">
            <v>0</v>
          </cell>
          <cell r="L1059">
            <v>0</v>
          </cell>
        </row>
        <row r="1060">
          <cell r="A1060">
            <v>5</v>
          </cell>
          <cell r="B1060">
            <v>0</v>
          </cell>
          <cell r="C1060">
            <v>302</v>
          </cell>
          <cell r="D1060" t="str">
            <v xml:space="preserve">  </v>
          </cell>
          <cell r="E1060" t="str">
            <v xml:space="preserve">    </v>
          </cell>
          <cell r="F1060" t="str">
            <v xml:space="preserve">   </v>
          </cell>
          <cell r="G1060">
            <v>50302</v>
          </cell>
          <cell r="H1060">
            <v>343855.88</v>
          </cell>
          <cell r="I1060">
            <v>343855.88</v>
          </cell>
          <cell r="J1060">
            <v>0</v>
          </cell>
          <cell r="K1060">
            <v>0</v>
          </cell>
          <cell r="L1060">
            <v>0</v>
          </cell>
        </row>
        <row r="1061">
          <cell r="A1061">
            <v>3</v>
          </cell>
          <cell r="B1061">
            <v>0</v>
          </cell>
          <cell r="C1061">
            <v>310</v>
          </cell>
          <cell r="D1061" t="str">
            <v xml:space="preserve">  </v>
          </cell>
          <cell r="E1061" t="str">
            <v xml:space="preserve">    </v>
          </cell>
          <cell r="F1061" t="str">
            <v xml:space="preserve">   </v>
          </cell>
          <cell r="G1061">
            <v>30310</v>
          </cell>
          <cell r="H1061">
            <v>2445731.08</v>
          </cell>
          <cell r="I1061">
            <v>2445731.08</v>
          </cell>
          <cell r="J1061">
            <v>0</v>
          </cell>
          <cell r="K1061">
            <v>0</v>
          </cell>
          <cell r="L1061">
            <v>0</v>
          </cell>
        </row>
        <row r="1062">
          <cell r="A1062">
            <v>4</v>
          </cell>
          <cell r="B1062">
            <v>0</v>
          </cell>
          <cell r="C1062">
            <v>310</v>
          </cell>
          <cell r="D1062" t="str">
            <v xml:space="preserve">  </v>
          </cell>
          <cell r="E1062" t="str">
            <v xml:space="preserve">    </v>
          </cell>
          <cell r="F1062" t="str">
            <v xml:space="preserve">   </v>
          </cell>
          <cell r="G1062">
            <v>40310</v>
          </cell>
          <cell r="H1062">
            <v>2445793.0099999998</v>
          </cell>
          <cell r="I1062">
            <v>2445793.0099999998</v>
          </cell>
          <cell r="J1062">
            <v>0</v>
          </cell>
          <cell r="K1062">
            <v>0</v>
          </cell>
          <cell r="L1062">
            <v>0</v>
          </cell>
        </row>
        <row r="1063">
          <cell r="A1063">
            <v>5</v>
          </cell>
          <cell r="B1063">
            <v>0</v>
          </cell>
          <cell r="C1063">
            <v>310</v>
          </cell>
          <cell r="D1063" t="str">
            <v xml:space="preserve">  </v>
          </cell>
          <cell r="E1063" t="str">
            <v xml:space="preserve">    </v>
          </cell>
          <cell r="F1063" t="str">
            <v xml:space="preserve">   </v>
          </cell>
          <cell r="G1063">
            <v>50310</v>
          </cell>
          <cell r="H1063">
            <v>2445731.08</v>
          </cell>
          <cell r="I1063">
            <v>2445731.08</v>
          </cell>
          <cell r="J1063">
            <v>0</v>
          </cell>
          <cell r="K1063">
            <v>0</v>
          </cell>
          <cell r="L1063">
            <v>0</v>
          </cell>
        </row>
        <row r="1064">
          <cell r="A1064">
            <v>3</v>
          </cell>
          <cell r="B1064">
            <v>0</v>
          </cell>
          <cell r="C1064">
            <v>311</v>
          </cell>
          <cell r="D1064" t="str">
            <v xml:space="preserve">  </v>
          </cell>
          <cell r="E1064" t="str">
            <v xml:space="preserve">    </v>
          </cell>
          <cell r="F1064" t="str">
            <v xml:space="preserve">   </v>
          </cell>
          <cell r="G1064">
            <v>30311</v>
          </cell>
          <cell r="H1064">
            <v>129092515.01000001</v>
          </cell>
          <cell r="I1064">
            <v>129092515.01000001</v>
          </cell>
          <cell r="J1064">
            <v>0</v>
          </cell>
          <cell r="K1064">
            <v>0</v>
          </cell>
          <cell r="L1064">
            <v>0</v>
          </cell>
        </row>
        <row r="1065">
          <cell r="A1065">
            <v>4</v>
          </cell>
          <cell r="B1065">
            <v>0</v>
          </cell>
          <cell r="C1065">
            <v>311</v>
          </cell>
          <cell r="D1065" t="str">
            <v xml:space="preserve">  </v>
          </cell>
          <cell r="E1065" t="str">
            <v xml:space="preserve">    </v>
          </cell>
          <cell r="F1065" t="str">
            <v xml:space="preserve">   </v>
          </cell>
          <cell r="G1065">
            <v>40311</v>
          </cell>
          <cell r="H1065">
            <v>129127255.75</v>
          </cell>
          <cell r="I1065">
            <v>129127255.75</v>
          </cell>
          <cell r="J1065">
            <v>0</v>
          </cell>
          <cell r="K1065">
            <v>0</v>
          </cell>
          <cell r="L1065">
            <v>0</v>
          </cell>
        </row>
        <row r="1066">
          <cell r="A1066">
            <v>5</v>
          </cell>
          <cell r="B1066">
            <v>0</v>
          </cell>
          <cell r="C1066">
            <v>311</v>
          </cell>
          <cell r="D1066" t="str">
            <v xml:space="preserve">  </v>
          </cell>
          <cell r="E1066" t="str">
            <v xml:space="preserve">    </v>
          </cell>
          <cell r="F1066" t="str">
            <v xml:space="preserve">   </v>
          </cell>
          <cell r="G1066">
            <v>50311</v>
          </cell>
          <cell r="H1066">
            <v>129090202.45999999</v>
          </cell>
          <cell r="I1066">
            <v>129090202.45999999</v>
          </cell>
          <cell r="J1066">
            <v>0</v>
          </cell>
          <cell r="K1066">
            <v>0</v>
          </cell>
          <cell r="L1066">
            <v>0</v>
          </cell>
        </row>
        <row r="1067">
          <cell r="A1067">
            <v>3</v>
          </cell>
          <cell r="B1067">
            <v>0</v>
          </cell>
          <cell r="C1067">
            <v>312</v>
          </cell>
          <cell r="D1067" t="str">
            <v xml:space="preserve">  </v>
          </cell>
          <cell r="E1067" t="str">
            <v xml:space="preserve">    </v>
          </cell>
          <cell r="F1067" t="str">
            <v xml:space="preserve">   </v>
          </cell>
          <cell r="G1067">
            <v>30312</v>
          </cell>
          <cell r="H1067">
            <v>186118607</v>
          </cell>
          <cell r="I1067">
            <v>186118607</v>
          </cell>
          <cell r="J1067">
            <v>0</v>
          </cell>
          <cell r="K1067">
            <v>0</v>
          </cell>
          <cell r="L1067">
            <v>0</v>
          </cell>
        </row>
        <row r="1068">
          <cell r="A1068">
            <v>4</v>
          </cell>
          <cell r="B1068">
            <v>0</v>
          </cell>
          <cell r="C1068">
            <v>312</v>
          </cell>
          <cell r="D1068" t="str">
            <v xml:space="preserve">  </v>
          </cell>
          <cell r="E1068" t="str">
            <v xml:space="preserve">    </v>
          </cell>
          <cell r="F1068" t="str">
            <v xml:space="preserve">   </v>
          </cell>
          <cell r="G1068">
            <v>40312</v>
          </cell>
          <cell r="H1068">
            <v>187336690.71000001</v>
          </cell>
          <cell r="I1068">
            <v>187336690.71000001</v>
          </cell>
          <cell r="J1068">
            <v>0</v>
          </cell>
          <cell r="K1068">
            <v>0</v>
          </cell>
          <cell r="L1068">
            <v>0</v>
          </cell>
        </row>
        <row r="1069">
          <cell r="A1069">
            <v>5</v>
          </cell>
          <cell r="B1069">
            <v>0</v>
          </cell>
          <cell r="C1069">
            <v>312</v>
          </cell>
          <cell r="D1069" t="str">
            <v xml:space="preserve">  </v>
          </cell>
          <cell r="E1069" t="str">
            <v xml:space="preserve">    </v>
          </cell>
          <cell r="F1069" t="str">
            <v xml:space="preserve">   </v>
          </cell>
          <cell r="G1069">
            <v>50312</v>
          </cell>
          <cell r="H1069">
            <v>187324891.33000001</v>
          </cell>
          <cell r="I1069">
            <v>187324891.33000001</v>
          </cell>
          <cell r="J1069">
            <v>0</v>
          </cell>
          <cell r="K1069">
            <v>0</v>
          </cell>
          <cell r="L1069">
            <v>0</v>
          </cell>
        </row>
        <row r="1070">
          <cell r="A1070">
            <v>3</v>
          </cell>
          <cell r="B1070">
            <v>0</v>
          </cell>
          <cell r="C1070">
            <v>314</v>
          </cell>
          <cell r="D1070" t="str">
            <v xml:space="preserve">  </v>
          </cell>
          <cell r="E1070" t="str">
            <v xml:space="preserve">    </v>
          </cell>
          <cell r="F1070" t="str">
            <v xml:space="preserve">   </v>
          </cell>
          <cell r="G1070">
            <v>30314</v>
          </cell>
          <cell r="H1070">
            <v>56534963.359999999</v>
          </cell>
          <cell r="I1070">
            <v>56534963.359999999</v>
          </cell>
          <cell r="J1070">
            <v>0</v>
          </cell>
          <cell r="K1070">
            <v>0</v>
          </cell>
          <cell r="L1070">
            <v>0</v>
          </cell>
        </row>
        <row r="1071">
          <cell r="A1071">
            <v>4</v>
          </cell>
          <cell r="B1071">
            <v>0</v>
          </cell>
          <cell r="C1071">
            <v>314</v>
          </cell>
          <cell r="D1071" t="str">
            <v xml:space="preserve">  </v>
          </cell>
          <cell r="E1071" t="str">
            <v xml:space="preserve">    </v>
          </cell>
          <cell r="F1071" t="str">
            <v xml:space="preserve">   </v>
          </cell>
          <cell r="G1071">
            <v>40314</v>
          </cell>
          <cell r="H1071">
            <v>56847703.539999999</v>
          </cell>
          <cell r="I1071">
            <v>56847703.539999999</v>
          </cell>
          <cell r="J1071">
            <v>0</v>
          </cell>
          <cell r="K1071">
            <v>0</v>
          </cell>
          <cell r="L1071">
            <v>0</v>
          </cell>
        </row>
        <row r="1072">
          <cell r="A1072">
            <v>5</v>
          </cell>
          <cell r="B1072">
            <v>0</v>
          </cell>
          <cell r="C1072">
            <v>314</v>
          </cell>
          <cell r="D1072" t="str">
            <v xml:space="preserve">  </v>
          </cell>
          <cell r="E1072" t="str">
            <v xml:space="preserve">    </v>
          </cell>
          <cell r="F1072" t="str">
            <v xml:space="preserve">   </v>
          </cell>
          <cell r="G1072">
            <v>50314</v>
          </cell>
          <cell r="H1072">
            <v>56921585.609999999</v>
          </cell>
          <cell r="I1072">
            <v>56921585.609999999</v>
          </cell>
          <cell r="J1072">
            <v>0</v>
          </cell>
          <cell r="K1072">
            <v>0</v>
          </cell>
          <cell r="L1072">
            <v>0</v>
          </cell>
        </row>
        <row r="1073">
          <cell r="A1073">
            <v>3</v>
          </cell>
          <cell r="B1073">
            <v>0</v>
          </cell>
          <cell r="C1073">
            <v>315</v>
          </cell>
          <cell r="D1073" t="str">
            <v xml:space="preserve">  </v>
          </cell>
          <cell r="E1073" t="str">
            <v xml:space="preserve">    </v>
          </cell>
          <cell r="F1073" t="str">
            <v xml:space="preserve">   </v>
          </cell>
          <cell r="G1073">
            <v>30315</v>
          </cell>
          <cell r="H1073">
            <v>26664060.710000001</v>
          </cell>
          <cell r="I1073">
            <v>26664060.710000001</v>
          </cell>
          <cell r="J1073">
            <v>0</v>
          </cell>
          <cell r="K1073">
            <v>0</v>
          </cell>
          <cell r="L1073">
            <v>0</v>
          </cell>
        </row>
        <row r="1074">
          <cell r="A1074">
            <v>4</v>
          </cell>
          <cell r="B1074">
            <v>0</v>
          </cell>
          <cell r="C1074">
            <v>315</v>
          </cell>
          <cell r="D1074" t="str">
            <v xml:space="preserve">  </v>
          </cell>
          <cell r="E1074" t="str">
            <v xml:space="preserve">    </v>
          </cell>
          <cell r="F1074" t="str">
            <v xml:space="preserve">   </v>
          </cell>
          <cell r="G1074">
            <v>40315</v>
          </cell>
          <cell r="H1074">
            <v>26799599.960000001</v>
          </cell>
          <cell r="I1074">
            <v>26799599.960000001</v>
          </cell>
          <cell r="J1074">
            <v>0</v>
          </cell>
          <cell r="K1074">
            <v>0</v>
          </cell>
          <cell r="L1074">
            <v>0</v>
          </cell>
        </row>
        <row r="1075">
          <cell r="A1075">
            <v>5</v>
          </cell>
          <cell r="B1075">
            <v>0</v>
          </cell>
          <cell r="C1075">
            <v>315</v>
          </cell>
          <cell r="D1075" t="str">
            <v xml:space="preserve">  </v>
          </cell>
          <cell r="E1075" t="str">
            <v xml:space="preserve">    </v>
          </cell>
          <cell r="F1075" t="str">
            <v xml:space="preserve">   </v>
          </cell>
          <cell r="G1075">
            <v>50315</v>
          </cell>
          <cell r="H1075">
            <v>26739686.940000001</v>
          </cell>
          <cell r="I1075">
            <v>26739686.940000001</v>
          </cell>
          <cell r="J1075">
            <v>0</v>
          </cell>
          <cell r="K1075">
            <v>0</v>
          </cell>
          <cell r="L1075">
            <v>0</v>
          </cell>
        </row>
        <row r="1076">
          <cell r="A1076">
            <v>3</v>
          </cell>
          <cell r="B1076">
            <v>0</v>
          </cell>
          <cell r="C1076">
            <v>316</v>
          </cell>
          <cell r="D1076" t="str">
            <v xml:space="preserve">  </v>
          </cell>
          <cell r="E1076" t="str">
            <v xml:space="preserve">    </v>
          </cell>
          <cell r="F1076" t="str">
            <v xml:space="preserve">   </v>
          </cell>
          <cell r="G1076">
            <v>30316</v>
          </cell>
          <cell r="H1076">
            <v>15498538.9</v>
          </cell>
          <cell r="I1076">
            <v>15498538.9</v>
          </cell>
          <cell r="J1076">
            <v>0</v>
          </cell>
          <cell r="K1076">
            <v>0</v>
          </cell>
          <cell r="L1076">
            <v>0</v>
          </cell>
        </row>
        <row r="1077">
          <cell r="A1077">
            <v>4</v>
          </cell>
          <cell r="B1077">
            <v>0</v>
          </cell>
          <cell r="C1077">
            <v>316</v>
          </cell>
          <cell r="D1077" t="str">
            <v xml:space="preserve">  </v>
          </cell>
          <cell r="E1077" t="str">
            <v xml:space="preserve">    </v>
          </cell>
          <cell r="F1077" t="str">
            <v xml:space="preserve">   </v>
          </cell>
          <cell r="G1077">
            <v>40316</v>
          </cell>
          <cell r="H1077">
            <v>15373911.23</v>
          </cell>
          <cell r="I1077">
            <v>15373911.23</v>
          </cell>
          <cell r="J1077">
            <v>0</v>
          </cell>
          <cell r="K1077">
            <v>0</v>
          </cell>
          <cell r="L1077">
            <v>0</v>
          </cell>
        </row>
        <row r="1078">
          <cell r="A1078">
            <v>5</v>
          </cell>
          <cell r="B1078">
            <v>0</v>
          </cell>
          <cell r="C1078">
            <v>316</v>
          </cell>
          <cell r="D1078" t="str">
            <v xml:space="preserve">  </v>
          </cell>
          <cell r="E1078" t="str">
            <v xml:space="preserve">    </v>
          </cell>
          <cell r="F1078" t="str">
            <v xml:space="preserve">   </v>
          </cell>
          <cell r="G1078">
            <v>50316</v>
          </cell>
          <cell r="H1078">
            <v>15497343.699999999</v>
          </cell>
          <cell r="I1078">
            <v>15497343.699999999</v>
          </cell>
          <cell r="J1078">
            <v>0</v>
          </cell>
          <cell r="K1078">
            <v>0</v>
          </cell>
          <cell r="L1078">
            <v>0</v>
          </cell>
        </row>
        <row r="1079">
          <cell r="A1079">
            <v>3</v>
          </cell>
          <cell r="B1079">
            <v>0</v>
          </cell>
          <cell r="C1079">
            <v>330</v>
          </cell>
          <cell r="D1079" t="str">
            <v xml:space="preserve">  </v>
          </cell>
          <cell r="E1079" t="str">
            <v xml:space="preserve">    </v>
          </cell>
          <cell r="F1079" t="str">
            <v xml:space="preserve">   </v>
          </cell>
          <cell r="G1079">
            <v>30330</v>
          </cell>
          <cell r="H1079">
            <v>47831683.409999996</v>
          </cell>
          <cell r="I1079">
            <v>47831683.409999996</v>
          </cell>
          <cell r="J1079">
            <v>0</v>
          </cell>
          <cell r="K1079">
            <v>0</v>
          </cell>
          <cell r="L1079">
            <v>0</v>
          </cell>
        </row>
        <row r="1080">
          <cell r="A1080">
            <v>4</v>
          </cell>
          <cell r="B1080">
            <v>0</v>
          </cell>
          <cell r="C1080">
            <v>330</v>
          </cell>
          <cell r="D1080" t="str">
            <v xml:space="preserve">  </v>
          </cell>
          <cell r="E1080" t="str">
            <v xml:space="preserve">    </v>
          </cell>
          <cell r="F1080" t="str">
            <v xml:space="preserve">   </v>
          </cell>
          <cell r="G1080">
            <v>40330</v>
          </cell>
          <cell r="H1080">
            <v>47610098.210000001</v>
          </cell>
          <cell r="I1080">
            <v>47610098.210000001</v>
          </cell>
          <cell r="J1080">
            <v>0</v>
          </cell>
          <cell r="K1080">
            <v>0</v>
          </cell>
          <cell r="L1080">
            <v>0</v>
          </cell>
        </row>
        <row r="1081">
          <cell r="A1081">
            <v>5</v>
          </cell>
          <cell r="B1081">
            <v>0</v>
          </cell>
          <cell r="C1081">
            <v>330</v>
          </cell>
          <cell r="D1081" t="str">
            <v xml:space="preserve">  </v>
          </cell>
          <cell r="E1081" t="str">
            <v xml:space="preserve">    </v>
          </cell>
          <cell r="F1081" t="str">
            <v xml:space="preserve">   </v>
          </cell>
          <cell r="G1081">
            <v>50330</v>
          </cell>
          <cell r="H1081">
            <v>47831683.219999999</v>
          </cell>
          <cell r="I1081">
            <v>47831683.219999999</v>
          </cell>
          <cell r="J1081">
            <v>0</v>
          </cell>
          <cell r="K1081">
            <v>0</v>
          </cell>
          <cell r="L1081">
            <v>0</v>
          </cell>
        </row>
        <row r="1082">
          <cell r="A1082">
            <v>3</v>
          </cell>
          <cell r="B1082">
            <v>0</v>
          </cell>
          <cell r="C1082">
            <v>331</v>
          </cell>
          <cell r="D1082" t="str">
            <v xml:space="preserve">  </v>
          </cell>
          <cell r="E1082" t="str">
            <v xml:space="preserve">    </v>
          </cell>
          <cell r="F1082" t="str">
            <v xml:space="preserve">   </v>
          </cell>
          <cell r="G1082">
            <v>30331</v>
          </cell>
          <cell r="H1082">
            <v>35213169.140000001</v>
          </cell>
          <cell r="I1082">
            <v>35213169.140000001</v>
          </cell>
          <cell r="J1082">
            <v>0</v>
          </cell>
          <cell r="K1082">
            <v>0</v>
          </cell>
          <cell r="L1082">
            <v>0</v>
          </cell>
        </row>
        <row r="1083">
          <cell r="A1083">
            <v>4</v>
          </cell>
          <cell r="B1083">
            <v>0</v>
          </cell>
          <cell r="C1083">
            <v>331</v>
          </cell>
          <cell r="D1083" t="str">
            <v xml:space="preserve">  </v>
          </cell>
          <cell r="E1083" t="str">
            <v xml:space="preserve">    </v>
          </cell>
          <cell r="F1083" t="str">
            <v xml:space="preserve">   </v>
          </cell>
          <cell r="G1083">
            <v>40331</v>
          </cell>
          <cell r="H1083">
            <v>35088249.659999996</v>
          </cell>
          <cell r="I1083">
            <v>35088249.659999996</v>
          </cell>
          <cell r="J1083">
            <v>0</v>
          </cell>
          <cell r="K1083">
            <v>0</v>
          </cell>
          <cell r="L1083">
            <v>0</v>
          </cell>
        </row>
        <row r="1084">
          <cell r="A1084">
            <v>5</v>
          </cell>
          <cell r="B1084">
            <v>0</v>
          </cell>
          <cell r="C1084">
            <v>331</v>
          </cell>
          <cell r="D1084" t="str">
            <v xml:space="preserve">  </v>
          </cell>
          <cell r="E1084" t="str">
            <v xml:space="preserve">    </v>
          </cell>
          <cell r="F1084" t="str">
            <v xml:space="preserve">   </v>
          </cell>
          <cell r="G1084">
            <v>50331</v>
          </cell>
          <cell r="H1084">
            <v>35237628.299999997</v>
          </cell>
          <cell r="I1084">
            <v>35237628.299999997</v>
          </cell>
          <cell r="J1084">
            <v>0</v>
          </cell>
          <cell r="K1084">
            <v>0</v>
          </cell>
          <cell r="L1084">
            <v>0</v>
          </cell>
        </row>
        <row r="1085">
          <cell r="A1085">
            <v>3</v>
          </cell>
          <cell r="B1085">
            <v>0</v>
          </cell>
          <cell r="C1085">
            <v>332</v>
          </cell>
          <cell r="D1085" t="str">
            <v xml:space="preserve">  </v>
          </cell>
          <cell r="E1085" t="str">
            <v xml:space="preserve">    </v>
          </cell>
          <cell r="F1085" t="str">
            <v xml:space="preserve">   </v>
          </cell>
          <cell r="G1085">
            <v>30332</v>
          </cell>
          <cell r="H1085">
            <v>87873703.609999999</v>
          </cell>
          <cell r="I1085">
            <v>87873703.609999999</v>
          </cell>
          <cell r="J1085">
            <v>0</v>
          </cell>
          <cell r="K1085">
            <v>0</v>
          </cell>
          <cell r="L1085">
            <v>0</v>
          </cell>
        </row>
        <row r="1086">
          <cell r="A1086">
            <v>4</v>
          </cell>
          <cell r="B1086">
            <v>0</v>
          </cell>
          <cell r="C1086">
            <v>332</v>
          </cell>
          <cell r="D1086" t="str">
            <v xml:space="preserve">  </v>
          </cell>
          <cell r="E1086" t="str">
            <v xml:space="preserve">    </v>
          </cell>
          <cell r="F1086" t="str">
            <v xml:space="preserve">   </v>
          </cell>
          <cell r="G1086">
            <v>40332</v>
          </cell>
          <cell r="H1086">
            <v>85927896.140000001</v>
          </cell>
          <cell r="I1086">
            <v>85927896.140000001</v>
          </cell>
          <cell r="J1086">
            <v>0</v>
          </cell>
          <cell r="K1086">
            <v>0</v>
          </cell>
          <cell r="L1086">
            <v>0</v>
          </cell>
        </row>
        <row r="1087">
          <cell r="A1087">
            <v>5</v>
          </cell>
          <cell r="B1087">
            <v>0</v>
          </cell>
          <cell r="C1087">
            <v>332</v>
          </cell>
          <cell r="D1087" t="str">
            <v xml:space="preserve">  </v>
          </cell>
          <cell r="E1087" t="str">
            <v xml:space="preserve">    </v>
          </cell>
          <cell r="F1087" t="str">
            <v xml:space="preserve">   </v>
          </cell>
          <cell r="G1087">
            <v>50332</v>
          </cell>
          <cell r="H1087">
            <v>87285922.689999998</v>
          </cell>
          <cell r="I1087">
            <v>87285922.689999998</v>
          </cell>
          <cell r="J1087">
            <v>0</v>
          </cell>
          <cell r="K1087">
            <v>0</v>
          </cell>
          <cell r="L1087">
            <v>0</v>
          </cell>
        </row>
        <row r="1088">
          <cell r="A1088">
            <v>3</v>
          </cell>
          <cell r="B1088">
            <v>0</v>
          </cell>
          <cell r="C1088">
            <v>333</v>
          </cell>
          <cell r="D1088" t="str">
            <v xml:space="preserve">  </v>
          </cell>
          <cell r="E1088" t="str">
            <v xml:space="preserve">    </v>
          </cell>
          <cell r="F1088" t="str">
            <v xml:space="preserve">   </v>
          </cell>
          <cell r="G1088">
            <v>30333</v>
          </cell>
          <cell r="H1088">
            <v>83949736.640000001</v>
          </cell>
          <cell r="I1088">
            <v>83949736.640000001</v>
          </cell>
          <cell r="J1088">
            <v>0</v>
          </cell>
          <cell r="K1088">
            <v>0</v>
          </cell>
          <cell r="L1088">
            <v>0</v>
          </cell>
        </row>
        <row r="1089">
          <cell r="A1089">
            <v>4</v>
          </cell>
          <cell r="B1089">
            <v>0</v>
          </cell>
          <cell r="C1089">
            <v>333</v>
          </cell>
          <cell r="D1089" t="str">
            <v xml:space="preserve">  </v>
          </cell>
          <cell r="E1089" t="str">
            <v xml:space="preserve">    </v>
          </cell>
          <cell r="F1089" t="str">
            <v xml:space="preserve">   </v>
          </cell>
          <cell r="G1089">
            <v>40333</v>
          </cell>
          <cell r="H1089">
            <v>83240743.370000005</v>
          </cell>
          <cell r="I1089">
            <v>83240743.370000005</v>
          </cell>
          <cell r="J1089">
            <v>0</v>
          </cell>
          <cell r="K1089">
            <v>0</v>
          </cell>
          <cell r="L1089">
            <v>0</v>
          </cell>
        </row>
        <row r="1090">
          <cell r="A1090">
            <v>5</v>
          </cell>
          <cell r="B1090">
            <v>0</v>
          </cell>
          <cell r="C1090">
            <v>333</v>
          </cell>
          <cell r="D1090" t="str">
            <v xml:space="preserve">  </v>
          </cell>
          <cell r="E1090" t="str">
            <v xml:space="preserve">    </v>
          </cell>
          <cell r="F1090" t="str">
            <v xml:space="preserve">   </v>
          </cell>
          <cell r="G1090">
            <v>50333</v>
          </cell>
          <cell r="H1090">
            <v>83637003.689999998</v>
          </cell>
          <cell r="I1090">
            <v>83637003.689999998</v>
          </cell>
          <cell r="J1090">
            <v>0</v>
          </cell>
          <cell r="K1090">
            <v>0</v>
          </cell>
          <cell r="L1090">
            <v>0</v>
          </cell>
        </row>
        <row r="1091">
          <cell r="A1091">
            <v>3</v>
          </cell>
          <cell r="B1091">
            <v>0</v>
          </cell>
          <cell r="C1091">
            <v>334</v>
          </cell>
          <cell r="D1091" t="str">
            <v xml:space="preserve">  </v>
          </cell>
          <cell r="E1091" t="str">
            <v xml:space="preserve">    </v>
          </cell>
          <cell r="F1091" t="str">
            <v xml:space="preserve">   </v>
          </cell>
          <cell r="G1091">
            <v>30334</v>
          </cell>
          <cell r="H1091">
            <v>19091483.010000002</v>
          </cell>
          <cell r="I1091">
            <v>19091483.010000002</v>
          </cell>
          <cell r="J1091">
            <v>0</v>
          </cell>
          <cell r="K1091">
            <v>0</v>
          </cell>
          <cell r="L1091">
            <v>0</v>
          </cell>
        </row>
        <row r="1092">
          <cell r="A1092">
            <v>4</v>
          </cell>
          <cell r="B1092">
            <v>0</v>
          </cell>
          <cell r="C1092">
            <v>334</v>
          </cell>
          <cell r="D1092" t="str">
            <v xml:space="preserve">  </v>
          </cell>
          <cell r="E1092" t="str">
            <v xml:space="preserve">    </v>
          </cell>
          <cell r="F1092" t="str">
            <v xml:space="preserve">   </v>
          </cell>
          <cell r="G1092">
            <v>40334</v>
          </cell>
          <cell r="H1092">
            <v>18032470.050000001</v>
          </cell>
          <cell r="I1092">
            <v>18032470.050000001</v>
          </cell>
          <cell r="J1092">
            <v>0</v>
          </cell>
          <cell r="K1092">
            <v>0</v>
          </cell>
          <cell r="L1092">
            <v>0</v>
          </cell>
        </row>
        <row r="1093">
          <cell r="A1093">
            <v>5</v>
          </cell>
          <cell r="B1093">
            <v>0</v>
          </cell>
          <cell r="C1093">
            <v>334</v>
          </cell>
          <cell r="D1093" t="str">
            <v xml:space="preserve">  </v>
          </cell>
          <cell r="E1093" t="str">
            <v xml:space="preserve">    </v>
          </cell>
          <cell r="F1093" t="str">
            <v xml:space="preserve">   </v>
          </cell>
          <cell r="G1093">
            <v>50334</v>
          </cell>
          <cell r="H1093">
            <v>18804651.989999998</v>
          </cell>
          <cell r="I1093">
            <v>18804651.989999998</v>
          </cell>
          <cell r="J1093">
            <v>0</v>
          </cell>
          <cell r="K1093">
            <v>0</v>
          </cell>
          <cell r="L1093">
            <v>0</v>
          </cell>
        </row>
        <row r="1094">
          <cell r="A1094">
            <v>3</v>
          </cell>
          <cell r="B1094">
            <v>0</v>
          </cell>
          <cell r="C1094">
            <v>335</v>
          </cell>
          <cell r="D1094" t="str">
            <v xml:space="preserve">  </v>
          </cell>
          <cell r="E1094" t="str">
            <v xml:space="preserve">    </v>
          </cell>
          <cell r="F1094" t="str">
            <v xml:space="preserve">   </v>
          </cell>
          <cell r="G1094">
            <v>30335</v>
          </cell>
          <cell r="H1094">
            <v>4400891.3899999997</v>
          </cell>
          <cell r="I1094">
            <v>4400891.3899999997</v>
          </cell>
          <cell r="J1094">
            <v>0</v>
          </cell>
          <cell r="K1094">
            <v>0</v>
          </cell>
          <cell r="L1094">
            <v>0</v>
          </cell>
        </row>
        <row r="1095">
          <cell r="A1095">
            <v>4</v>
          </cell>
          <cell r="B1095">
            <v>0</v>
          </cell>
          <cell r="C1095">
            <v>335</v>
          </cell>
          <cell r="D1095" t="str">
            <v xml:space="preserve">  </v>
          </cell>
          <cell r="E1095" t="str">
            <v xml:space="preserve">    </v>
          </cell>
          <cell r="F1095" t="str">
            <v xml:space="preserve">   </v>
          </cell>
          <cell r="G1095">
            <v>40335</v>
          </cell>
          <cell r="H1095">
            <v>4341026.78</v>
          </cell>
          <cell r="I1095">
            <v>4341026.78</v>
          </cell>
          <cell r="J1095">
            <v>0</v>
          </cell>
          <cell r="K1095">
            <v>0</v>
          </cell>
          <cell r="L1095">
            <v>0</v>
          </cell>
        </row>
        <row r="1096">
          <cell r="A1096">
            <v>5</v>
          </cell>
          <cell r="B1096">
            <v>0</v>
          </cell>
          <cell r="C1096">
            <v>335</v>
          </cell>
          <cell r="D1096" t="str">
            <v xml:space="preserve">  </v>
          </cell>
          <cell r="E1096" t="str">
            <v xml:space="preserve">    </v>
          </cell>
          <cell r="F1096" t="str">
            <v xml:space="preserve">   </v>
          </cell>
          <cell r="G1096">
            <v>50335</v>
          </cell>
          <cell r="H1096">
            <v>4392239.4000000004</v>
          </cell>
          <cell r="I1096">
            <v>4392239.4000000004</v>
          </cell>
          <cell r="J1096">
            <v>0</v>
          </cell>
          <cell r="K1096">
            <v>0</v>
          </cell>
          <cell r="L1096">
            <v>0</v>
          </cell>
        </row>
        <row r="1097">
          <cell r="A1097">
            <v>3</v>
          </cell>
          <cell r="B1097">
            <v>0</v>
          </cell>
          <cell r="C1097">
            <v>336</v>
          </cell>
          <cell r="D1097" t="str">
            <v xml:space="preserve">  </v>
          </cell>
          <cell r="E1097" t="str">
            <v xml:space="preserve">    </v>
          </cell>
          <cell r="F1097" t="str">
            <v xml:space="preserve">   </v>
          </cell>
          <cell r="G1097">
            <v>30336</v>
          </cell>
          <cell r="H1097">
            <v>1790185.28</v>
          </cell>
          <cell r="I1097">
            <v>1790185.28</v>
          </cell>
          <cell r="J1097">
            <v>0</v>
          </cell>
          <cell r="K1097">
            <v>0</v>
          </cell>
          <cell r="L1097">
            <v>0</v>
          </cell>
        </row>
        <row r="1098">
          <cell r="A1098">
            <v>4</v>
          </cell>
          <cell r="B1098">
            <v>0</v>
          </cell>
          <cell r="C1098">
            <v>336</v>
          </cell>
          <cell r="D1098" t="str">
            <v xml:space="preserve">  </v>
          </cell>
          <cell r="E1098" t="str">
            <v xml:space="preserve">    </v>
          </cell>
          <cell r="F1098" t="str">
            <v xml:space="preserve">   </v>
          </cell>
          <cell r="G1098">
            <v>40336</v>
          </cell>
          <cell r="H1098">
            <v>1755224.54</v>
          </cell>
          <cell r="I1098">
            <v>1755224.54</v>
          </cell>
          <cell r="J1098">
            <v>0</v>
          </cell>
          <cell r="K1098">
            <v>0</v>
          </cell>
          <cell r="L1098">
            <v>0</v>
          </cell>
        </row>
        <row r="1099">
          <cell r="A1099">
            <v>5</v>
          </cell>
          <cell r="B1099">
            <v>0</v>
          </cell>
          <cell r="C1099">
            <v>336</v>
          </cell>
          <cell r="D1099" t="str">
            <v xml:space="preserve">  </v>
          </cell>
          <cell r="E1099" t="str">
            <v xml:space="preserve">    </v>
          </cell>
          <cell r="F1099" t="str">
            <v xml:space="preserve">   </v>
          </cell>
          <cell r="G1099">
            <v>50336</v>
          </cell>
          <cell r="H1099">
            <v>1790185.24</v>
          </cell>
          <cell r="I1099">
            <v>1790185.24</v>
          </cell>
          <cell r="J1099">
            <v>0</v>
          </cell>
          <cell r="K1099">
            <v>0</v>
          </cell>
          <cell r="L1099">
            <v>0</v>
          </cell>
        </row>
        <row r="1100">
          <cell r="A1100">
            <v>3</v>
          </cell>
          <cell r="B1100">
            <v>0</v>
          </cell>
          <cell r="C1100">
            <v>340</v>
          </cell>
          <cell r="D1100" t="str">
            <v xml:space="preserve">  </v>
          </cell>
          <cell r="E1100" t="str">
            <v xml:space="preserve">    </v>
          </cell>
          <cell r="F1100" t="str">
            <v xml:space="preserve">   </v>
          </cell>
          <cell r="G1100">
            <v>30340</v>
          </cell>
          <cell r="H1100">
            <v>615079.03</v>
          </cell>
          <cell r="I1100">
            <v>615079.03</v>
          </cell>
          <cell r="J1100">
            <v>0</v>
          </cell>
          <cell r="K1100">
            <v>0</v>
          </cell>
          <cell r="L1100">
            <v>0</v>
          </cell>
        </row>
        <row r="1101">
          <cell r="A1101">
            <v>4</v>
          </cell>
          <cell r="B1101">
            <v>0</v>
          </cell>
          <cell r="C1101">
            <v>340</v>
          </cell>
          <cell r="D1101" t="str">
            <v xml:space="preserve">  </v>
          </cell>
          <cell r="E1101" t="str">
            <v xml:space="preserve">    </v>
          </cell>
          <cell r="F1101" t="str">
            <v xml:space="preserve">   </v>
          </cell>
          <cell r="G1101">
            <v>40340</v>
          </cell>
          <cell r="H1101">
            <v>615078.82999999996</v>
          </cell>
          <cell r="I1101">
            <v>615078.82999999996</v>
          </cell>
          <cell r="J1101">
            <v>0</v>
          </cell>
          <cell r="K1101">
            <v>0</v>
          </cell>
          <cell r="L1101">
            <v>0</v>
          </cell>
        </row>
        <row r="1102">
          <cell r="A1102">
            <v>5</v>
          </cell>
          <cell r="B1102">
            <v>0</v>
          </cell>
          <cell r="C1102">
            <v>340</v>
          </cell>
          <cell r="D1102" t="str">
            <v xml:space="preserve">  </v>
          </cell>
          <cell r="E1102" t="str">
            <v xml:space="preserve">    </v>
          </cell>
          <cell r="F1102" t="str">
            <v xml:space="preserve">   </v>
          </cell>
          <cell r="G1102">
            <v>50340</v>
          </cell>
          <cell r="H1102">
            <v>615079.02</v>
          </cell>
          <cell r="I1102">
            <v>615079.02</v>
          </cell>
          <cell r="J1102">
            <v>0</v>
          </cell>
          <cell r="K1102">
            <v>0</v>
          </cell>
          <cell r="L1102">
            <v>0</v>
          </cell>
        </row>
        <row r="1103">
          <cell r="A1103">
            <v>3</v>
          </cell>
          <cell r="B1103">
            <v>0</v>
          </cell>
          <cell r="C1103">
            <v>341</v>
          </cell>
          <cell r="D1103" t="str">
            <v xml:space="preserve">  </v>
          </cell>
          <cell r="E1103" t="str">
            <v xml:space="preserve">    </v>
          </cell>
          <cell r="F1103" t="str">
            <v xml:space="preserve">   </v>
          </cell>
          <cell r="G1103">
            <v>30341</v>
          </cell>
          <cell r="H1103">
            <v>256733.08</v>
          </cell>
          <cell r="I1103">
            <v>256733.08</v>
          </cell>
          <cell r="J1103">
            <v>0</v>
          </cell>
          <cell r="K1103">
            <v>0</v>
          </cell>
          <cell r="L1103">
            <v>0</v>
          </cell>
        </row>
        <row r="1104">
          <cell r="A1104">
            <v>4</v>
          </cell>
          <cell r="B1104">
            <v>0</v>
          </cell>
          <cell r="C1104">
            <v>341</v>
          </cell>
          <cell r="D1104" t="str">
            <v xml:space="preserve">  </v>
          </cell>
          <cell r="E1104" t="str">
            <v xml:space="preserve">    </v>
          </cell>
          <cell r="F1104" t="str">
            <v xml:space="preserve">   </v>
          </cell>
          <cell r="G1104">
            <v>40341</v>
          </cell>
          <cell r="H1104">
            <v>256680.54</v>
          </cell>
          <cell r="I1104">
            <v>256680.54</v>
          </cell>
          <cell r="J1104">
            <v>0</v>
          </cell>
          <cell r="K1104">
            <v>0</v>
          </cell>
          <cell r="L1104">
            <v>0</v>
          </cell>
        </row>
        <row r="1105">
          <cell r="A1105">
            <v>5</v>
          </cell>
          <cell r="B1105">
            <v>0</v>
          </cell>
          <cell r="C1105">
            <v>341</v>
          </cell>
          <cell r="D1105" t="str">
            <v xml:space="preserve">  </v>
          </cell>
          <cell r="E1105" t="str">
            <v xml:space="preserve">    </v>
          </cell>
          <cell r="F1105" t="str">
            <v xml:space="preserve">   </v>
          </cell>
          <cell r="G1105">
            <v>50341</v>
          </cell>
          <cell r="H1105">
            <v>256733.08</v>
          </cell>
          <cell r="I1105">
            <v>256733.08</v>
          </cell>
          <cell r="J1105">
            <v>0</v>
          </cell>
          <cell r="K1105">
            <v>0</v>
          </cell>
          <cell r="L1105">
            <v>0</v>
          </cell>
        </row>
        <row r="1106">
          <cell r="A1106">
            <v>3</v>
          </cell>
          <cell r="B1106">
            <v>0</v>
          </cell>
          <cell r="C1106">
            <v>342</v>
          </cell>
          <cell r="D1106" t="str">
            <v xml:space="preserve">  </v>
          </cell>
          <cell r="E1106" t="str">
            <v xml:space="preserve">    </v>
          </cell>
          <cell r="F1106" t="str">
            <v xml:space="preserve">   </v>
          </cell>
          <cell r="G1106">
            <v>30342</v>
          </cell>
          <cell r="H1106">
            <v>1140527.1499999999</v>
          </cell>
          <cell r="I1106">
            <v>1140527.1499999999</v>
          </cell>
          <cell r="J1106">
            <v>0</v>
          </cell>
          <cell r="K1106">
            <v>0</v>
          </cell>
          <cell r="L1106">
            <v>0</v>
          </cell>
        </row>
        <row r="1107">
          <cell r="A1107">
            <v>4</v>
          </cell>
          <cell r="B1107">
            <v>0</v>
          </cell>
          <cell r="C1107">
            <v>342</v>
          </cell>
          <cell r="D1107" t="str">
            <v xml:space="preserve">  </v>
          </cell>
          <cell r="E1107" t="str">
            <v xml:space="preserve">    </v>
          </cell>
          <cell r="F1107" t="str">
            <v xml:space="preserve">   </v>
          </cell>
          <cell r="G1107">
            <v>40342</v>
          </cell>
          <cell r="H1107">
            <v>1140527.04</v>
          </cell>
          <cell r="I1107">
            <v>1140527.04</v>
          </cell>
          <cell r="J1107">
            <v>0</v>
          </cell>
          <cell r="K1107">
            <v>0</v>
          </cell>
          <cell r="L1107">
            <v>0</v>
          </cell>
        </row>
        <row r="1108">
          <cell r="A1108">
            <v>5</v>
          </cell>
          <cell r="B1108">
            <v>0</v>
          </cell>
          <cell r="C1108">
            <v>342</v>
          </cell>
          <cell r="D1108" t="str">
            <v xml:space="preserve">  </v>
          </cell>
          <cell r="E1108" t="str">
            <v xml:space="preserve">    </v>
          </cell>
          <cell r="F1108" t="str">
            <v xml:space="preserve">   </v>
          </cell>
          <cell r="G1108">
            <v>50342</v>
          </cell>
          <cell r="H1108">
            <v>1140527.1399999999</v>
          </cell>
          <cell r="I1108">
            <v>1140527.1399999999</v>
          </cell>
          <cell r="J1108">
            <v>0</v>
          </cell>
          <cell r="K1108">
            <v>0</v>
          </cell>
          <cell r="L1108">
            <v>0</v>
          </cell>
        </row>
        <row r="1109">
          <cell r="A1109">
            <v>3</v>
          </cell>
          <cell r="B1109">
            <v>0</v>
          </cell>
          <cell r="C1109">
            <v>343</v>
          </cell>
          <cell r="D1109" t="str">
            <v xml:space="preserve">  </v>
          </cell>
          <cell r="E1109" t="str">
            <v xml:space="preserve">    </v>
          </cell>
          <cell r="F1109" t="str">
            <v xml:space="preserve">   </v>
          </cell>
          <cell r="G1109">
            <v>30343</v>
          </cell>
          <cell r="H1109">
            <v>6506950.8899999997</v>
          </cell>
          <cell r="I1109">
            <v>6506950.8899999997</v>
          </cell>
          <cell r="J1109">
            <v>0</v>
          </cell>
          <cell r="K1109">
            <v>0</v>
          </cell>
          <cell r="L1109">
            <v>0</v>
          </cell>
        </row>
        <row r="1110">
          <cell r="A1110">
            <v>4</v>
          </cell>
          <cell r="B1110">
            <v>0</v>
          </cell>
          <cell r="C1110">
            <v>343</v>
          </cell>
          <cell r="D1110" t="str">
            <v xml:space="preserve">  </v>
          </cell>
          <cell r="E1110" t="str">
            <v xml:space="preserve">    </v>
          </cell>
          <cell r="F1110" t="str">
            <v xml:space="preserve">   </v>
          </cell>
          <cell r="G1110">
            <v>40343</v>
          </cell>
          <cell r="H1110">
            <v>6513076</v>
          </cell>
          <cell r="I1110">
            <v>6513076</v>
          </cell>
          <cell r="J1110">
            <v>0</v>
          </cell>
          <cell r="K1110">
            <v>0</v>
          </cell>
          <cell r="L1110">
            <v>0</v>
          </cell>
        </row>
        <row r="1111">
          <cell r="A1111">
            <v>5</v>
          </cell>
          <cell r="B1111">
            <v>0</v>
          </cell>
          <cell r="C1111">
            <v>343</v>
          </cell>
          <cell r="D1111" t="str">
            <v xml:space="preserve">  </v>
          </cell>
          <cell r="E1111" t="str">
            <v xml:space="preserve">    </v>
          </cell>
          <cell r="F1111" t="str">
            <v xml:space="preserve">   </v>
          </cell>
          <cell r="G1111">
            <v>50343</v>
          </cell>
          <cell r="H1111">
            <v>6511233.9500000002</v>
          </cell>
          <cell r="I1111">
            <v>6511233.9500000002</v>
          </cell>
          <cell r="J1111">
            <v>0</v>
          </cell>
          <cell r="K1111">
            <v>0</v>
          </cell>
          <cell r="L1111">
            <v>0</v>
          </cell>
        </row>
        <row r="1112">
          <cell r="A1112">
            <v>3</v>
          </cell>
          <cell r="B1112">
            <v>0</v>
          </cell>
          <cell r="C1112">
            <v>344</v>
          </cell>
          <cell r="D1112" t="str">
            <v xml:space="preserve">  </v>
          </cell>
          <cell r="E1112" t="str">
            <v xml:space="preserve">    </v>
          </cell>
          <cell r="F1112" t="str">
            <v xml:space="preserve">   </v>
          </cell>
          <cell r="G1112">
            <v>30344</v>
          </cell>
          <cell r="H1112">
            <v>3521349.49</v>
          </cell>
          <cell r="I1112">
            <v>3521349.49</v>
          </cell>
          <cell r="J1112">
            <v>0</v>
          </cell>
          <cell r="K1112">
            <v>0</v>
          </cell>
          <cell r="L1112">
            <v>0</v>
          </cell>
        </row>
        <row r="1113">
          <cell r="A1113">
            <v>4</v>
          </cell>
          <cell r="B1113">
            <v>0</v>
          </cell>
          <cell r="C1113">
            <v>344</v>
          </cell>
          <cell r="D1113" t="str">
            <v xml:space="preserve">  </v>
          </cell>
          <cell r="E1113" t="str">
            <v xml:space="preserve">    </v>
          </cell>
          <cell r="F1113" t="str">
            <v xml:space="preserve">   </v>
          </cell>
          <cell r="G1113">
            <v>40344</v>
          </cell>
          <cell r="H1113">
            <v>3607468.79</v>
          </cell>
          <cell r="I1113">
            <v>3607468.79</v>
          </cell>
          <cell r="J1113">
            <v>0</v>
          </cell>
          <cell r="K1113">
            <v>0</v>
          </cell>
          <cell r="L1113">
            <v>0</v>
          </cell>
        </row>
        <row r="1114">
          <cell r="A1114">
            <v>5</v>
          </cell>
          <cell r="B1114">
            <v>0</v>
          </cell>
          <cell r="C1114">
            <v>344</v>
          </cell>
          <cell r="D1114" t="str">
            <v xml:space="preserve">  </v>
          </cell>
          <cell r="E1114" t="str">
            <v xml:space="preserve">    </v>
          </cell>
          <cell r="F1114" t="str">
            <v xml:space="preserve">   </v>
          </cell>
          <cell r="G1114">
            <v>50344</v>
          </cell>
          <cell r="H1114">
            <v>3566857.11</v>
          </cell>
          <cell r="I1114">
            <v>3566857.11</v>
          </cell>
          <cell r="J1114">
            <v>0</v>
          </cell>
          <cell r="K1114">
            <v>0</v>
          </cell>
          <cell r="L1114">
            <v>0</v>
          </cell>
        </row>
        <row r="1115">
          <cell r="A1115">
            <v>3</v>
          </cell>
          <cell r="B1115">
            <v>0</v>
          </cell>
          <cell r="C1115">
            <v>345</v>
          </cell>
          <cell r="D1115" t="str">
            <v xml:space="preserve">  </v>
          </cell>
          <cell r="E1115" t="str">
            <v xml:space="preserve">    </v>
          </cell>
          <cell r="F1115" t="str">
            <v xml:space="preserve">   </v>
          </cell>
          <cell r="G1115">
            <v>30345</v>
          </cell>
          <cell r="H1115">
            <v>356618.51</v>
          </cell>
          <cell r="I1115">
            <v>356618.51</v>
          </cell>
          <cell r="J1115">
            <v>0</v>
          </cell>
          <cell r="K1115">
            <v>0</v>
          </cell>
          <cell r="L1115">
            <v>0</v>
          </cell>
        </row>
        <row r="1116">
          <cell r="A1116">
            <v>4</v>
          </cell>
          <cell r="B1116">
            <v>0</v>
          </cell>
          <cell r="C1116">
            <v>345</v>
          </cell>
          <cell r="D1116" t="str">
            <v xml:space="preserve">  </v>
          </cell>
          <cell r="E1116" t="str">
            <v xml:space="preserve">    </v>
          </cell>
          <cell r="F1116" t="str">
            <v xml:space="preserve">   </v>
          </cell>
          <cell r="G1116">
            <v>40345</v>
          </cell>
          <cell r="H1116">
            <v>362052.62</v>
          </cell>
          <cell r="I1116">
            <v>362052.62</v>
          </cell>
          <cell r="J1116">
            <v>0</v>
          </cell>
          <cell r="K1116">
            <v>0</v>
          </cell>
          <cell r="L1116">
            <v>0</v>
          </cell>
        </row>
        <row r="1117">
          <cell r="A1117">
            <v>5</v>
          </cell>
          <cell r="B1117">
            <v>0</v>
          </cell>
          <cell r="C1117">
            <v>345</v>
          </cell>
          <cell r="D1117" t="str">
            <v xml:space="preserve">  </v>
          </cell>
          <cell r="E1117" t="str">
            <v xml:space="preserve">    </v>
          </cell>
          <cell r="F1117" t="str">
            <v xml:space="preserve">   </v>
          </cell>
          <cell r="G1117">
            <v>50345</v>
          </cell>
          <cell r="H1117">
            <v>360366.18</v>
          </cell>
          <cell r="I1117">
            <v>360366.18</v>
          </cell>
          <cell r="J1117">
            <v>0</v>
          </cell>
          <cell r="K1117">
            <v>0</v>
          </cell>
          <cell r="L1117">
            <v>0</v>
          </cell>
        </row>
        <row r="1118">
          <cell r="A1118">
            <v>3</v>
          </cell>
          <cell r="B1118">
            <v>0</v>
          </cell>
          <cell r="C1118">
            <v>346</v>
          </cell>
          <cell r="D1118" t="str">
            <v xml:space="preserve">  </v>
          </cell>
          <cell r="E1118" t="str">
            <v xml:space="preserve">    </v>
          </cell>
          <cell r="F1118" t="str">
            <v xml:space="preserve">   </v>
          </cell>
          <cell r="G1118">
            <v>30346</v>
          </cell>
          <cell r="H1118">
            <v>241255.58</v>
          </cell>
          <cell r="I1118">
            <v>241255.58</v>
          </cell>
          <cell r="J1118">
            <v>0</v>
          </cell>
          <cell r="K1118">
            <v>0</v>
          </cell>
          <cell r="L1118">
            <v>0</v>
          </cell>
        </row>
        <row r="1119">
          <cell r="A1119">
            <v>4</v>
          </cell>
          <cell r="B1119">
            <v>0</v>
          </cell>
          <cell r="C1119">
            <v>346</v>
          </cell>
          <cell r="D1119" t="str">
            <v xml:space="preserve">  </v>
          </cell>
          <cell r="E1119" t="str">
            <v xml:space="preserve">    </v>
          </cell>
          <cell r="F1119" t="str">
            <v xml:space="preserve">   </v>
          </cell>
          <cell r="G1119">
            <v>40346</v>
          </cell>
          <cell r="H1119">
            <v>241308.05</v>
          </cell>
          <cell r="I1119">
            <v>241308.05</v>
          </cell>
          <cell r="J1119">
            <v>0</v>
          </cell>
          <cell r="K1119">
            <v>0</v>
          </cell>
          <cell r="L1119">
            <v>0</v>
          </cell>
        </row>
        <row r="1120">
          <cell r="A1120">
            <v>5</v>
          </cell>
          <cell r="B1120">
            <v>0</v>
          </cell>
          <cell r="C1120">
            <v>346</v>
          </cell>
          <cell r="D1120" t="str">
            <v xml:space="preserve">  </v>
          </cell>
          <cell r="E1120" t="str">
            <v xml:space="preserve">    </v>
          </cell>
          <cell r="F1120" t="str">
            <v xml:space="preserve">   </v>
          </cell>
          <cell r="G1120">
            <v>50346</v>
          </cell>
          <cell r="H1120">
            <v>241255.58</v>
          </cell>
          <cell r="I1120">
            <v>241255.58</v>
          </cell>
          <cell r="J1120">
            <v>0</v>
          </cell>
          <cell r="K1120">
            <v>0</v>
          </cell>
          <cell r="L1120">
            <v>0</v>
          </cell>
        </row>
        <row r="1121">
          <cell r="A1121">
            <v>3</v>
          </cell>
          <cell r="B1121">
            <v>0</v>
          </cell>
          <cell r="C1121">
            <v>350</v>
          </cell>
          <cell r="D1121" t="str">
            <v xml:space="preserve">  </v>
          </cell>
          <cell r="E1121" t="str">
            <v xml:space="preserve">    </v>
          </cell>
          <cell r="F1121" t="str">
            <v xml:space="preserve">   </v>
          </cell>
          <cell r="G1121">
            <v>30350</v>
          </cell>
          <cell r="H1121">
            <v>11876831.73</v>
          </cell>
          <cell r="I1121">
            <v>11876831.73</v>
          </cell>
          <cell r="J1121">
            <v>0</v>
          </cell>
          <cell r="K1121">
            <v>0</v>
          </cell>
          <cell r="L1121">
            <v>0</v>
          </cell>
        </row>
        <row r="1122">
          <cell r="A1122">
            <v>4</v>
          </cell>
          <cell r="B1122">
            <v>0</v>
          </cell>
          <cell r="C1122">
            <v>350</v>
          </cell>
          <cell r="D1122" t="str">
            <v xml:space="preserve">  </v>
          </cell>
          <cell r="E1122" t="str">
            <v xml:space="preserve">    </v>
          </cell>
          <cell r="F1122" t="str">
            <v xml:space="preserve">   </v>
          </cell>
          <cell r="G1122">
            <v>40350</v>
          </cell>
          <cell r="H1122">
            <v>11842920.75</v>
          </cell>
          <cell r="I1122">
            <v>11842920.75</v>
          </cell>
          <cell r="J1122">
            <v>0</v>
          </cell>
          <cell r="K1122">
            <v>0</v>
          </cell>
          <cell r="L1122">
            <v>0</v>
          </cell>
        </row>
        <row r="1123">
          <cell r="A1123">
            <v>5</v>
          </cell>
          <cell r="B1123">
            <v>0</v>
          </cell>
          <cell r="C1123">
            <v>350</v>
          </cell>
          <cell r="D1123" t="str">
            <v xml:space="preserve">  </v>
          </cell>
          <cell r="E1123" t="str">
            <v xml:space="preserve">    </v>
          </cell>
          <cell r="F1123" t="str">
            <v xml:space="preserve">   </v>
          </cell>
          <cell r="G1123">
            <v>50350</v>
          </cell>
          <cell r="H1123">
            <v>11876164.140000001</v>
          </cell>
          <cell r="I1123">
            <v>11876164.140000001</v>
          </cell>
          <cell r="J1123">
            <v>0</v>
          </cell>
          <cell r="K1123">
            <v>0</v>
          </cell>
          <cell r="L1123">
            <v>0</v>
          </cell>
        </row>
        <row r="1124">
          <cell r="A1124">
            <v>3</v>
          </cell>
          <cell r="B1124">
            <v>0</v>
          </cell>
          <cell r="C1124">
            <v>352</v>
          </cell>
          <cell r="D1124" t="str">
            <v xml:space="preserve">  </v>
          </cell>
          <cell r="E1124" t="str">
            <v xml:space="preserve">    </v>
          </cell>
          <cell r="F1124" t="str">
            <v xml:space="preserve">   </v>
          </cell>
          <cell r="G1124">
            <v>30352</v>
          </cell>
          <cell r="H1124">
            <v>7217240.2199999997</v>
          </cell>
          <cell r="I1124">
            <v>7217240.2199999997</v>
          </cell>
          <cell r="J1124">
            <v>0</v>
          </cell>
          <cell r="K1124">
            <v>0</v>
          </cell>
          <cell r="L1124">
            <v>0</v>
          </cell>
        </row>
        <row r="1125">
          <cell r="A1125">
            <v>4</v>
          </cell>
          <cell r="B1125">
            <v>0</v>
          </cell>
          <cell r="C1125">
            <v>352</v>
          </cell>
          <cell r="D1125" t="str">
            <v xml:space="preserve">  </v>
          </cell>
          <cell r="E1125" t="str">
            <v xml:space="preserve">    </v>
          </cell>
          <cell r="F1125" t="str">
            <v xml:space="preserve">   </v>
          </cell>
          <cell r="G1125">
            <v>40352</v>
          </cell>
          <cell r="H1125">
            <v>7212438.5099999998</v>
          </cell>
          <cell r="I1125">
            <v>7212438.5099999998</v>
          </cell>
          <cell r="J1125">
            <v>0</v>
          </cell>
          <cell r="K1125">
            <v>0</v>
          </cell>
          <cell r="L1125">
            <v>0</v>
          </cell>
        </row>
        <row r="1126">
          <cell r="A1126">
            <v>5</v>
          </cell>
          <cell r="B1126">
            <v>0</v>
          </cell>
          <cell r="C1126">
            <v>352</v>
          </cell>
          <cell r="D1126" t="str">
            <v xml:space="preserve">  </v>
          </cell>
          <cell r="E1126" t="str">
            <v xml:space="preserve">    </v>
          </cell>
          <cell r="F1126" t="str">
            <v xml:space="preserve">   </v>
          </cell>
          <cell r="G1126">
            <v>50352</v>
          </cell>
          <cell r="H1126">
            <v>7216699.5499999998</v>
          </cell>
          <cell r="I1126">
            <v>7216699.5499999998</v>
          </cell>
          <cell r="J1126">
            <v>0</v>
          </cell>
          <cell r="K1126">
            <v>0</v>
          </cell>
          <cell r="L1126">
            <v>0</v>
          </cell>
        </row>
        <row r="1127">
          <cell r="A1127">
            <v>3</v>
          </cell>
          <cell r="B1127">
            <v>0</v>
          </cell>
          <cell r="C1127">
            <v>353</v>
          </cell>
          <cell r="D1127" t="str">
            <v xml:space="preserve">  </v>
          </cell>
          <cell r="E1127" t="str">
            <v xml:space="preserve">    </v>
          </cell>
          <cell r="F1127" t="str">
            <v xml:space="preserve">   </v>
          </cell>
          <cell r="G1127">
            <v>30353</v>
          </cell>
          <cell r="H1127">
            <v>96029656.409999996</v>
          </cell>
          <cell r="I1127">
            <v>96029656.409999996</v>
          </cell>
          <cell r="J1127">
            <v>0</v>
          </cell>
          <cell r="K1127">
            <v>0</v>
          </cell>
          <cell r="L1127">
            <v>0</v>
          </cell>
        </row>
        <row r="1128">
          <cell r="A1128">
            <v>4</v>
          </cell>
          <cell r="B1128">
            <v>0</v>
          </cell>
          <cell r="C1128">
            <v>353</v>
          </cell>
          <cell r="D1128" t="str">
            <v xml:space="preserve">  </v>
          </cell>
          <cell r="E1128" t="str">
            <v xml:space="preserve">    </v>
          </cell>
          <cell r="F1128" t="str">
            <v xml:space="preserve">   </v>
          </cell>
          <cell r="G1128">
            <v>40353</v>
          </cell>
          <cell r="H1128">
            <v>95277784.379999995</v>
          </cell>
          <cell r="I1128">
            <v>95277784.379999995</v>
          </cell>
          <cell r="J1128">
            <v>0</v>
          </cell>
          <cell r="K1128">
            <v>0</v>
          </cell>
          <cell r="L1128">
            <v>0</v>
          </cell>
        </row>
        <row r="1129">
          <cell r="A1129">
            <v>5</v>
          </cell>
          <cell r="B1129">
            <v>0</v>
          </cell>
          <cell r="C1129">
            <v>353</v>
          </cell>
          <cell r="D1129" t="str">
            <v xml:space="preserve">  </v>
          </cell>
          <cell r="E1129" t="str">
            <v xml:space="preserve">    </v>
          </cell>
          <cell r="F1129" t="str">
            <v xml:space="preserve">   </v>
          </cell>
          <cell r="G1129">
            <v>50353</v>
          </cell>
          <cell r="H1129">
            <v>96065057.890000001</v>
          </cell>
          <cell r="I1129">
            <v>96065057.890000001</v>
          </cell>
          <cell r="J1129">
            <v>0</v>
          </cell>
          <cell r="K1129">
            <v>0</v>
          </cell>
          <cell r="L1129">
            <v>0</v>
          </cell>
        </row>
        <row r="1130">
          <cell r="A1130">
            <v>3</v>
          </cell>
          <cell r="B1130">
            <v>0</v>
          </cell>
          <cell r="C1130">
            <v>354</v>
          </cell>
          <cell r="D1130" t="str">
            <v xml:space="preserve">  </v>
          </cell>
          <cell r="E1130" t="str">
            <v xml:space="preserve">    </v>
          </cell>
          <cell r="F1130" t="str">
            <v xml:space="preserve">   </v>
          </cell>
          <cell r="G1130">
            <v>30354</v>
          </cell>
          <cell r="H1130">
            <v>17076268.390000001</v>
          </cell>
          <cell r="I1130">
            <v>17076268.390000001</v>
          </cell>
          <cell r="J1130">
            <v>0</v>
          </cell>
          <cell r="K1130">
            <v>0</v>
          </cell>
          <cell r="L1130">
            <v>0</v>
          </cell>
        </row>
        <row r="1131">
          <cell r="A1131">
            <v>4</v>
          </cell>
          <cell r="B1131">
            <v>0</v>
          </cell>
          <cell r="C1131">
            <v>354</v>
          </cell>
          <cell r="D1131" t="str">
            <v xml:space="preserve">  </v>
          </cell>
          <cell r="E1131" t="str">
            <v xml:space="preserve">    </v>
          </cell>
          <cell r="F1131" t="str">
            <v xml:space="preserve">   </v>
          </cell>
          <cell r="G1131">
            <v>40354</v>
          </cell>
          <cell r="H1131">
            <v>17074063.920000002</v>
          </cell>
          <cell r="I1131">
            <v>17074063.920000002</v>
          </cell>
          <cell r="J1131">
            <v>0</v>
          </cell>
          <cell r="K1131">
            <v>0</v>
          </cell>
          <cell r="L1131">
            <v>0</v>
          </cell>
        </row>
        <row r="1132">
          <cell r="A1132">
            <v>5</v>
          </cell>
          <cell r="B1132">
            <v>0</v>
          </cell>
          <cell r="C1132">
            <v>354</v>
          </cell>
          <cell r="D1132" t="str">
            <v xml:space="preserve">  </v>
          </cell>
          <cell r="E1132" t="str">
            <v xml:space="preserve">    </v>
          </cell>
          <cell r="F1132" t="str">
            <v xml:space="preserve">   </v>
          </cell>
          <cell r="G1132">
            <v>50354</v>
          </cell>
          <cell r="H1132">
            <v>17075470.82</v>
          </cell>
          <cell r="I1132">
            <v>17075470.82</v>
          </cell>
          <cell r="J1132">
            <v>0</v>
          </cell>
          <cell r="K1132">
            <v>0</v>
          </cell>
          <cell r="L1132">
            <v>0</v>
          </cell>
        </row>
        <row r="1133">
          <cell r="A1133">
            <v>3</v>
          </cell>
          <cell r="B1133">
            <v>0</v>
          </cell>
          <cell r="C1133">
            <v>355</v>
          </cell>
          <cell r="D1133" t="str">
            <v xml:space="preserve">  </v>
          </cell>
          <cell r="E1133" t="str">
            <v xml:space="preserve">    </v>
          </cell>
          <cell r="F1133" t="str">
            <v xml:space="preserve">   </v>
          </cell>
          <cell r="G1133">
            <v>30355</v>
          </cell>
          <cell r="H1133">
            <v>68189920.400000006</v>
          </cell>
          <cell r="I1133">
            <v>68189920.400000006</v>
          </cell>
          <cell r="J1133">
            <v>0</v>
          </cell>
          <cell r="K1133">
            <v>0</v>
          </cell>
          <cell r="L1133">
            <v>0</v>
          </cell>
        </row>
        <row r="1134">
          <cell r="A1134">
            <v>4</v>
          </cell>
          <cell r="B1134">
            <v>0</v>
          </cell>
          <cell r="C1134">
            <v>355</v>
          </cell>
          <cell r="D1134" t="str">
            <v xml:space="preserve">  </v>
          </cell>
          <cell r="E1134" t="str">
            <v xml:space="preserve">    </v>
          </cell>
          <cell r="F1134" t="str">
            <v xml:space="preserve">   </v>
          </cell>
          <cell r="G1134">
            <v>40355</v>
          </cell>
          <cell r="H1134">
            <v>67434386.019999996</v>
          </cell>
          <cell r="I1134">
            <v>67434386.019999996</v>
          </cell>
          <cell r="J1134">
            <v>0</v>
          </cell>
          <cell r="K1134">
            <v>0</v>
          </cell>
          <cell r="L1134">
            <v>0</v>
          </cell>
        </row>
        <row r="1135">
          <cell r="A1135">
            <v>5</v>
          </cell>
          <cell r="B1135">
            <v>0</v>
          </cell>
          <cell r="C1135">
            <v>355</v>
          </cell>
          <cell r="D1135" t="str">
            <v xml:space="preserve">  </v>
          </cell>
          <cell r="E1135" t="str">
            <v xml:space="preserve">    </v>
          </cell>
          <cell r="F1135" t="str">
            <v xml:space="preserve">   </v>
          </cell>
          <cell r="G1135">
            <v>50355</v>
          </cell>
          <cell r="H1135">
            <v>68154128.760000005</v>
          </cell>
          <cell r="I1135">
            <v>68154128.760000005</v>
          </cell>
          <cell r="J1135">
            <v>0</v>
          </cell>
          <cell r="K1135">
            <v>0</v>
          </cell>
          <cell r="L1135">
            <v>0</v>
          </cell>
        </row>
        <row r="1136">
          <cell r="A1136">
            <v>3</v>
          </cell>
          <cell r="B1136">
            <v>0</v>
          </cell>
          <cell r="C1136">
            <v>356</v>
          </cell>
          <cell r="D1136" t="str">
            <v xml:space="preserve">  </v>
          </cell>
          <cell r="E1136" t="str">
            <v xml:space="preserve">    </v>
          </cell>
          <cell r="F1136" t="str">
            <v xml:space="preserve">   </v>
          </cell>
          <cell r="G1136">
            <v>30356</v>
          </cell>
          <cell r="H1136">
            <v>61265999.039999999</v>
          </cell>
          <cell r="I1136">
            <v>61265999.039999999</v>
          </cell>
          <cell r="J1136">
            <v>0</v>
          </cell>
          <cell r="K1136">
            <v>0</v>
          </cell>
          <cell r="L1136">
            <v>0</v>
          </cell>
        </row>
        <row r="1137">
          <cell r="A1137">
            <v>4</v>
          </cell>
          <cell r="B1137">
            <v>0</v>
          </cell>
          <cell r="C1137">
            <v>356</v>
          </cell>
          <cell r="D1137" t="str">
            <v xml:space="preserve">  </v>
          </cell>
          <cell r="E1137" t="str">
            <v xml:space="preserve">    </v>
          </cell>
          <cell r="F1137" t="str">
            <v xml:space="preserve">   </v>
          </cell>
          <cell r="G1137">
            <v>40356</v>
          </cell>
          <cell r="H1137">
            <v>61100411.710000001</v>
          </cell>
          <cell r="I1137">
            <v>61100411.710000001</v>
          </cell>
          <cell r="J1137">
            <v>0</v>
          </cell>
          <cell r="K1137">
            <v>0</v>
          </cell>
          <cell r="L1137">
            <v>0</v>
          </cell>
        </row>
        <row r="1138">
          <cell r="A1138">
            <v>5</v>
          </cell>
          <cell r="B1138">
            <v>0</v>
          </cell>
          <cell r="C1138">
            <v>356</v>
          </cell>
          <cell r="D1138" t="str">
            <v xml:space="preserve">  </v>
          </cell>
          <cell r="E1138" t="str">
            <v xml:space="preserve">    </v>
          </cell>
          <cell r="F1138" t="str">
            <v xml:space="preserve">   </v>
          </cell>
          <cell r="G1138">
            <v>50356</v>
          </cell>
          <cell r="H1138">
            <v>61238903.619999997</v>
          </cell>
          <cell r="I1138">
            <v>61238903.619999997</v>
          </cell>
          <cell r="J1138">
            <v>0</v>
          </cell>
          <cell r="K1138">
            <v>0</v>
          </cell>
          <cell r="L1138">
            <v>0</v>
          </cell>
        </row>
        <row r="1139">
          <cell r="A1139">
            <v>3</v>
          </cell>
          <cell r="B1139">
            <v>0</v>
          </cell>
          <cell r="C1139">
            <v>357</v>
          </cell>
          <cell r="D1139" t="str">
            <v xml:space="preserve">  </v>
          </cell>
          <cell r="E1139" t="str">
            <v xml:space="preserve">    </v>
          </cell>
          <cell r="F1139" t="str">
            <v xml:space="preserve">   </v>
          </cell>
          <cell r="G1139">
            <v>30357</v>
          </cell>
          <cell r="H1139">
            <v>556054.38</v>
          </cell>
          <cell r="I1139">
            <v>556054.38</v>
          </cell>
          <cell r="J1139">
            <v>0</v>
          </cell>
          <cell r="K1139">
            <v>0</v>
          </cell>
          <cell r="L1139">
            <v>0</v>
          </cell>
        </row>
        <row r="1140">
          <cell r="A1140">
            <v>4</v>
          </cell>
          <cell r="B1140">
            <v>0</v>
          </cell>
          <cell r="C1140">
            <v>357</v>
          </cell>
          <cell r="D1140" t="str">
            <v xml:space="preserve">  </v>
          </cell>
          <cell r="E1140" t="str">
            <v xml:space="preserve">    </v>
          </cell>
          <cell r="F1140" t="str">
            <v xml:space="preserve">   </v>
          </cell>
          <cell r="G1140">
            <v>40357</v>
          </cell>
          <cell r="H1140">
            <v>556857.44999999995</v>
          </cell>
          <cell r="I1140">
            <v>556857.44999999995</v>
          </cell>
          <cell r="J1140">
            <v>0</v>
          </cell>
          <cell r="K1140">
            <v>0</v>
          </cell>
          <cell r="L1140">
            <v>0</v>
          </cell>
        </row>
        <row r="1141">
          <cell r="A1141">
            <v>5</v>
          </cell>
          <cell r="B1141">
            <v>0</v>
          </cell>
          <cell r="C1141">
            <v>357</v>
          </cell>
          <cell r="D1141" t="str">
            <v xml:space="preserve">  </v>
          </cell>
          <cell r="E1141" t="str">
            <v xml:space="preserve">    </v>
          </cell>
          <cell r="F1141" t="str">
            <v xml:space="preserve">   </v>
          </cell>
          <cell r="G1141">
            <v>50357</v>
          </cell>
          <cell r="H1141">
            <v>556054.37</v>
          </cell>
          <cell r="I1141">
            <v>556054.37</v>
          </cell>
          <cell r="J1141">
            <v>0</v>
          </cell>
          <cell r="K1141">
            <v>0</v>
          </cell>
          <cell r="L1141">
            <v>0</v>
          </cell>
        </row>
        <row r="1142">
          <cell r="A1142">
            <v>3</v>
          </cell>
          <cell r="B1142">
            <v>0</v>
          </cell>
          <cell r="C1142">
            <v>358</v>
          </cell>
          <cell r="D1142" t="str">
            <v xml:space="preserve">  </v>
          </cell>
          <cell r="E1142" t="str">
            <v xml:space="preserve">    </v>
          </cell>
          <cell r="F1142" t="str">
            <v xml:space="preserve">   </v>
          </cell>
          <cell r="G1142">
            <v>30358</v>
          </cell>
          <cell r="H1142">
            <v>1316979.3500000001</v>
          </cell>
          <cell r="I1142">
            <v>1316979.3500000001</v>
          </cell>
          <cell r="J1142">
            <v>0</v>
          </cell>
          <cell r="K1142">
            <v>0</v>
          </cell>
          <cell r="L1142">
            <v>0</v>
          </cell>
        </row>
        <row r="1143">
          <cell r="A1143">
            <v>4</v>
          </cell>
          <cell r="B1143">
            <v>0</v>
          </cell>
          <cell r="C1143">
            <v>358</v>
          </cell>
          <cell r="D1143" t="str">
            <v xml:space="preserve">  </v>
          </cell>
          <cell r="E1143" t="str">
            <v xml:space="preserve">    </v>
          </cell>
          <cell r="F1143" t="str">
            <v xml:space="preserve">   </v>
          </cell>
          <cell r="G1143">
            <v>40358</v>
          </cell>
          <cell r="H1143">
            <v>1316176.6399999999</v>
          </cell>
          <cell r="I1143">
            <v>1316176.6399999999</v>
          </cell>
          <cell r="J1143">
            <v>0</v>
          </cell>
          <cell r="K1143">
            <v>0</v>
          </cell>
          <cell r="L1143">
            <v>0</v>
          </cell>
        </row>
        <row r="1144">
          <cell r="A1144">
            <v>5</v>
          </cell>
          <cell r="B1144">
            <v>0</v>
          </cell>
          <cell r="C1144">
            <v>358</v>
          </cell>
          <cell r="D1144" t="str">
            <v xml:space="preserve">  </v>
          </cell>
          <cell r="E1144" t="str">
            <v xml:space="preserve">    </v>
          </cell>
          <cell r="F1144" t="str">
            <v xml:space="preserve">   </v>
          </cell>
          <cell r="G1144">
            <v>50358</v>
          </cell>
          <cell r="H1144">
            <v>1316974.5900000001</v>
          </cell>
          <cell r="I1144">
            <v>1316974.5900000001</v>
          </cell>
          <cell r="J1144">
            <v>0</v>
          </cell>
          <cell r="K1144">
            <v>0</v>
          </cell>
          <cell r="L1144">
            <v>0</v>
          </cell>
        </row>
        <row r="1145">
          <cell r="A1145">
            <v>3</v>
          </cell>
          <cell r="B1145">
            <v>0</v>
          </cell>
          <cell r="C1145">
            <v>359</v>
          </cell>
          <cell r="D1145" t="str">
            <v xml:space="preserve">  </v>
          </cell>
          <cell r="E1145" t="str">
            <v xml:space="preserve">    </v>
          </cell>
          <cell r="F1145" t="str">
            <v xml:space="preserve">   </v>
          </cell>
          <cell r="G1145">
            <v>30359</v>
          </cell>
          <cell r="H1145">
            <v>1814400.46</v>
          </cell>
          <cell r="I1145">
            <v>1814400.46</v>
          </cell>
          <cell r="J1145">
            <v>0</v>
          </cell>
          <cell r="K1145">
            <v>0</v>
          </cell>
          <cell r="L1145">
            <v>0</v>
          </cell>
        </row>
        <row r="1146">
          <cell r="A1146">
            <v>4</v>
          </cell>
          <cell r="B1146">
            <v>0</v>
          </cell>
          <cell r="C1146">
            <v>359</v>
          </cell>
          <cell r="D1146" t="str">
            <v xml:space="preserve">  </v>
          </cell>
          <cell r="E1146" t="str">
            <v xml:space="preserve">    </v>
          </cell>
          <cell r="F1146" t="str">
            <v xml:space="preserve">   </v>
          </cell>
          <cell r="G1146">
            <v>40359</v>
          </cell>
          <cell r="H1146">
            <v>1811991.62</v>
          </cell>
          <cell r="I1146">
            <v>1811991.62</v>
          </cell>
          <cell r="J1146">
            <v>0</v>
          </cell>
          <cell r="K1146">
            <v>0</v>
          </cell>
          <cell r="L1146">
            <v>0</v>
          </cell>
        </row>
        <row r="1147">
          <cell r="A1147">
            <v>5</v>
          </cell>
          <cell r="B1147">
            <v>0</v>
          </cell>
          <cell r="C1147">
            <v>359</v>
          </cell>
          <cell r="D1147" t="str">
            <v xml:space="preserve">  </v>
          </cell>
          <cell r="E1147" t="str">
            <v xml:space="preserve">    </v>
          </cell>
          <cell r="F1147" t="str">
            <v xml:space="preserve">   </v>
          </cell>
          <cell r="G1147">
            <v>50359</v>
          </cell>
          <cell r="H1147">
            <v>1813603.32</v>
          </cell>
          <cell r="I1147">
            <v>1813603.32</v>
          </cell>
          <cell r="J1147">
            <v>0</v>
          </cell>
          <cell r="K1147">
            <v>0</v>
          </cell>
          <cell r="L1147">
            <v>0</v>
          </cell>
        </row>
        <row r="1148">
          <cell r="A1148">
            <v>3</v>
          </cell>
          <cell r="B1148">
            <v>0</v>
          </cell>
          <cell r="C1148">
            <v>360</v>
          </cell>
          <cell r="D1148" t="str">
            <v xml:space="preserve">  </v>
          </cell>
          <cell r="E1148" t="str">
            <v xml:space="preserve">    </v>
          </cell>
          <cell r="F1148" t="str">
            <v xml:space="preserve">   </v>
          </cell>
          <cell r="G1148">
            <v>30360</v>
          </cell>
          <cell r="H1148">
            <v>3891036.47</v>
          </cell>
          <cell r="I1148">
            <v>0</v>
          </cell>
          <cell r="J1148">
            <v>2996195.5</v>
          </cell>
          <cell r="K1148">
            <v>894840.97</v>
          </cell>
          <cell r="L1148">
            <v>0</v>
          </cell>
        </row>
        <row r="1149">
          <cell r="A1149">
            <v>4</v>
          </cell>
          <cell r="B1149">
            <v>0</v>
          </cell>
          <cell r="C1149">
            <v>360</v>
          </cell>
          <cell r="D1149" t="str">
            <v xml:space="preserve">  </v>
          </cell>
          <cell r="E1149" t="str">
            <v xml:space="preserve">    </v>
          </cell>
          <cell r="F1149" t="str">
            <v xml:space="preserve">   </v>
          </cell>
          <cell r="G1149">
            <v>40360</v>
          </cell>
          <cell r="H1149">
            <v>3874611.9</v>
          </cell>
          <cell r="I1149">
            <v>0</v>
          </cell>
          <cell r="J1149">
            <v>2996609.32</v>
          </cell>
          <cell r="K1149">
            <v>878002.58</v>
          </cell>
          <cell r="L1149">
            <v>0</v>
          </cell>
        </row>
        <row r="1150">
          <cell r="A1150">
            <v>5</v>
          </cell>
          <cell r="B1150">
            <v>0</v>
          </cell>
          <cell r="C1150">
            <v>360</v>
          </cell>
          <cell r="D1150" t="str">
            <v xml:space="preserve">  </v>
          </cell>
          <cell r="E1150" t="str">
            <v xml:space="preserve">    </v>
          </cell>
          <cell r="F1150" t="str">
            <v xml:space="preserve">   </v>
          </cell>
          <cell r="G1150">
            <v>50360</v>
          </cell>
          <cell r="H1150">
            <v>3891035.92</v>
          </cell>
          <cell r="I1150">
            <v>0</v>
          </cell>
          <cell r="J1150">
            <v>2996195.5</v>
          </cell>
          <cell r="K1150">
            <v>894840.42</v>
          </cell>
          <cell r="L1150">
            <v>0</v>
          </cell>
        </row>
        <row r="1151">
          <cell r="A1151">
            <v>3</v>
          </cell>
          <cell r="B1151">
            <v>0</v>
          </cell>
          <cell r="C1151">
            <v>361</v>
          </cell>
          <cell r="D1151" t="str">
            <v xml:space="preserve">  </v>
          </cell>
          <cell r="E1151" t="str">
            <v xml:space="preserve">    </v>
          </cell>
          <cell r="F1151" t="str">
            <v xml:space="preserve">   </v>
          </cell>
          <cell r="G1151">
            <v>30361</v>
          </cell>
          <cell r="H1151">
            <v>7435387.9299999997</v>
          </cell>
          <cell r="I1151">
            <v>0</v>
          </cell>
          <cell r="J1151">
            <v>5161656.3099999996</v>
          </cell>
          <cell r="K1151">
            <v>2273731.62</v>
          </cell>
          <cell r="L1151">
            <v>0</v>
          </cell>
        </row>
        <row r="1152">
          <cell r="A1152">
            <v>4</v>
          </cell>
          <cell r="B1152">
            <v>0</v>
          </cell>
          <cell r="C1152">
            <v>361</v>
          </cell>
          <cell r="D1152" t="str">
            <v xml:space="preserve">  </v>
          </cell>
          <cell r="E1152" t="str">
            <v xml:space="preserve">    </v>
          </cell>
          <cell r="F1152" t="str">
            <v xml:space="preserve">   </v>
          </cell>
          <cell r="G1152">
            <v>40361</v>
          </cell>
          <cell r="H1152">
            <v>7430578.9299999997</v>
          </cell>
          <cell r="I1152">
            <v>0</v>
          </cell>
          <cell r="J1152">
            <v>5157159.55</v>
          </cell>
          <cell r="K1152">
            <v>2273419.38</v>
          </cell>
          <cell r="L1152">
            <v>0</v>
          </cell>
        </row>
        <row r="1153">
          <cell r="A1153">
            <v>5</v>
          </cell>
          <cell r="B1153">
            <v>0</v>
          </cell>
          <cell r="C1153">
            <v>361</v>
          </cell>
          <cell r="D1153" t="str">
            <v xml:space="preserve">  </v>
          </cell>
          <cell r="E1153" t="str">
            <v xml:space="preserve">    </v>
          </cell>
          <cell r="F1153" t="str">
            <v xml:space="preserve">   </v>
          </cell>
          <cell r="G1153">
            <v>50361</v>
          </cell>
          <cell r="H1153">
            <v>7454876.5300000003</v>
          </cell>
          <cell r="I1153">
            <v>0</v>
          </cell>
          <cell r="J1153">
            <v>5171375.1100000003</v>
          </cell>
          <cell r="K1153">
            <v>2283501.42</v>
          </cell>
          <cell r="L1153">
            <v>0</v>
          </cell>
        </row>
        <row r="1154">
          <cell r="A1154">
            <v>3</v>
          </cell>
          <cell r="B1154">
            <v>0</v>
          </cell>
          <cell r="C1154">
            <v>362</v>
          </cell>
          <cell r="D1154" t="str">
            <v xml:space="preserve">  </v>
          </cell>
          <cell r="E1154" t="str">
            <v xml:space="preserve">    </v>
          </cell>
          <cell r="F1154" t="str">
            <v xml:space="preserve">   </v>
          </cell>
          <cell r="G1154">
            <v>30362</v>
          </cell>
          <cell r="H1154">
            <v>55709200.200000003</v>
          </cell>
          <cell r="I1154">
            <v>0</v>
          </cell>
          <cell r="J1154">
            <v>35262846.020000003</v>
          </cell>
          <cell r="K1154">
            <v>20446354.18</v>
          </cell>
          <cell r="L1154">
            <v>0</v>
          </cell>
        </row>
        <row r="1155">
          <cell r="A1155">
            <v>4</v>
          </cell>
          <cell r="B1155">
            <v>0</v>
          </cell>
          <cell r="C1155">
            <v>362</v>
          </cell>
          <cell r="D1155" t="str">
            <v xml:space="preserve">  </v>
          </cell>
          <cell r="E1155" t="str">
            <v xml:space="preserve">    </v>
          </cell>
          <cell r="F1155" t="str">
            <v xml:space="preserve">   </v>
          </cell>
          <cell r="G1155">
            <v>40362</v>
          </cell>
          <cell r="H1155">
            <v>55138659.200000003</v>
          </cell>
          <cell r="I1155">
            <v>0</v>
          </cell>
          <cell r="J1155">
            <v>35159640.979999997</v>
          </cell>
          <cell r="K1155">
            <v>19979018.219999999</v>
          </cell>
          <cell r="L1155">
            <v>0</v>
          </cell>
        </row>
        <row r="1156">
          <cell r="A1156">
            <v>5</v>
          </cell>
          <cell r="B1156">
            <v>0</v>
          </cell>
          <cell r="C1156">
            <v>362</v>
          </cell>
          <cell r="D1156" t="str">
            <v xml:space="preserve">  </v>
          </cell>
          <cell r="E1156" t="str">
            <v xml:space="preserve">    </v>
          </cell>
          <cell r="F1156" t="str">
            <v xml:space="preserve">   </v>
          </cell>
          <cell r="G1156">
            <v>50362</v>
          </cell>
          <cell r="H1156">
            <v>56264626.119999997</v>
          </cell>
          <cell r="I1156">
            <v>0</v>
          </cell>
          <cell r="J1156">
            <v>35820731.25</v>
          </cell>
          <cell r="K1156">
            <v>20443894.870000001</v>
          </cell>
          <cell r="L1156">
            <v>0</v>
          </cell>
        </row>
        <row r="1157">
          <cell r="A1157">
            <v>3</v>
          </cell>
          <cell r="B1157">
            <v>0</v>
          </cell>
          <cell r="C1157">
            <v>364</v>
          </cell>
          <cell r="D1157" t="str">
            <v xml:space="preserve">  </v>
          </cell>
          <cell r="E1157" t="str">
            <v xml:space="preserve">    </v>
          </cell>
          <cell r="F1157" t="str">
            <v xml:space="preserve">   </v>
          </cell>
          <cell r="G1157">
            <v>30364</v>
          </cell>
          <cell r="H1157">
            <v>124218557.84999999</v>
          </cell>
          <cell r="I1157">
            <v>185439.88</v>
          </cell>
          <cell r="J1157">
            <v>75673263.540000007</v>
          </cell>
          <cell r="K1157">
            <v>48359854.43</v>
          </cell>
          <cell r="L1157">
            <v>0</v>
          </cell>
        </row>
        <row r="1158">
          <cell r="A1158">
            <v>4</v>
          </cell>
          <cell r="B1158">
            <v>0</v>
          </cell>
          <cell r="C1158">
            <v>364</v>
          </cell>
          <cell r="D1158" t="str">
            <v xml:space="preserve">  </v>
          </cell>
          <cell r="E1158" t="str">
            <v xml:space="preserve">    </v>
          </cell>
          <cell r="F1158" t="str">
            <v xml:space="preserve">   </v>
          </cell>
          <cell r="G1158">
            <v>40364</v>
          </cell>
          <cell r="H1158">
            <v>120726563.59999999</v>
          </cell>
          <cell r="I1158">
            <v>7857.73</v>
          </cell>
          <cell r="J1158">
            <v>73690917.930000007</v>
          </cell>
          <cell r="K1158">
            <v>47027787.969999999</v>
          </cell>
          <cell r="L1158">
            <v>0</v>
          </cell>
        </row>
        <row r="1159">
          <cell r="A1159">
            <v>5</v>
          </cell>
          <cell r="B1159">
            <v>0</v>
          </cell>
          <cell r="C1159">
            <v>364</v>
          </cell>
          <cell r="D1159" t="str">
            <v xml:space="preserve">  </v>
          </cell>
          <cell r="E1159" t="str">
            <v xml:space="preserve">    </v>
          </cell>
          <cell r="F1159" t="str">
            <v xml:space="preserve">   </v>
          </cell>
          <cell r="G1159">
            <v>50364</v>
          </cell>
          <cell r="H1159">
            <v>123743025.33</v>
          </cell>
          <cell r="I1159">
            <v>93506.38</v>
          </cell>
          <cell r="J1159">
            <v>75461876.599999994</v>
          </cell>
          <cell r="K1159">
            <v>48187642.380000003</v>
          </cell>
          <cell r="L1159">
            <v>0</v>
          </cell>
        </row>
        <row r="1160">
          <cell r="A1160">
            <v>3</v>
          </cell>
          <cell r="B1160">
            <v>0</v>
          </cell>
          <cell r="C1160">
            <v>365</v>
          </cell>
          <cell r="D1160" t="str">
            <v xml:space="preserve">  </v>
          </cell>
          <cell r="E1160" t="str">
            <v xml:space="preserve">    </v>
          </cell>
          <cell r="F1160" t="str">
            <v xml:space="preserve">   </v>
          </cell>
          <cell r="G1160">
            <v>30365</v>
          </cell>
          <cell r="H1160">
            <v>85402079.920000002</v>
          </cell>
          <cell r="I1160">
            <v>0</v>
          </cell>
          <cell r="J1160">
            <v>50894928.969999999</v>
          </cell>
          <cell r="K1160">
            <v>34507150.950000003</v>
          </cell>
          <cell r="L1160">
            <v>0</v>
          </cell>
        </row>
        <row r="1161">
          <cell r="A1161">
            <v>4</v>
          </cell>
          <cell r="B1161">
            <v>0</v>
          </cell>
          <cell r="C1161">
            <v>365</v>
          </cell>
          <cell r="D1161" t="str">
            <v xml:space="preserve">  </v>
          </cell>
          <cell r="E1161" t="str">
            <v xml:space="preserve">    </v>
          </cell>
          <cell r="F1161" t="str">
            <v xml:space="preserve">   </v>
          </cell>
          <cell r="G1161">
            <v>40365</v>
          </cell>
          <cell r="H1161">
            <v>83492108.079999998</v>
          </cell>
          <cell r="I1161">
            <v>0</v>
          </cell>
          <cell r="J1161">
            <v>49724949.57</v>
          </cell>
          <cell r="K1161">
            <v>33767158.539999999</v>
          </cell>
          <cell r="L1161">
            <v>0</v>
          </cell>
        </row>
        <row r="1162">
          <cell r="A1162">
            <v>5</v>
          </cell>
          <cell r="B1162">
            <v>0</v>
          </cell>
          <cell r="C1162">
            <v>365</v>
          </cell>
          <cell r="D1162" t="str">
            <v xml:space="preserve">  </v>
          </cell>
          <cell r="E1162" t="str">
            <v xml:space="preserve">    </v>
          </cell>
          <cell r="F1162" t="str">
            <v xml:space="preserve">   </v>
          </cell>
          <cell r="G1162">
            <v>50365</v>
          </cell>
          <cell r="H1162">
            <v>85182020.879999995</v>
          </cell>
          <cell r="I1162">
            <v>0</v>
          </cell>
          <cell r="J1162">
            <v>50756669.200000003</v>
          </cell>
          <cell r="K1162">
            <v>34425351.689999998</v>
          </cell>
          <cell r="L1162">
            <v>0</v>
          </cell>
        </row>
        <row r="1163">
          <cell r="A1163">
            <v>3</v>
          </cell>
          <cell r="B1163">
            <v>0</v>
          </cell>
          <cell r="C1163">
            <v>366</v>
          </cell>
          <cell r="D1163" t="str">
            <v xml:space="preserve">  </v>
          </cell>
          <cell r="E1163" t="str">
            <v xml:space="preserve">    </v>
          </cell>
          <cell r="F1163" t="str">
            <v xml:space="preserve">   </v>
          </cell>
          <cell r="G1163">
            <v>30366</v>
          </cell>
          <cell r="H1163">
            <v>35366113.920000002</v>
          </cell>
          <cell r="I1163">
            <v>0</v>
          </cell>
          <cell r="J1163">
            <v>20910987.719999999</v>
          </cell>
          <cell r="K1163">
            <v>14455126.199999999</v>
          </cell>
          <cell r="L1163">
            <v>0</v>
          </cell>
        </row>
        <row r="1164">
          <cell r="A1164">
            <v>4</v>
          </cell>
          <cell r="B1164">
            <v>0</v>
          </cell>
          <cell r="C1164">
            <v>366</v>
          </cell>
          <cell r="D1164" t="str">
            <v xml:space="preserve">  </v>
          </cell>
          <cell r="E1164" t="str">
            <v xml:space="preserve">    </v>
          </cell>
          <cell r="F1164" t="str">
            <v xml:space="preserve">   </v>
          </cell>
          <cell r="G1164">
            <v>40366</v>
          </cell>
          <cell r="H1164">
            <v>33605144.060000002</v>
          </cell>
          <cell r="I1164">
            <v>0</v>
          </cell>
          <cell r="J1164">
            <v>20005152.190000001</v>
          </cell>
          <cell r="K1164">
            <v>13599991.869999999</v>
          </cell>
          <cell r="L1164">
            <v>0</v>
          </cell>
        </row>
        <row r="1165">
          <cell r="A1165">
            <v>5</v>
          </cell>
          <cell r="B1165">
            <v>0</v>
          </cell>
          <cell r="C1165">
            <v>366</v>
          </cell>
          <cell r="D1165" t="str">
            <v xml:space="preserve">  </v>
          </cell>
          <cell r="E1165" t="str">
            <v xml:space="preserve">    </v>
          </cell>
          <cell r="F1165" t="str">
            <v xml:space="preserve">   </v>
          </cell>
          <cell r="G1165">
            <v>50366</v>
          </cell>
          <cell r="H1165">
            <v>35155274.079999998</v>
          </cell>
          <cell r="I1165">
            <v>0</v>
          </cell>
          <cell r="J1165">
            <v>20838151.739999998</v>
          </cell>
          <cell r="K1165">
            <v>14317122.34</v>
          </cell>
          <cell r="L1165">
            <v>0</v>
          </cell>
        </row>
        <row r="1166">
          <cell r="A1166">
            <v>3</v>
          </cell>
          <cell r="B1166">
            <v>0</v>
          </cell>
          <cell r="C1166">
            <v>367</v>
          </cell>
          <cell r="D1166" t="str">
            <v xml:space="preserve">  </v>
          </cell>
          <cell r="E1166" t="str">
            <v xml:space="preserve">    </v>
          </cell>
          <cell r="F1166" t="str">
            <v xml:space="preserve">   </v>
          </cell>
          <cell r="G1166">
            <v>30367</v>
          </cell>
          <cell r="H1166">
            <v>66616588.149999999</v>
          </cell>
          <cell r="I1166">
            <v>0</v>
          </cell>
          <cell r="J1166">
            <v>43320395.560000002</v>
          </cell>
          <cell r="K1166">
            <v>23296192.59</v>
          </cell>
          <cell r="L1166">
            <v>0</v>
          </cell>
        </row>
        <row r="1167">
          <cell r="A1167">
            <v>4</v>
          </cell>
          <cell r="B1167">
            <v>0</v>
          </cell>
          <cell r="C1167">
            <v>367</v>
          </cell>
          <cell r="D1167" t="str">
            <v xml:space="preserve">  </v>
          </cell>
          <cell r="E1167" t="str">
            <v xml:space="preserve">    </v>
          </cell>
          <cell r="F1167" t="str">
            <v xml:space="preserve">   </v>
          </cell>
          <cell r="G1167">
            <v>40367</v>
          </cell>
          <cell r="H1167">
            <v>65282442.299999997</v>
          </cell>
          <cell r="I1167">
            <v>0</v>
          </cell>
          <cell r="J1167">
            <v>42656521.030000001</v>
          </cell>
          <cell r="K1167">
            <v>22625921.289999999</v>
          </cell>
          <cell r="L1167">
            <v>0</v>
          </cell>
        </row>
        <row r="1168">
          <cell r="A1168">
            <v>5</v>
          </cell>
          <cell r="B1168">
            <v>0</v>
          </cell>
          <cell r="C1168">
            <v>367</v>
          </cell>
          <cell r="D1168" t="str">
            <v xml:space="preserve">  </v>
          </cell>
          <cell r="E1168" t="str">
            <v xml:space="preserve">    </v>
          </cell>
          <cell r="F1168" t="str">
            <v xml:space="preserve">   </v>
          </cell>
          <cell r="G1168">
            <v>50367</v>
          </cell>
          <cell r="H1168">
            <v>66441477.93</v>
          </cell>
          <cell r="I1168">
            <v>0</v>
          </cell>
          <cell r="J1168">
            <v>43250901.289999999</v>
          </cell>
          <cell r="K1168">
            <v>23190576.649999999</v>
          </cell>
          <cell r="L1168">
            <v>0</v>
          </cell>
        </row>
        <row r="1169">
          <cell r="A1169">
            <v>3</v>
          </cell>
          <cell r="B1169">
            <v>0</v>
          </cell>
          <cell r="C1169">
            <v>368</v>
          </cell>
          <cell r="D1169" t="str">
            <v xml:space="preserve">  </v>
          </cell>
          <cell r="E1169" t="str">
            <v xml:space="preserve">    </v>
          </cell>
          <cell r="F1169" t="str">
            <v xml:space="preserve">   </v>
          </cell>
          <cell r="G1169">
            <v>30368</v>
          </cell>
          <cell r="H1169">
            <v>108104955.03</v>
          </cell>
          <cell r="I1169">
            <v>0</v>
          </cell>
          <cell r="J1169">
            <v>68070716.640000001</v>
          </cell>
          <cell r="K1169">
            <v>40034238.390000001</v>
          </cell>
          <cell r="L1169">
            <v>0</v>
          </cell>
        </row>
        <row r="1170">
          <cell r="A1170">
            <v>4</v>
          </cell>
          <cell r="B1170">
            <v>0</v>
          </cell>
          <cell r="C1170">
            <v>368</v>
          </cell>
          <cell r="D1170" t="str">
            <v xml:space="preserve">  </v>
          </cell>
          <cell r="E1170" t="str">
            <v xml:space="preserve">    </v>
          </cell>
          <cell r="F1170" t="str">
            <v xml:space="preserve">   </v>
          </cell>
          <cell r="G1170">
            <v>40368</v>
          </cell>
          <cell r="H1170">
            <v>106605196.59999999</v>
          </cell>
          <cell r="I1170">
            <v>0</v>
          </cell>
          <cell r="J1170">
            <v>67246507.900000006</v>
          </cell>
          <cell r="K1170">
            <v>39358688.729999997</v>
          </cell>
          <cell r="L1170">
            <v>0</v>
          </cell>
        </row>
        <row r="1171">
          <cell r="A1171">
            <v>5</v>
          </cell>
          <cell r="B1171">
            <v>0</v>
          </cell>
          <cell r="C1171">
            <v>368</v>
          </cell>
          <cell r="D1171" t="str">
            <v xml:space="preserve">  </v>
          </cell>
          <cell r="E1171" t="str">
            <v xml:space="preserve">    </v>
          </cell>
          <cell r="F1171" t="str">
            <v xml:space="preserve">   </v>
          </cell>
          <cell r="G1171">
            <v>50368</v>
          </cell>
          <cell r="H1171">
            <v>107966413.3</v>
          </cell>
          <cell r="I1171">
            <v>0</v>
          </cell>
          <cell r="J1171">
            <v>68003262.890000001</v>
          </cell>
          <cell r="K1171">
            <v>39963150.420000002</v>
          </cell>
          <cell r="L1171">
            <v>0</v>
          </cell>
        </row>
        <row r="1172">
          <cell r="A1172">
            <v>3</v>
          </cell>
          <cell r="B1172">
            <v>0</v>
          </cell>
          <cell r="C1172">
            <v>369</v>
          </cell>
          <cell r="D1172" t="str">
            <v xml:space="preserve">  </v>
          </cell>
          <cell r="E1172" t="str">
            <v xml:space="preserve">    </v>
          </cell>
          <cell r="F1172" t="str">
            <v xml:space="preserve">   </v>
          </cell>
          <cell r="G1172">
            <v>30369</v>
          </cell>
          <cell r="H1172">
            <v>68962690</v>
          </cell>
          <cell r="I1172">
            <v>0</v>
          </cell>
          <cell r="J1172">
            <v>44062595.840000004</v>
          </cell>
          <cell r="K1172">
            <v>24900094.16</v>
          </cell>
          <cell r="L1172">
            <v>0</v>
          </cell>
        </row>
        <row r="1173">
          <cell r="A1173">
            <v>4</v>
          </cell>
          <cell r="B1173">
            <v>0</v>
          </cell>
          <cell r="C1173">
            <v>369</v>
          </cell>
          <cell r="D1173" t="str">
            <v xml:space="preserve">  </v>
          </cell>
          <cell r="E1173" t="str">
            <v xml:space="preserve">    </v>
          </cell>
          <cell r="F1173" t="str">
            <v xml:space="preserve">   </v>
          </cell>
          <cell r="G1173">
            <v>40369</v>
          </cell>
          <cell r="H1173">
            <v>67353180.230000004</v>
          </cell>
          <cell r="I1173">
            <v>0</v>
          </cell>
          <cell r="J1173">
            <v>42965805.700000003</v>
          </cell>
          <cell r="K1173">
            <v>24387374.550000001</v>
          </cell>
          <cell r="L1173">
            <v>0</v>
          </cell>
        </row>
        <row r="1174">
          <cell r="A1174">
            <v>5</v>
          </cell>
          <cell r="B1174">
            <v>0</v>
          </cell>
          <cell r="C1174">
            <v>369</v>
          </cell>
          <cell r="D1174" t="str">
            <v xml:space="preserve">  </v>
          </cell>
          <cell r="E1174" t="str">
            <v xml:space="preserve">    </v>
          </cell>
          <cell r="F1174" t="str">
            <v xml:space="preserve">   </v>
          </cell>
          <cell r="G1174">
            <v>50369</v>
          </cell>
          <cell r="H1174">
            <v>68791607.560000002</v>
          </cell>
          <cell r="I1174">
            <v>0</v>
          </cell>
          <cell r="J1174">
            <v>43972364.049999997</v>
          </cell>
          <cell r="K1174">
            <v>24819243.52</v>
          </cell>
          <cell r="L1174">
            <v>0</v>
          </cell>
        </row>
        <row r="1175">
          <cell r="A1175">
            <v>3</v>
          </cell>
          <cell r="B1175">
            <v>0</v>
          </cell>
          <cell r="C1175">
            <v>370</v>
          </cell>
          <cell r="D1175" t="str">
            <v xml:space="preserve">  </v>
          </cell>
          <cell r="E1175" t="str">
            <v xml:space="preserve">    </v>
          </cell>
          <cell r="F1175" t="str">
            <v xml:space="preserve">   </v>
          </cell>
          <cell r="G1175">
            <v>30370</v>
          </cell>
          <cell r="H1175">
            <v>22394989.609999999</v>
          </cell>
          <cell r="I1175">
            <v>37710.76</v>
          </cell>
          <cell r="J1175">
            <v>15721364.52</v>
          </cell>
          <cell r="K1175">
            <v>6635914.3300000001</v>
          </cell>
          <cell r="L1175">
            <v>0</v>
          </cell>
        </row>
        <row r="1176">
          <cell r="A1176">
            <v>4</v>
          </cell>
          <cell r="B1176">
            <v>0</v>
          </cell>
          <cell r="C1176">
            <v>370</v>
          </cell>
          <cell r="D1176" t="str">
            <v xml:space="preserve">  </v>
          </cell>
          <cell r="E1176" t="str">
            <v xml:space="preserve">    </v>
          </cell>
          <cell r="F1176" t="str">
            <v xml:space="preserve">   </v>
          </cell>
          <cell r="G1176">
            <v>40370</v>
          </cell>
          <cell r="H1176">
            <v>21854893.399999999</v>
          </cell>
          <cell r="I1176">
            <v>1585.9</v>
          </cell>
          <cell r="J1176">
            <v>15355835.630000001</v>
          </cell>
          <cell r="K1176">
            <v>6497471.8700000001</v>
          </cell>
          <cell r="L1176">
            <v>0</v>
          </cell>
        </row>
        <row r="1177">
          <cell r="A1177">
            <v>5</v>
          </cell>
          <cell r="B1177">
            <v>0</v>
          </cell>
          <cell r="C1177">
            <v>370</v>
          </cell>
          <cell r="D1177" t="str">
            <v xml:space="preserve">  </v>
          </cell>
          <cell r="E1177" t="str">
            <v xml:space="preserve">    </v>
          </cell>
          <cell r="F1177" t="str">
            <v xml:space="preserve">   </v>
          </cell>
          <cell r="G1177">
            <v>50370</v>
          </cell>
          <cell r="H1177">
            <v>22326241.199999999</v>
          </cell>
          <cell r="I1177">
            <v>18855.38</v>
          </cell>
          <cell r="J1177">
            <v>15684271.029999999</v>
          </cell>
          <cell r="K1177">
            <v>6623114.79</v>
          </cell>
          <cell r="L1177">
            <v>0</v>
          </cell>
        </row>
        <row r="1178">
          <cell r="A1178">
            <v>3</v>
          </cell>
          <cell r="B1178">
            <v>0</v>
          </cell>
          <cell r="C1178">
            <v>373</v>
          </cell>
          <cell r="D1178" t="str">
            <v xml:space="preserve">  </v>
          </cell>
          <cell r="E1178" t="str">
            <v xml:space="preserve">    </v>
          </cell>
          <cell r="F1178" t="str">
            <v xml:space="preserve">   </v>
          </cell>
          <cell r="G1178">
            <v>30373</v>
          </cell>
          <cell r="H1178">
            <v>15675927.210000001</v>
          </cell>
          <cell r="I1178">
            <v>0</v>
          </cell>
          <cell r="J1178">
            <v>9554691.9399999995</v>
          </cell>
          <cell r="K1178">
            <v>6121235.2699999996</v>
          </cell>
          <cell r="L1178">
            <v>0</v>
          </cell>
        </row>
        <row r="1179">
          <cell r="A1179">
            <v>4</v>
          </cell>
          <cell r="B1179">
            <v>0</v>
          </cell>
          <cell r="C1179">
            <v>373</v>
          </cell>
          <cell r="D1179" t="str">
            <v xml:space="preserve">  </v>
          </cell>
          <cell r="E1179" t="str">
            <v xml:space="preserve">    </v>
          </cell>
          <cell r="F1179" t="str">
            <v xml:space="preserve">   </v>
          </cell>
          <cell r="G1179">
            <v>40373</v>
          </cell>
          <cell r="H1179">
            <v>15208576.84</v>
          </cell>
          <cell r="I1179">
            <v>0</v>
          </cell>
          <cell r="J1179">
            <v>9393364.3499999996</v>
          </cell>
          <cell r="K1179">
            <v>5815212.5</v>
          </cell>
          <cell r="L1179">
            <v>0</v>
          </cell>
        </row>
        <row r="1180">
          <cell r="A1180">
            <v>5</v>
          </cell>
          <cell r="B1180">
            <v>0</v>
          </cell>
          <cell r="C1180">
            <v>373</v>
          </cell>
          <cell r="D1180" t="str">
            <v xml:space="preserve">  </v>
          </cell>
          <cell r="E1180" t="str">
            <v xml:space="preserve">    </v>
          </cell>
          <cell r="F1180" t="str">
            <v xml:space="preserve">   </v>
          </cell>
          <cell r="G1180">
            <v>50373</v>
          </cell>
          <cell r="H1180">
            <v>15597514.57</v>
          </cell>
          <cell r="I1180">
            <v>0</v>
          </cell>
          <cell r="J1180">
            <v>9535692.6799999997</v>
          </cell>
          <cell r="K1180">
            <v>6061821.9000000004</v>
          </cell>
          <cell r="L1180">
            <v>0</v>
          </cell>
        </row>
        <row r="1181">
          <cell r="A1181">
            <v>3</v>
          </cell>
          <cell r="B1181">
            <v>0</v>
          </cell>
          <cell r="C1181">
            <v>389</v>
          </cell>
          <cell r="D1181" t="str">
            <v xml:space="preserve">  </v>
          </cell>
          <cell r="E1181" t="str">
            <v xml:space="preserve">    </v>
          </cell>
          <cell r="F1181" t="str">
            <v xml:space="preserve">   </v>
          </cell>
          <cell r="G1181">
            <v>30389</v>
          </cell>
          <cell r="H1181">
            <v>216810.19</v>
          </cell>
          <cell r="I1181">
            <v>2061.11</v>
          </cell>
          <cell r="J1181">
            <v>112842.3</v>
          </cell>
          <cell r="K1181">
            <v>101906.78</v>
          </cell>
          <cell r="L1181">
            <v>0</v>
          </cell>
        </row>
        <row r="1182">
          <cell r="A1182">
            <v>4</v>
          </cell>
          <cell r="B1182">
            <v>0</v>
          </cell>
          <cell r="C1182">
            <v>389</v>
          </cell>
          <cell r="D1182" t="str">
            <v xml:space="preserve">  </v>
          </cell>
          <cell r="E1182" t="str">
            <v xml:space="preserve">    </v>
          </cell>
          <cell r="F1182" t="str">
            <v xml:space="preserve">   </v>
          </cell>
          <cell r="G1182">
            <v>40389</v>
          </cell>
          <cell r="H1182">
            <v>216809.87</v>
          </cell>
          <cell r="I1182">
            <v>2061.0100000000002</v>
          </cell>
          <cell r="J1182">
            <v>112842.24000000001</v>
          </cell>
          <cell r="K1182">
            <v>101906.66</v>
          </cell>
          <cell r="L1182">
            <v>0</v>
          </cell>
        </row>
        <row r="1183">
          <cell r="A1183">
            <v>5</v>
          </cell>
          <cell r="B1183">
            <v>0</v>
          </cell>
          <cell r="C1183">
            <v>389</v>
          </cell>
          <cell r="D1183" t="str">
            <v xml:space="preserve">  </v>
          </cell>
          <cell r="E1183" t="str">
            <v xml:space="preserve">    </v>
          </cell>
          <cell r="F1183" t="str">
            <v xml:space="preserve">   </v>
          </cell>
          <cell r="G1183">
            <v>50389</v>
          </cell>
          <cell r="H1183">
            <v>216810.18</v>
          </cell>
          <cell r="I1183">
            <v>2061.11</v>
          </cell>
          <cell r="J1183">
            <v>112842.3</v>
          </cell>
          <cell r="K1183">
            <v>101906.78</v>
          </cell>
          <cell r="L1183">
            <v>0</v>
          </cell>
        </row>
        <row r="1184">
          <cell r="A1184">
            <v>3</v>
          </cell>
          <cell r="B1184">
            <v>0</v>
          </cell>
          <cell r="C1184">
            <v>390</v>
          </cell>
          <cell r="D1184" t="str">
            <v xml:space="preserve">  </v>
          </cell>
          <cell r="E1184" t="str">
            <v xml:space="preserve">    </v>
          </cell>
          <cell r="F1184" t="str">
            <v xml:space="preserve">   </v>
          </cell>
          <cell r="G1184">
            <v>30390</v>
          </cell>
          <cell r="H1184">
            <v>1637696.22</v>
          </cell>
          <cell r="I1184">
            <v>561162.13</v>
          </cell>
          <cell r="J1184">
            <v>114406.75</v>
          </cell>
          <cell r="K1184">
            <v>962127.34</v>
          </cell>
          <cell r="L1184">
            <v>0</v>
          </cell>
        </row>
        <row r="1185">
          <cell r="A1185">
            <v>4</v>
          </cell>
          <cell r="B1185">
            <v>0</v>
          </cell>
          <cell r="C1185">
            <v>390</v>
          </cell>
          <cell r="D1185" t="str">
            <v xml:space="preserve">  </v>
          </cell>
          <cell r="E1185" t="str">
            <v xml:space="preserve">    </v>
          </cell>
          <cell r="F1185" t="str">
            <v xml:space="preserve">   </v>
          </cell>
          <cell r="G1185">
            <v>40390</v>
          </cell>
          <cell r="H1185">
            <v>1613588.73</v>
          </cell>
          <cell r="I1185">
            <v>559102.35</v>
          </cell>
          <cell r="J1185">
            <v>114406.48</v>
          </cell>
          <cell r="K1185">
            <v>940080.07</v>
          </cell>
          <cell r="L1185">
            <v>0</v>
          </cell>
        </row>
        <row r="1186">
          <cell r="A1186">
            <v>5</v>
          </cell>
          <cell r="B1186">
            <v>0</v>
          </cell>
          <cell r="C1186">
            <v>390</v>
          </cell>
          <cell r="D1186" t="str">
            <v xml:space="preserve">  </v>
          </cell>
          <cell r="E1186" t="str">
            <v xml:space="preserve">    </v>
          </cell>
          <cell r="F1186" t="str">
            <v xml:space="preserve">   </v>
          </cell>
          <cell r="G1186">
            <v>50390</v>
          </cell>
          <cell r="H1186">
            <v>1636340.98</v>
          </cell>
          <cell r="I1186">
            <v>561162.13</v>
          </cell>
          <cell r="J1186">
            <v>114406.74</v>
          </cell>
          <cell r="K1186">
            <v>960772.12</v>
          </cell>
          <cell r="L1186">
            <v>0</v>
          </cell>
        </row>
        <row r="1187">
          <cell r="A1187">
            <v>3</v>
          </cell>
          <cell r="B1187">
            <v>0</v>
          </cell>
          <cell r="C1187">
            <v>391</v>
          </cell>
          <cell r="D1187" t="str">
            <v xml:space="preserve">  </v>
          </cell>
          <cell r="E1187" t="str">
            <v xml:space="preserve">    </v>
          </cell>
          <cell r="F1187" t="str">
            <v xml:space="preserve">   </v>
          </cell>
          <cell r="G1187">
            <v>30391</v>
          </cell>
          <cell r="H1187">
            <v>20205.25</v>
          </cell>
          <cell r="I1187">
            <v>21380.76</v>
          </cell>
          <cell r="J1187">
            <v>0</v>
          </cell>
          <cell r="K1187">
            <v>-1175.51</v>
          </cell>
          <cell r="L1187">
            <v>0</v>
          </cell>
        </row>
        <row r="1188">
          <cell r="A1188">
            <v>4</v>
          </cell>
          <cell r="B1188">
            <v>0</v>
          </cell>
          <cell r="C1188">
            <v>391</v>
          </cell>
          <cell r="D1188" t="str">
            <v xml:space="preserve">  </v>
          </cell>
          <cell r="E1188" t="str">
            <v xml:space="preserve">    </v>
          </cell>
          <cell r="F1188" t="str">
            <v xml:space="preserve">   </v>
          </cell>
          <cell r="G1188">
            <v>40391</v>
          </cell>
          <cell r="H1188">
            <v>25696.94</v>
          </cell>
          <cell r="I1188">
            <v>26040.1</v>
          </cell>
          <cell r="J1188">
            <v>0</v>
          </cell>
          <cell r="K1188">
            <v>-342.79</v>
          </cell>
          <cell r="L1188">
            <v>0</v>
          </cell>
        </row>
        <row r="1189">
          <cell r="A1189">
            <v>5</v>
          </cell>
          <cell r="B1189">
            <v>0</v>
          </cell>
          <cell r="C1189">
            <v>391</v>
          </cell>
          <cell r="D1189" t="str">
            <v xml:space="preserve">  </v>
          </cell>
          <cell r="E1189" t="str">
            <v xml:space="preserve">    </v>
          </cell>
          <cell r="F1189" t="str">
            <v xml:space="preserve">   </v>
          </cell>
          <cell r="G1189">
            <v>50391</v>
          </cell>
          <cell r="H1189">
            <v>20205.240000000002</v>
          </cell>
          <cell r="I1189">
            <v>21380.76</v>
          </cell>
          <cell r="J1189">
            <v>0</v>
          </cell>
          <cell r="K1189">
            <v>-1175.49</v>
          </cell>
          <cell r="L1189">
            <v>0</v>
          </cell>
        </row>
        <row r="1190">
          <cell r="A1190">
            <v>3</v>
          </cell>
          <cell r="B1190">
            <v>0</v>
          </cell>
          <cell r="C1190">
            <v>392</v>
          </cell>
          <cell r="D1190" t="str">
            <v xml:space="preserve">  </v>
          </cell>
          <cell r="E1190" t="str">
            <v xml:space="preserve">    </v>
          </cell>
          <cell r="F1190" t="str">
            <v xml:space="preserve">   </v>
          </cell>
          <cell r="G1190">
            <v>30392</v>
          </cell>
          <cell r="H1190">
            <v>7331548.3600000003</v>
          </cell>
          <cell r="I1190">
            <v>3482719.34</v>
          </cell>
          <cell r="J1190">
            <v>2761526.19</v>
          </cell>
          <cell r="K1190">
            <v>1087302.83</v>
          </cell>
          <cell r="L1190">
            <v>0</v>
          </cell>
        </row>
        <row r="1191">
          <cell r="A1191">
            <v>4</v>
          </cell>
          <cell r="B1191">
            <v>0</v>
          </cell>
          <cell r="C1191">
            <v>392</v>
          </cell>
          <cell r="D1191" t="str">
            <v xml:space="preserve">  </v>
          </cell>
          <cell r="E1191" t="str">
            <v xml:space="preserve">    </v>
          </cell>
          <cell r="F1191" t="str">
            <v xml:space="preserve">   </v>
          </cell>
          <cell r="G1191">
            <v>40392</v>
          </cell>
          <cell r="H1191">
            <v>6897707.4100000001</v>
          </cell>
          <cell r="I1191">
            <v>3314393.63</v>
          </cell>
          <cell r="J1191">
            <v>2496011.11</v>
          </cell>
          <cell r="K1191">
            <v>1087302.72</v>
          </cell>
          <cell r="L1191">
            <v>0</v>
          </cell>
        </row>
        <row r="1192">
          <cell r="A1192">
            <v>5</v>
          </cell>
          <cell r="B1192">
            <v>0</v>
          </cell>
          <cell r="C1192">
            <v>392</v>
          </cell>
          <cell r="D1192" t="str">
            <v xml:space="preserve">  </v>
          </cell>
          <cell r="E1192" t="str">
            <v xml:space="preserve">    </v>
          </cell>
          <cell r="F1192" t="str">
            <v xml:space="preserve">   </v>
          </cell>
          <cell r="G1192">
            <v>50392</v>
          </cell>
          <cell r="H1192">
            <v>7305714.7400000002</v>
          </cell>
          <cell r="I1192">
            <v>3458354.73</v>
          </cell>
          <cell r="J1192">
            <v>2760057.19</v>
          </cell>
          <cell r="K1192">
            <v>1087302.83</v>
          </cell>
          <cell r="L1192">
            <v>0</v>
          </cell>
        </row>
        <row r="1193">
          <cell r="A1193">
            <v>3</v>
          </cell>
          <cell r="B1193">
            <v>0</v>
          </cell>
          <cell r="C1193">
            <v>393</v>
          </cell>
          <cell r="D1193" t="str">
            <v xml:space="preserve">  </v>
          </cell>
          <cell r="E1193" t="str">
            <v xml:space="preserve">    </v>
          </cell>
          <cell r="F1193" t="str">
            <v xml:space="preserve">   </v>
          </cell>
          <cell r="G1193">
            <v>30393</v>
          </cell>
          <cell r="H1193">
            <v>99196.42</v>
          </cell>
          <cell r="I1193">
            <v>47103.71</v>
          </cell>
          <cell r="J1193">
            <v>21952.91</v>
          </cell>
          <cell r="K1193">
            <v>30139.8</v>
          </cell>
          <cell r="L1193">
            <v>0</v>
          </cell>
        </row>
        <row r="1194">
          <cell r="A1194">
            <v>4</v>
          </cell>
          <cell r="B1194">
            <v>0</v>
          </cell>
          <cell r="C1194">
            <v>393</v>
          </cell>
          <cell r="D1194" t="str">
            <v xml:space="preserve">  </v>
          </cell>
          <cell r="E1194" t="str">
            <v xml:space="preserve">    </v>
          </cell>
          <cell r="F1194" t="str">
            <v xml:space="preserve">   </v>
          </cell>
          <cell r="G1194">
            <v>40393</v>
          </cell>
          <cell r="H1194">
            <v>99196.1</v>
          </cell>
          <cell r="I1194">
            <v>47103.6</v>
          </cell>
          <cell r="J1194">
            <v>21952.84</v>
          </cell>
          <cell r="K1194">
            <v>30139.7</v>
          </cell>
          <cell r="L1194">
            <v>0</v>
          </cell>
        </row>
        <row r="1195">
          <cell r="A1195">
            <v>5</v>
          </cell>
          <cell r="B1195">
            <v>0</v>
          </cell>
          <cell r="C1195">
            <v>393</v>
          </cell>
          <cell r="D1195" t="str">
            <v xml:space="preserve">  </v>
          </cell>
          <cell r="E1195" t="str">
            <v xml:space="preserve">    </v>
          </cell>
          <cell r="F1195" t="str">
            <v xml:space="preserve">   </v>
          </cell>
          <cell r="G1195">
            <v>50393</v>
          </cell>
          <cell r="H1195">
            <v>99196.4</v>
          </cell>
          <cell r="I1195">
            <v>47103.7</v>
          </cell>
          <cell r="J1195">
            <v>21952.91</v>
          </cell>
          <cell r="K1195">
            <v>30139.8</v>
          </cell>
          <cell r="L1195">
            <v>0</v>
          </cell>
        </row>
        <row r="1196">
          <cell r="A1196">
            <v>3</v>
          </cell>
          <cell r="B1196">
            <v>0</v>
          </cell>
          <cell r="C1196">
            <v>394</v>
          </cell>
          <cell r="D1196" t="str">
            <v xml:space="preserve">  </v>
          </cell>
          <cell r="E1196" t="str">
            <v xml:space="preserve">    </v>
          </cell>
          <cell r="F1196" t="str">
            <v xml:space="preserve">   </v>
          </cell>
          <cell r="G1196">
            <v>30394</v>
          </cell>
          <cell r="H1196">
            <v>2098004.46</v>
          </cell>
          <cell r="I1196">
            <v>1077637.33</v>
          </cell>
          <cell r="J1196">
            <v>672326.62</v>
          </cell>
          <cell r="K1196">
            <v>348040.51</v>
          </cell>
          <cell r="L1196">
            <v>0</v>
          </cell>
        </row>
        <row r="1197">
          <cell r="A1197">
            <v>4</v>
          </cell>
          <cell r="B1197">
            <v>0</v>
          </cell>
          <cell r="C1197">
            <v>394</v>
          </cell>
          <cell r="D1197" t="str">
            <v xml:space="preserve">  </v>
          </cell>
          <cell r="E1197" t="str">
            <v xml:space="preserve">    </v>
          </cell>
          <cell r="F1197" t="str">
            <v xml:space="preserve">   </v>
          </cell>
          <cell r="G1197">
            <v>40394</v>
          </cell>
          <cell r="H1197">
            <v>2038494.13</v>
          </cell>
          <cell r="I1197">
            <v>1039098.36</v>
          </cell>
          <cell r="J1197">
            <v>651985.36</v>
          </cell>
          <cell r="K1197">
            <v>347410.46</v>
          </cell>
          <cell r="L1197">
            <v>0</v>
          </cell>
        </row>
        <row r="1198">
          <cell r="A1198">
            <v>5</v>
          </cell>
          <cell r="B1198">
            <v>0</v>
          </cell>
          <cell r="C1198">
            <v>394</v>
          </cell>
          <cell r="D1198" t="str">
            <v xml:space="preserve">  </v>
          </cell>
          <cell r="E1198" t="str">
            <v xml:space="preserve">    </v>
          </cell>
          <cell r="F1198" t="str">
            <v xml:space="preserve">   </v>
          </cell>
          <cell r="G1198">
            <v>50394</v>
          </cell>
          <cell r="H1198">
            <v>2096578.74</v>
          </cell>
          <cell r="I1198">
            <v>1077637.32</v>
          </cell>
          <cell r="J1198">
            <v>670900.92000000004</v>
          </cell>
          <cell r="K1198">
            <v>348040.51</v>
          </cell>
          <cell r="L1198">
            <v>0</v>
          </cell>
        </row>
        <row r="1199">
          <cell r="A1199">
            <v>3</v>
          </cell>
          <cell r="B1199">
            <v>0</v>
          </cell>
          <cell r="C1199">
            <v>395</v>
          </cell>
          <cell r="D1199" t="str">
            <v xml:space="preserve">  </v>
          </cell>
          <cell r="E1199" t="str">
            <v xml:space="preserve">    </v>
          </cell>
          <cell r="F1199" t="str">
            <v xml:space="preserve">   </v>
          </cell>
          <cell r="G1199">
            <v>30395</v>
          </cell>
          <cell r="H1199">
            <v>2589485.34</v>
          </cell>
          <cell r="I1199">
            <v>2037094.26</v>
          </cell>
          <cell r="J1199">
            <v>256430.55</v>
          </cell>
          <cell r="K1199">
            <v>295960.53000000003</v>
          </cell>
          <cell r="L1199">
            <v>0</v>
          </cell>
        </row>
        <row r="1200">
          <cell r="A1200">
            <v>4</v>
          </cell>
          <cell r="B1200">
            <v>0</v>
          </cell>
          <cell r="C1200">
            <v>395</v>
          </cell>
          <cell r="D1200" t="str">
            <v xml:space="preserve">  </v>
          </cell>
          <cell r="E1200" t="str">
            <v xml:space="preserve">    </v>
          </cell>
          <cell r="F1200" t="str">
            <v xml:space="preserve">   </v>
          </cell>
          <cell r="G1200">
            <v>40395</v>
          </cell>
          <cell r="H1200">
            <v>2494914.63</v>
          </cell>
          <cell r="I1200">
            <v>1966034.76</v>
          </cell>
          <cell r="J1200">
            <v>237775.17</v>
          </cell>
          <cell r="K1200">
            <v>291104.74</v>
          </cell>
          <cell r="L1200">
            <v>0</v>
          </cell>
        </row>
        <row r="1201">
          <cell r="A1201">
            <v>5</v>
          </cell>
          <cell r="B1201">
            <v>0</v>
          </cell>
          <cell r="C1201">
            <v>395</v>
          </cell>
          <cell r="D1201" t="str">
            <v xml:space="preserve">  </v>
          </cell>
          <cell r="E1201" t="str">
            <v xml:space="preserve">    </v>
          </cell>
          <cell r="F1201" t="str">
            <v xml:space="preserve">   </v>
          </cell>
          <cell r="G1201">
            <v>50395</v>
          </cell>
          <cell r="H1201">
            <v>2589168.77</v>
          </cell>
          <cell r="I1201">
            <v>2036777.71</v>
          </cell>
          <cell r="J1201">
            <v>256430.55</v>
          </cell>
          <cell r="K1201">
            <v>295960.52</v>
          </cell>
          <cell r="L1201">
            <v>0</v>
          </cell>
        </row>
        <row r="1202">
          <cell r="A1202">
            <v>3</v>
          </cell>
          <cell r="B1202">
            <v>0</v>
          </cell>
          <cell r="C1202">
            <v>396</v>
          </cell>
          <cell r="D1202" t="str">
            <v xml:space="preserve">  </v>
          </cell>
          <cell r="E1202" t="str">
            <v xml:space="preserve">    </v>
          </cell>
          <cell r="F1202" t="str">
            <v xml:space="preserve">   </v>
          </cell>
          <cell r="G1202">
            <v>30396</v>
          </cell>
          <cell r="H1202">
            <v>15908444.41</v>
          </cell>
          <cell r="I1202">
            <v>5854918.8600000003</v>
          </cell>
          <cell r="J1202">
            <v>5997640</v>
          </cell>
          <cell r="K1202">
            <v>4055885.55</v>
          </cell>
          <cell r="L1202">
            <v>0</v>
          </cell>
        </row>
        <row r="1203">
          <cell r="A1203">
            <v>4</v>
          </cell>
          <cell r="B1203">
            <v>0</v>
          </cell>
          <cell r="C1203">
            <v>396</v>
          </cell>
          <cell r="D1203" t="str">
            <v xml:space="preserve">  </v>
          </cell>
          <cell r="E1203" t="str">
            <v xml:space="preserve">    </v>
          </cell>
          <cell r="F1203" t="str">
            <v xml:space="preserve">   </v>
          </cell>
          <cell r="G1203">
            <v>40396</v>
          </cell>
          <cell r="H1203">
            <v>15783058.77</v>
          </cell>
          <cell r="I1203">
            <v>5782142.0599999996</v>
          </cell>
          <cell r="J1203">
            <v>5945031.6600000001</v>
          </cell>
          <cell r="K1203">
            <v>4055885.21</v>
          </cell>
          <cell r="L1203">
            <v>0</v>
          </cell>
        </row>
        <row r="1204">
          <cell r="A1204">
            <v>5</v>
          </cell>
          <cell r="B1204">
            <v>0</v>
          </cell>
          <cell r="C1204">
            <v>396</v>
          </cell>
          <cell r="D1204" t="str">
            <v xml:space="preserve">  </v>
          </cell>
          <cell r="E1204" t="str">
            <v xml:space="preserve">    </v>
          </cell>
          <cell r="F1204" t="str">
            <v xml:space="preserve">   </v>
          </cell>
          <cell r="G1204">
            <v>50396</v>
          </cell>
          <cell r="H1204">
            <v>15908444.380000001</v>
          </cell>
          <cell r="I1204">
            <v>5854918.8600000003</v>
          </cell>
          <cell r="J1204">
            <v>5997640.0199999996</v>
          </cell>
          <cell r="K1204">
            <v>4055885.55</v>
          </cell>
          <cell r="L1204">
            <v>0</v>
          </cell>
        </row>
        <row r="1205">
          <cell r="A1205">
            <v>3</v>
          </cell>
          <cell r="B1205">
            <v>0</v>
          </cell>
          <cell r="C1205">
            <v>397</v>
          </cell>
          <cell r="D1205" t="str">
            <v xml:space="preserve">  </v>
          </cell>
          <cell r="E1205" t="str">
            <v xml:space="preserve">    </v>
          </cell>
          <cell r="F1205" t="str">
            <v xml:space="preserve">   </v>
          </cell>
          <cell r="G1205">
            <v>30397</v>
          </cell>
          <cell r="H1205">
            <v>13605253.67</v>
          </cell>
          <cell r="I1205">
            <v>10997624.189999999</v>
          </cell>
          <cell r="J1205">
            <v>1979078.1</v>
          </cell>
          <cell r="K1205">
            <v>628551.38</v>
          </cell>
          <cell r="L1205">
            <v>0</v>
          </cell>
        </row>
        <row r="1206">
          <cell r="A1206">
            <v>4</v>
          </cell>
          <cell r="B1206">
            <v>0</v>
          </cell>
          <cell r="C1206">
            <v>397</v>
          </cell>
          <cell r="D1206" t="str">
            <v xml:space="preserve">  </v>
          </cell>
          <cell r="E1206" t="str">
            <v xml:space="preserve">    </v>
          </cell>
          <cell r="F1206" t="str">
            <v xml:space="preserve">   </v>
          </cell>
          <cell r="G1206">
            <v>40397</v>
          </cell>
          <cell r="H1206">
            <v>13575693.289999999</v>
          </cell>
          <cell r="I1206">
            <v>10860677.23</v>
          </cell>
          <cell r="J1206">
            <v>2016373.89</v>
          </cell>
          <cell r="K1206">
            <v>698642.28</v>
          </cell>
          <cell r="L1206">
            <v>0</v>
          </cell>
        </row>
        <row r="1207">
          <cell r="A1207">
            <v>5</v>
          </cell>
          <cell r="B1207">
            <v>0</v>
          </cell>
          <cell r="C1207">
            <v>397</v>
          </cell>
          <cell r="D1207" t="str">
            <v xml:space="preserve">  </v>
          </cell>
          <cell r="E1207" t="str">
            <v xml:space="preserve">    </v>
          </cell>
          <cell r="F1207" t="str">
            <v xml:space="preserve">   </v>
          </cell>
          <cell r="G1207">
            <v>50397</v>
          </cell>
          <cell r="H1207">
            <v>13490602.35</v>
          </cell>
          <cell r="I1207">
            <v>10824142.59</v>
          </cell>
          <cell r="J1207">
            <v>1997942.09</v>
          </cell>
          <cell r="K1207">
            <v>668517.69999999995</v>
          </cell>
          <cell r="L1207">
            <v>0</v>
          </cell>
        </row>
        <row r="1208">
          <cell r="A1208">
            <v>3</v>
          </cell>
          <cell r="B1208">
            <v>0</v>
          </cell>
          <cell r="C1208">
            <v>398</v>
          </cell>
          <cell r="D1208" t="str">
            <v xml:space="preserve">  </v>
          </cell>
          <cell r="E1208" t="str">
            <v xml:space="preserve">    </v>
          </cell>
          <cell r="F1208" t="str">
            <v xml:space="preserve">   </v>
          </cell>
          <cell r="G1208">
            <v>30398</v>
          </cell>
          <cell r="H1208">
            <v>3554.39</v>
          </cell>
          <cell r="I1208">
            <v>1252.56</v>
          </cell>
          <cell r="J1208">
            <v>0</v>
          </cell>
          <cell r="K1208">
            <v>2301.83</v>
          </cell>
          <cell r="L1208">
            <v>0</v>
          </cell>
        </row>
        <row r="1209">
          <cell r="A1209">
            <v>4</v>
          </cell>
          <cell r="B1209">
            <v>0</v>
          </cell>
          <cell r="C1209">
            <v>398</v>
          </cell>
          <cell r="D1209" t="str">
            <v xml:space="preserve">  </v>
          </cell>
          <cell r="E1209" t="str">
            <v xml:space="preserve">    </v>
          </cell>
          <cell r="F1209" t="str">
            <v xml:space="preserve">   </v>
          </cell>
          <cell r="G1209">
            <v>40398</v>
          </cell>
          <cell r="H1209">
            <v>3554.06</v>
          </cell>
          <cell r="I1209">
            <v>1252.44</v>
          </cell>
          <cell r="J1209">
            <v>0.13</v>
          </cell>
          <cell r="K1209">
            <v>2301.73</v>
          </cell>
          <cell r="L1209">
            <v>0</v>
          </cell>
        </row>
        <row r="1210">
          <cell r="A1210">
            <v>5</v>
          </cell>
          <cell r="B1210">
            <v>0</v>
          </cell>
          <cell r="C1210">
            <v>398</v>
          </cell>
          <cell r="D1210" t="str">
            <v xml:space="preserve">  </v>
          </cell>
          <cell r="E1210" t="str">
            <v xml:space="preserve">    </v>
          </cell>
          <cell r="F1210" t="str">
            <v xml:space="preserve">   </v>
          </cell>
          <cell r="G1210">
            <v>50398</v>
          </cell>
          <cell r="H1210">
            <v>3554.36</v>
          </cell>
          <cell r="I1210">
            <v>1252.55</v>
          </cell>
          <cell r="J1210">
            <v>0</v>
          </cell>
          <cell r="K1210">
            <v>2301.83</v>
          </cell>
          <cell r="L1210">
            <v>0</v>
          </cell>
        </row>
        <row r="1211">
          <cell r="A1211">
            <v>3</v>
          </cell>
          <cell r="B1211">
            <v>1</v>
          </cell>
          <cell r="C1211">
            <v>350</v>
          </cell>
          <cell r="D1211" t="str">
            <v xml:space="preserve">  </v>
          </cell>
          <cell r="E1211" t="str">
            <v xml:space="preserve">    </v>
          </cell>
          <cell r="F1211" t="str">
            <v xml:space="preserve">   </v>
          </cell>
          <cell r="G1211">
            <v>31350</v>
          </cell>
          <cell r="H1211">
            <v>391798.6</v>
          </cell>
          <cell r="I1211">
            <v>391798.6</v>
          </cell>
          <cell r="J1211">
            <v>0</v>
          </cell>
          <cell r="K1211">
            <v>0</v>
          </cell>
          <cell r="L1211">
            <v>0</v>
          </cell>
        </row>
        <row r="1212">
          <cell r="A1212">
            <v>4</v>
          </cell>
          <cell r="B1212">
            <v>1</v>
          </cell>
          <cell r="C1212">
            <v>350</v>
          </cell>
          <cell r="D1212" t="str">
            <v xml:space="preserve">  </v>
          </cell>
          <cell r="E1212" t="str">
            <v xml:space="preserve">    </v>
          </cell>
          <cell r="F1212" t="str">
            <v xml:space="preserve">   </v>
          </cell>
          <cell r="G1212">
            <v>41350</v>
          </cell>
          <cell r="H1212">
            <v>391798.56</v>
          </cell>
          <cell r="I1212">
            <v>391798.56</v>
          </cell>
          <cell r="J1212">
            <v>0</v>
          </cell>
          <cell r="K1212">
            <v>0</v>
          </cell>
          <cell r="L1212">
            <v>0</v>
          </cell>
        </row>
        <row r="1213">
          <cell r="A1213">
            <v>5</v>
          </cell>
          <cell r="B1213">
            <v>1</v>
          </cell>
          <cell r="C1213">
            <v>350</v>
          </cell>
          <cell r="D1213" t="str">
            <v xml:space="preserve">  </v>
          </cell>
          <cell r="E1213" t="str">
            <v xml:space="preserve">    </v>
          </cell>
          <cell r="F1213" t="str">
            <v xml:space="preserve">   </v>
          </cell>
          <cell r="G1213">
            <v>51350</v>
          </cell>
          <cell r="H1213">
            <v>391798.58</v>
          </cell>
          <cell r="I1213">
            <v>391798.58</v>
          </cell>
          <cell r="J1213">
            <v>0</v>
          </cell>
          <cell r="K1213">
            <v>0</v>
          </cell>
          <cell r="L1213">
            <v>0</v>
          </cell>
        </row>
        <row r="1214">
          <cell r="A1214">
            <v>3</v>
          </cell>
          <cell r="B1214">
            <v>1</v>
          </cell>
          <cell r="C1214">
            <v>351</v>
          </cell>
          <cell r="D1214" t="str">
            <v xml:space="preserve">  </v>
          </cell>
          <cell r="E1214" t="str">
            <v xml:space="preserve">    </v>
          </cell>
          <cell r="F1214" t="str">
            <v xml:space="preserve">   </v>
          </cell>
          <cell r="G1214">
            <v>31351</v>
          </cell>
          <cell r="H1214">
            <v>1069958.3999999999</v>
          </cell>
          <cell r="I1214">
            <v>1069958.3999999999</v>
          </cell>
          <cell r="J1214">
            <v>0</v>
          </cell>
          <cell r="K1214">
            <v>0</v>
          </cell>
          <cell r="L1214">
            <v>0</v>
          </cell>
        </row>
        <row r="1215">
          <cell r="A1215">
            <v>4</v>
          </cell>
          <cell r="B1215">
            <v>1</v>
          </cell>
          <cell r="C1215">
            <v>351</v>
          </cell>
          <cell r="D1215" t="str">
            <v xml:space="preserve">  </v>
          </cell>
          <cell r="E1215" t="str">
            <v xml:space="preserve">    </v>
          </cell>
          <cell r="F1215" t="str">
            <v xml:space="preserve">   </v>
          </cell>
          <cell r="G1215">
            <v>41351</v>
          </cell>
          <cell r="H1215">
            <v>1069957.99</v>
          </cell>
          <cell r="I1215">
            <v>1069957.99</v>
          </cell>
          <cell r="J1215">
            <v>0</v>
          </cell>
          <cell r="K1215">
            <v>0</v>
          </cell>
          <cell r="L1215">
            <v>0</v>
          </cell>
        </row>
        <row r="1216">
          <cell r="A1216">
            <v>5</v>
          </cell>
          <cell r="B1216">
            <v>1</v>
          </cell>
          <cell r="C1216">
            <v>351</v>
          </cell>
          <cell r="D1216" t="str">
            <v xml:space="preserve">  </v>
          </cell>
          <cell r="E1216" t="str">
            <v xml:space="preserve">    </v>
          </cell>
          <cell r="F1216" t="str">
            <v xml:space="preserve">   </v>
          </cell>
          <cell r="G1216">
            <v>51351</v>
          </cell>
          <cell r="H1216">
            <v>1069958.3600000001</v>
          </cell>
          <cell r="I1216">
            <v>1069958.3600000001</v>
          </cell>
          <cell r="J1216">
            <v>0</v>
          </cell>
          <cell r="K1216">
            <v>0</v>
          </cell>
          <cell r="L1216">
            <v>0</v>
          </cell>
        </row>
        <row r="1217">
          <cell r="A1217">
            <v>3</v>
          </cell>
          <cell r="B1217">
            <v>1</v>
          </cell>
          <cell r="C1217">
            <v>352</v>
          </cell>
          <cell r="D1217" t="str">
            <v xml:space="preserve">  </v>
          </cell>
          <cell r="E1217" t="str">
            <v xml:space="preserve">    </v>
          </cell>
          <cell r="F1217" t="str">
            <v xml:space="preserve">   </v>
          </cell>
          <cell r="G1217">
            <v>31352</v>
          </cell>
          <cell r="H1217">
            <v>12259759.6</v>
          </cell>
          <cell r="I1217">
            <v>12259759.6</v>
          </cell>
          <cell r="J1217">
            <v>0</v>
          </cell>
          <cell r="K1217">
            <v>0</v>
          </cell>
          <cell r="L1217">
            <v>0</v>
          </cell>
        </row>
        <row r="1218">
          <cell r="A1218">
            <v>4</v>
          </cell>
          <cell r="B1218">
            <v>1</v>
          </cell>
          <cell r="C1218">
            <v>352</v>
          </cell>
          <cell r="D1218" t="str">
            <v xml:space="preserve">  </v>
          </cell>
          <cell r="E1218" t="str">
            <v xml:space="preserve">    </v>
          </cell>
          <cell r="F1218" t="str">
            <v xml:space="preserve">   </v>
          </cell>
          <cell r="G1218">
            <v>41352</v>
          </cell>
          <cell r="H1218">
            <v>12238600.75</v>
          </cell>
          <cell r="I1218">
            <v>12238600.75</v>
          </cell>
          <cell r="J1218">
            <v>0</v>
          </cell>
          <cell r="K1218">
            <v>0</v>
          </cell>
          <cell r="L1218">
            <v>0</v>
          </cell>
        </row>
        <row r="1219">
          <cell r="A1219">
            <v>5</v>
          </cell>
          <cell r="B1219">
            <v>1</v>
          </cell>
          <cell r="C1219">
            <v>352</v>
          </cell>
          <cell r="D1219" t="str">
            <v xml:space="preserve">  </v>
          </cell>
          <cell r="E1219" t="str">
            <v xml:space="preserve">    </v>
          </cell>
          <cell r="F1219" t="str">
            <v xml:space="preserve">   </v>
          </cell>
          <cell r="G1219">
            <v>51352</v>
          </cell>
          <cell r="H1219">
            <v>12259759.560000001</v>
          </cell>
          <cell r="I1219">
            <v>12259759.560000001</v>
          </cell>
          <cell r="J1219">
            <v>0</v>
          </cell>
          <cell r="K1219">
            <v>0</v>
          </cell>
          <cell r="L1219">
            <v>0</v>
          </cell>
        </row>
        <row r="1220">
          <cell r="A1220">
            <v>3</v>
          </cell>
          <cell r="B1220">
            <v>1</v>
          </cell>
          <cell r="C1220">
            <v>353</v>
          </cell>
          <cell r="D1220" t="str">
            <v xml:space="preserve">  </v>
          </cell>
          <cell r="E1220" t="str">
            <v xml:space="preserve">    </v>
          </cell>
          <cell r="F1220" t="str">
            <v xml:space="preserve">   </v>
          </cell>
          <cell r="G1220">
            <v>31353</v>
          </cell>
          <cell r="H1220">
            <v>799012.4</v>
          </cell>
          <cell r="I1220">
            <v>799012.4</v>
          </cell>
          <cell r="J1220">
            <v>0</v>
          </cell>
          <cell r="K1220">
            <v>0</v>
          </cell>
          <cell r="L1220">
            <v>0</v>
          </cell>
        </row>
        <row r="1221">
          <cell r="A1221">
            <v>4</v>
          </cell>
          <cell r="B1221">
            <v>1</v>
          </cell>
          <cell r="C1221">
            <v>353</v>
          </cell>
          <cell r="D1221" t="str">
            <v xml:space="preserve">  </v>
          </cell>
          <cell r="E1221" t="str">
            <v xml:space="preserve">    </v>
          </cell>
          <cell r="F1221" t="str">
            <v xml:space="preserve">   </v>
          </cell>
          <cell r="G1221">
            <v>41353</v>
          </cell>
          <cell r="H1221">
            <v>799012.32</v>
          </cell>
          <cell r="I1221">
            <v>799012.32</v>
          </cell>
          <cell r="J1221">
            <v>0</v>
          </cell>
          <cell r="K1221">
            <v>0</v>
          </cell>
          <cell r="L1221">
            <v>0</v>
          </cell>
        </row>
        <row r="1222">
          <cell r="A1222">
            <v>5</v>
          </cell>
          <cell r="B1222">
            <v>1</v>
          </cell>
          <cell r="C1222">
            <v>353</v>
          </cell>
          <cell r="D1222" t="str">
            <v xml:space="preserve">  </v>
          </cell>
          <cell r="E1222" t="str">
            <v xml:space="preserve">    </v>
          </cell>
          <cell r="F1222" t="str">
            <v xml:space="preserve">   </v>
          </cell>
          <cell r="G1222">
            <v>51353</v>
          </cell>
          <cell r="H1222">
            <v>799012.4</v>
          </cell>
          <cell r="I1222">
            <v>799012.4</v>
          </cell>
          <cell r="J1222">
            <v>0</v>
          </cell>
          <cell r="K1222">
            <v>0</v>
          </cell>
          <cell r="L1222">
            <v>0</v>
          </cell>
        </row>
        <row r="1223">
          <cell r="A1223">
            <v>3</v>
          </cell>
          <cell r="B1223">
            <v>1</v>
          </cell>
          <cell r="C1223">
            <v>354</v>
          </cell>
          <cell r="D1223" t="str">
            <v xml:space="preserve">  </v>
          </cell>
          <cell r="E1223" t="str">
            <v xml:space="preserve">    </v>
          </cell>
          <cell r="F1223" t="str">
            <v xml:space="preserve">   </v>
          </cell>
          <cell r="G1223">
            <v>31354</v>
          </cell>
          <cell r="H1223">
            <v>1509000.15</v>
          </cell>
          <cell r="I1223">
            <v>1509000.15</v>
          </cell>
          <cell r="J1223">
            <v>0</v>
          </cell>
          <cell r="K1223">
            <v>0</v>
          </cell>
          <cell r="L1223">
            <v>0</v>
          </cell>
        </row>
        <row r="1224">
          <cell r="A1224">
            <v>4</v>
          </cell>
          <cell r="B1224">
            <v>1</v>
          </cell>
          <cell r="C1224">
            <v>354</v>
          </cell>
          <cell r="D1224" t="str">
            <v xml:space="preserve">  </v>
          </cell>
          <cell r="E1224" t="str">
            <v xml:space="preserve">    </v>
          </cell>
          <cell r="F1224" t="str">
            <v xml:space="preserve">   </v>
          </cell>
          <cell r="G1224">
            <v>41354</v>
          </cell>
          <cell r="H1224">
            <v>1498026.62</v>
          </cell>
          <cell r="I1224">
            <v>1498026.62</v>
          </cell>
          <cell r="J1224">
            <v>0</v>
          </cell>
          <cell r="K1224">
            <v>0</v>
          </cell>
          <cell r="L1224">
            <v>0</v>
          </cell>
        </row>
        <row r="1225">
          <cell r="A1225">
            <v>5</v>
          </cell>
          <cell r="B1225">
            <v>1</v>
          </cell>
          <cell r="C1225">
            <v>354</v>
          </cell>
          <cell r="D1225" t="str">
            <v xml:space="preserve">  </v>
          </cell>
          <cell r="E1225" t="str">
            <v xml:space="preserve">    </v>
          </cell>
          <cell r="F1225" t="str">
            <v xml:space="preserve">   </v>
          </cell>
          <cell r="G1225">
            <v>51354</v>
          </cell>
          <cell r="H1225">
            <v>1509000.14</v>
          </cell>
          <cell r="I1225">
            <v>1509000.14</v>
          </cell>
          <cell r="J1225">
            <v>0</v>
          </cell>
          <cell r="K1225">
            <v>0</v>
          </cell>
          <cell r="L1225">
            <v>0</v>
          </cell>
        </row>
        <row r="1226">
          <cell r="A1226">
            <v>3</v>
          </cell>
          <cell r="B1226">
            <v>1</v>
          </cell>
          <cell r="C1226">
            <v>355</v>
          </cell>
          <cell r="D1226" t="str">
            <v xml:space="preserve">  </v>
          </cell>
          <cell r="E1226" t="str">
            <v xml:space="preserve">    </v>
          </cell>
          <cell r="F1226" t="str">
            <v xml:space="preserve">   </v>
          </cell>
          <cell r="G1226">
            <v>31355</v>
          </cell>
          <cell r="H1226">
            <v>940961.3</v>
          </cell>
          <cell r="I1226">
            <v>940961.3</v>
          </cell>
          <cell r="J1226">
            <v>0</v>
          </cell>
          <cell r="K1226">
            <v>0</v>
          </cell>
          <cell r="L1226">
            <v>0</v>
          </cell>
        </row>
        <row r="1227">
          <cell r="A1227">
            <v>4</v>
          </cell>
          <cell r="B1227">
            <v>1</v>
          </cell>
          <cell r="C1227">
            <v>355</v>
          </cell>
          <cell r="D1227" t="str">
            <v xml:space="preserve">  </v>
          </cell>
          <cell r="E1227" t="str">
            <v xml:space="preserve">    </v>
          </cell>
          <cell r="F1227" t="str">
            <v xml:space="preserve">   </v>
          </cell>
          <cell r="G1227">
            <v>41355</v>
          </cell>
          <cell r="H1227">
            <v>940961.28000000003</v>
          </cell>
          <cell r="I1227">
            <v>940961.28000000003</v>
          </cell>
          <cell r="J1227">
            <v>0</v>
          </cell>
          <cell r="K1227">
            <v>0</v>
          </cell>
          <cell r="L1227">
            <v>0</v>
          </cell>
        </row>
        <row r="1228">
          <cell r="A1228">
            <v>5</v>
          </cell>
          <cell r="B1228">
            <v>1</v>
          </cell>
          <cell r="C1228">
            <v>355</v>
          </cell>
          <cell r="D1228" t="str">
            <v xml:space="preserve">  </v>
          </cell>
          <cell r="E1228" t="str">
            <v xml:space="preserve">    </v>
          </cell>
          <cell r="F1228" t="str">
            <v xml:space="preserve">   </v>
          </cell>
          <cell r="G1228">
            <v>51355</v>
          </cell>
          <cell r="H1228">
            <v>940961.3</v>
          </cell>
          <cell r="I1228">
            <v>940961.3</v>
          </cell>
          <cell r="J1228">
            <v>0</v>
          </cell>
          <cell r="K1228">
            <v>0</v>
          </cell>
          <cell r="L1228">
            <v>0</v>
          </cell>
        </row>
        <row r="1229">
          <cell r="A1229">
            <v>3</v>
          </cell>
          <cell r="B1229">
            <v>1</v>
          </cell>
          <cell r="C1229">
            <v>356</v>
          </cell>
          <cell r="D1229" t="str">
            <v xml:space="preserve">  </v>
          </cell>
          <cell r="E1229" t="str">
            <v xml:space="preserve">    </v>
          </cell>
          <cell r="F1229" t="str">
            <v xml:space="preserve">   </v>
          </cell>
          <cell r="G1229">
            <v>31356</v>
          </cell>
          <cell r="H1229">
            <v>458570.06</v>
          </cell>
          <cell r="I1229">
            <v>458570.06</v>
          </cell>
          <cell r="J1229">
            <v>0</v>
          </cell>
          <cell r="K1229">
            <v>0</v>
          </cell>
          <cell r="L1229">
            <v>0</v>
          </cell>
        </row>
        <row r="1230">
          <cell r="A1230">
            <v>4</v>
          </cell>
          <cell r="B1230">
            <v>1</v>
          </cell>
          <cell r="C1230">
            <v>356</v>
          </cell>
          <cell r="D1230" t="str">
            <v xml:space="preserve">  </v>
          </cell>
          <cell r="E1230" t="str">
            <v xml:space="preserve">    </v>
          </cell>
          <cell r="F1230" t="str">
            <v xml:space="preserve">   </v>
          </cell>
          <cell r="G1230">
            <v>41356</v>
          </cell>
          <cell r="H1230">
            <v>458570.03</v>
          </cell>
          <cell r="I1230">
            <v>458570.03</v>
          </cell>
          <cell r="J1230">
            <v>0</v>
          </cell>
          <cell r="K1230">
            <v>0</v>
          </cell>
          <cell r="L1230">
            <v>0</v>
          </cell>
        </row>
        <row r="1231">
          <cell r="A1231">
            <v>5</v>
          </cell>
          <cell r="B1231">
            <v>1</v>
          </cell>
          <cell r="C1231">
            <v>356</v>
          </cell>
          <cell r="D1231" t="str">
            <v xml:space="preserve">  </v>
          </cell>
          <cell r="E1231" t="str">
            <v xml:space="preserve">    </v>
          </cell>
          <cell r="F1231" t="str">
            <v xml:space="preserve">   </v>
          </cell>
          <cell r="G1231">
            <v>51356</v>
          </cell>
          <cell r="H1231">
            <v>458570.06</v>
          </cell>
          <cell r="I1231">
            <v>458570.06</v>
          </cell>
          <cell r="J1231">
            <v>0</v>
          </cell>
          <cell r="K1231">
            <v>0</v>
          </cell>
          <cell r="L1231">
            <v>0</v>
          </cell>
        </row>
        <row r="1232">
          <cell r="A1232">
            <v>3</v>
          </cell>
          <cell r="B1232">
            <v>1</v>
          </cell>
          <cell r="C1232">
            <v>357</v>
          </cell>
          <cell r="D1232" t="str">
            <v xml:space="preserve">  </v>
          </cell>
          <cell r="E1232" t="str">
            <v xml:space="preserve">    </v>
          </cell>
          <cell r="F1232" t="str">
            <v xml:space="preserve">   </v>
          </cell>
          <cell r="G1232">
            <v>31357</v>
          </cell>
          <cell r="H1232">
            <v>1556989.95</v>
          </cell>
          <cell r="I1232">
            <v>1556989.95</v>
          </cell>
          <cell r="J1232">
            <v>0</v>
          </cell>
          <cell r="K1232">
            <v>0</v>
          </cell>
          <cell r="L1232">
            <v>0</v>
          </cell>
        </row>
        <row r="1233">
          <cell r="A1233">
            <v>4</v>
          </cell>
          <cell r="B1233">
            <v>1</v>
          </cell>
          <cell r="C1233">
            <v>357</v>
          </cell>
          <cell r="D1233" t="str">
            <v xml:space="preserve">  </v>
          </cell>
          <cell r="E1233" t="str">
            <v xml:space="preserve">    </v>
          </cell>
          <cell r="F1233" t="str">
            <v xml:space="preserve">   </v>
          </cell>
          <cell r="G1233">
            <v>41357</v>
          </cell>
          <cell r="H1233">
            <v>1552867.71</v>
          </cell>
          <cell r="I1233">
            <v>1552867.71</v>
          </cell>
          <cell r="J1233">
            <v>0</v>
          </cell>
          <cell r="K1233">
            <v>0</v>
          </cell>
          <cell r="L1233">
            <v>0</v>
          </cell>
        </row>
        <row r="1234">
          <cell r="A1234">
            <v>5</v>
          </cell>
          <cell r="B1234">
            <v>1</v>
          </cell>
          <cell r="C1234">
            <v>357</v>
          </cell>
          <cell r="D1234" t="str">
            <v xml:space="preserve">  </v>
          </cell>
          <cell r="E1234" t="str">
            <v xml:space="preserve">    </v>
          </cell>
          <cell r="F1234" t="str">
            <v xml:space="preserve">   </v>
          </cell>
          <cell r="G1234">
            <v>51357</v>
          </cell>
          <cell r="H1234">
            <v>1556989.94</v>
          </cell>
          <cell r="I1234">
            <v>1556989.94</v>
          </cell>
          <cell r="J1234">
            <v>0</v>
          </cell>
          <cell r="K1234">
            <v>0</v>
          </cell>
          <cell r="L1234">
            <v>0</v>
          </cell>
        </row>
        <row r="1235">
          <cell r="A1235">
            <v>3</v>
          </cell>
          <cell r="B1235">
            <v>1</v>
          </cell>
          <cell r="C1235">
            <v>374</v>
          </cell>
          <cell r="D1235" t="str">
            <v xml:space="preserve">  </v>
          </cell>
          <cell r="E1235" t="str">
            <v xml:space="preserve">    </v>
          </cell>
          <cell r="F1235" t="str">
            <v xml:space="preserve">   </v>
          </cell>
          <cell r="G1235">
            <v>31374</v>
          </cell>
          <cell r="H1235">
            <v>89676.28</v>
          </cell>
          <cell r="I1235">
            <v>0</v>
          </cell>
          <cell r="J1235">
            <v>59812.27</v>
          </cell>
          <cell r="K1235">
            <v>29864.01</v>
          </cell>
          <cell r="L1235">
            <v>0</v>
          </cell>
        </row>
        <row r="1236">
          <cell r="A1236">
            <v>4</v>
          </cell>
          <cell r="B1236">
            <v>1</v>
          </cell>
          <cell r="C1236">
            <v>374</v>
          </cell>
          <cell r="D1236" t="str">
            <v xml:space="preserve">  </v>
          </cell>
          <cell r="E1236" t="str">
            <v xml:space="preserve">    </v>
          </cell>
          <cell r="F1236" t="str">
            <v xml:space="preserve">   </v>
          </cell>
          <cell r="G1236">
            <v>41374</v>
          </cell>
          <cell r="H1236">
            <v>89738.49</v>
          </cell>
          <cell r="I1236">
            <v>0</v>
          </cell>
          <cell r="J1236">
            <v>59874.57</v>
          </cell>
          <cell r="K1236">
            <v>29863.919999999998</v>
          </cell>
          <cell r="L1236">
            <v>0</v>
          </cell>
        </row>
        <row r="1237">
          <cell r="A1237">
            <v>5</v>
          </cell>
          <cell r="B1237">
            <v>1</v>
          </cell>
          <cell r="C1237">
            <v>374</v>
          </cell>
          <cell r="D1237" t="str">
            <v xml:space="preserve">  </v>
          </cell>
          <cell r="E1237" t="str">
            <v xml:space="preserve">    </v>
          </cell>
          <cell r="F1237" t="str">
            <v xml:space="preserve">   </v>
          </cell>
          <cell r="G1237">
            <v>51374</v>
          </cell>
          <cell r="H1237">
            <v>89676.26</v>
          </cell>
          <cell r="I1237">
            <v>0</v>
          </cell>
          <cell r="J1237">
            <v>59812.26</v>
          </cell>
          <cell r="K1237">
            <v>29864</v>
          </cell>
          <cell r="L1237">
            <v>0</v>
          </cell>
        </row>
        <row r="1238">
          <cell r="A1238">
            <v>3</v>
          </cell>
          <cell r="B1238">
            <v>1</v>
          </cell>
          <cell r="C1238">
            <v>375</v>
          </cell>
          <cell r="D1238" t="str">
            <v xml:space="preserve">  </v>
          </cell>
          <cell r="E1238" t="str">
            <v xml:space="preserve">    </v>
          </cell>
          <cell r="F1238" t="str">
            <v xml:space="preserve">   </v>
          </cell>
          <cell r="G1238">
            <v>31375</v>
          </cell>
          <cell r="H1238">
            <v>321476.56</v>
          </cell>
          <cell r="I1238">
            <v>21450.12</v>
          </cell>
          <cell r="J1238">
            <v>210392.82</v>
          </cell>
          <cell r="K1238">
            <v>89633.62</v>
          </cell>
          <cell r="L1238">
            <v>0</v>
          </cell>
        </row>
        <row r="1239">
          <cell r="A1239">
            <v>4</v>
          </cell>
          <cell r="B1239">
            <v>1</v>
          </cell>
          <cell r="C1239">
            <v>375</v>
          </cell>
          <cell r="D1239" t="str">
            <v xml:space="preserve">  </v>
          </cell>
          <cell r="E1239" t="str">
            <v xml:space="preserve">    </v>
          </cell>
          <cell r="F1239" t="str">
            <v xml:space="preserve">   </v>
          </cell>
          <cell r="G1239">
            <v>41375</v>
          </cell>
          <cell r="H1239">
            <v>310461.21999999997</v>
          </cell>
          <cell r="I1239">
            <v>21450.11</v>
          </cell>
          <cell r="J1239">
            <v>202286.18</v>
          </cell>
          <cell r="K1239">
            <v>86724.93</v>
          </cell>
          <cell r="L1239">
            <v>0</v>
          </cell>
        </row>
        <row r="1240">
          <cell r="A1240">
            <v>5</v>
          </cell>
          <cell r="B1240">
            <v>1</v>
          </cell>
          <cell r="C1240">
            <v>375</v>
          </cell>
          <cell r="D1240" t="str">
            <v xml:space="preserve">  </v>
          </cell>
          <cell r="E1240" t="str">
            <v xml:space="preserve">    </v>
          </cell>
          <cell r="F1240" t="str">
            <v xml:space="preserve">   </v>
          </cell>
          <cell r="G1240">
            <v>51375</v>
          </cell>
          <cell r="H1240">
            <v>320480.53000000003</v>
          </cell>
          <cell r="I1240">
            <v>21450.12</v>
          </cell>
          <cell r="J1240">
            <v>209396.79</v>
          </cell>
          <cell r="K1240">
            <v>89633.62</v>
          </cell>
          <cell r="L1240">
            <v>0</v>
          </cell>
        </row>
        <row r="1241">
          <cell r="A1241">
            <v>3</v>
          </cell>
          <cell r="B1241">
            <v>1</v>
          </cell>
          <cell r="C1241">
            <v>376</v>
          </cell>
          <cell r="D1241" t="str">
            <v xml:space="preserve">  </v>
          </cell>
          <cell r="E1241" t="str">
            <v xml:space="preserve">    </v>
          </cell>
          <cell r="F1241" t="str">
            <v xml:space="preserve">   </v>
          </cell>
          <cell r="G1241">
            <v>31376</v>
          </cell>
          <cell r="H1241">
            <v>114801002</v>
          </cell>
          <cell r="I1241">
            <v>2541478.79</v>
          </cell>
          <cell r="J1241">
            <v>71679289.25</v>
          </cell>
          <cell r="K1241">
            <v>40580233.960000001</v>
          </cell>
          <cell r="L1241">
            <v>0</v>
          </cell>
        </row>
        <row r="1242">
          <cell r="A1242">
            <v>4</v>
          </cell>
          <cell r="B1242">
            <v>1</v>
          </cell>
          <cell r="C1242">
            <v>376</v>
          </cell>
          <cell r="D1242" t="str">
            <v xml:space="preserve">  </v>
          </cell>
          <cell r="E1242" t="str">
            <v xml:space="preserve">    </v>
          </cell>
          <cell r="F1242" t="str">
            <v xml:space="preserve">   </v>
          </cell>
          <cell r="G1242">
            <v>41376</v>
          </cell>
          <cell r="H1242">
            <v>111221251.42</v>
          </cell>
          <cell r="I1242">
            <v>2513727.33</v>
          </cell>
          <cell r="J1242">
            <v>69459328.969999999</v>
          </cell>
          <cell r="K1242">
            <v>39248195.130000003</v>
          </cell>
          <cell r="L1242">
            <v>0</v>
          </cell>
        </row>
        <row r="1243">
          <cell r="A1243">
            <v>5</v>
          </cell>
          <cell r="B1243">
            <v>1</v>
          </cell>
          <cell r="C1243">
            <v>376</v>
          </cell>
          <cell r="D1243" t="str">
            <v xml:space="preserve">  </v>
          </cell>
          <cell r="E1243" t="str">
            <v xml:space="preserve">    </v>
          </cell>
          <cell r="F1243" t="str">
            <v xml:space="preserve">   </v>
          </cell>
          <cell r="G1243">
            <v>51376</v>
          </cell>
          <cell r="H1243">
            <v>114501299.98</v>
          </cell>
          <cell r="I1243">
            <v>2526999.7799999998</v>
          </cell>
          <cell r="J1243">
            <v>71536348.599999994</v>
          </cell>
          <cell r="K1243">
            <v>40437951.600000001</v>
          </cell>
          <cell r="L1243">
            <v>0</v>
          </cell>
        </row>
        <row r="1244">
          <cell r="A1244">
            <v>3</v>
          </cell>
          <cell r="B1244">
            <v>1</v>
          </cell>
          <cell r="C1244">
            <v>378</v>
          </cell>
          <cell r="D1244" t="str">
            <v xml:space="preserve">  </v>
          </cell>
          <cell r="E1244" t="str">
            <v xml:space="preserve">    </v>
          </cell>
          <cell r="F1244" t="str">
            <v xml:space="preserve">   </v>
          </cell>
          <cell r="G1244">
            <v>31378</v>
          </cell>
          <cell r="H1244">
            <v>2020091.32</v>
          </cell>
          <cell r="I1244">
            <v>30703.37</v>
          </cell>
          <cell r="J1244">
            <v>1133890.72</v>
          </cell>
          <cell r="K1244">
            <v>855497.23</v>
          </cell>
          <cell r="L1244">
            <v>0</v>
          </cell>
        </row>
        <row r="1245">
          <cell r="A1245">
            <v>4</v>
          </cell>
          <cell r="B1245">
            <v>1</v>
          </cell>
          <cell r="C1245">
            <v>378</v>
          </cell>
          <cell r="D1245" t="str">
            <v xml:space="preserve">  </v>
          </cell>
          <cell r="E1245" t="str">
            <v xml:space="preserve">    </v>
          </cell>
          <cell r="F1245" t="str">
            <v xml:space="preserve">   </v>
          </cell>
          <cell r="G1245">
            <v>41378</v>
          </cell>
          <cell r="H1245">
            <v>1915604.52</v>
          </cell>
          <cell r="I1245">
            <v>30703.31</v>
          </cell>
          <cell r="J1245">
            <v>1042491.2</v>
          </cell>
          <cell r="K1245">
            <v>842410.01</v>
          </cell>
          <cell r="L1245">
            <v>0</v>
          </cell>
        </row>
        <row r="1246">
          <cell r="A1246">
            <v>5</v>
          </cell>
          <cell r="B1246">
            <v>1</v>
          </cell>
          <cell r="C1246">
            <v>378</v>
          </cell>
          <cell r="D1246" t="str">
            <v xml:space="preserve">  </v>
          </cell>
          <cell r="E1246" t="str">
            <v xml:space="preserve">    </v>
          </cell>
          <cell r="F1246" t="str">
            <v xml:space="preserve">   </v>
          </cell>
          <cell r="G1246">
            <v>51378</v>
          </cell>
          <cell r="H1246">
            <v>2013687.55</v>
          </cell>
          <cell r="I1246">
            <v>30703.360000000001</v>
          </cell>
          <cell r="J1246">
            <v>1130499.97</v>
          </cell>
          <cell r="K1246">
            <v>852484.22</v>
          </cell>
          <cell r="L1246">
            <v>0</v>
          </cell>
        </row>
        <row r="1247">
          <cell r="A1247">
            <v>3</v>
          </cell>
          <cell r="B1247">
            <v>1</v>
          </cell>
          <cell r="C1247">
            <v>379</v>
          </cell>
          <cell r="D1247" t="str">
            <v xml:space="preserve">  </v>
          </cell>
          <cell r="E1247" t="str">
            <v xml:space="preserve">    </v>
          </cell>
          <cell r="F1247" t="str">
            <v xml:space="preserve">   </v>
          </cell>
          <cell r="G1247">
            <v>31379</v>
          </cell>
          <cell r="H1247">
            <v>922453.29</v>
          </cell>
          <cell r="I1247">
            <v>38661.839999999997</v>
          </cell>
          <cell r="J1247">
            <v>399108.38</v>
          </cell>
          <cell r="K1247">
            <v>484683.07</v>
          </cell>
          <cell r="L1247">
            <v>0</v>
          </cell>
        </row>
        <row r="1248">
          <cell r="A1248">
            <v>4</v>
          </cell>
          <cell r="B1248">
            <v>1</v>
          </cell>
          <cell r="C1248">
            <v>379</v>
          </cell>
          <cell r="D1248" t="str">
            <v xml:space="preserve">  </v>
          </cell>
          <cell r="E1248" t="str">
            <v xml:space="preserve">    </v>
          </cell>
          <cell r="F1248" t="str">
            <v xml:space="preserve">   </v>
          </cell>
          <cell r="G1248">
            <v>41379</v>
          </cell>
          <cell r="H1248">
            <v>914152.16</v>
          </cell>
          <cell r="I1248">
            <v>38661.839999999997</v>
          </cell>
          <cell r="J1248">
            <v>401311.19</v>
          </cell>
          <cell r="K1248">
            <v>474179.13</v>
          </cell>
          <cell r="L1248">
            <v>0</v>
          </cell>
        </row>
        <row r="1249">
          <cell r="A1249">
            <v>5</v>
          </cell>
          <cell r="B1249">
            <v>1</v>
          </cell>
          <cell r="C1249">
            <v>379</v>
          </cell>
          <cell r="D1249" t="str">
            <v xml:space="preserve">  </v>
          </cell>
          <cell r="E1249" t="str">
            <v xml:space="preserve">    </v>
          </cell>
          <cell r="F1249" t="str">
            <v xml:space="preserve">   </v>
          </cell>
          <cell r="G1249">
            <v>51379</v>
          </cell>
          <cell r="H1249">
            <v>922453.28</v>
          </cell>
          <cell r="I1249">
            <v>38661.839999999997</v>
          </cell>
          <cell r="J1249">
            <v>399108.38</v>
          </cell>
          <cell r="K1249">
            <v>484683.06</v>
          </cell>
          <cell r="L1249">
            <v>0</v>
          </cell>
        </row>
        <row r="1250">
          <cell r="A1250">
            <v>3</v>
          </cell>
          <cell r="B1250">
            <v>1</v>
          </cell>
          <cell r="C1250">
            <v>380</v>
          </cell>
          <cell r="D1250" t="str">
            <v xml:space="preserve">  </v>
          </cell>
          <cell r="E1250" t="str">
            <v xml:space="preserve">    </v>
          </cell>
          <cell r="F1250" t="str">
            <v xml:space="preserve">   </v>
          </cell>
          <cell r="G1250">
            <v>31380</v>
          </cell>
          <cell r="H1250">
            <v>86758387.359999999</v>
          </cell>
          <cell r="I1250">
            <v>76.03</v>
          </cell>
          <cell r="J1250">
            <v>60557381.170000002</v>
          </cell>
          <cell r="K1250">
            <v>26200930.16</v>
          </cell>
          <cell r="L1250">
            <v>0</v>
          </cell>
        </row>
        <row r="1251">
          <cell r="A1251">
            <v>4</v>
          </cell>
          <cell r="B1251">
            <v>1</v>
          </cell>
          <cell r="C1251">
            <v>380</v>
          </cell>
          <cell r="D1251" t="str">
            <v xml:space="preserve">  </v>
          </cell>
          <cell r="E1251" t="str">
            <v xml:space="preserve">    </v>
          </cell>
          <cell r="F1251" t="str">
            <v xml:space="preserve">   </v>
          </cell>
          <cell r="G1251">
            <v>41380</v>
          </cell>
          <cell r="H1251">
            <v>84093125.230000004</v>
          </cell>
          <cell r="I1251">
            <v>305.27999999999997</v>
          </cell>
          <cell r="J1251">
            <v>59147945.439999998</v>
          </cell>
          <cell r="K1251">
            <v>24944874.52</v>
          </cell>
          <cell r="L1251">
            <v>0</v>
          </cell>
        </row>
        <row r="1252">
          <cell r="A1252">
            <v>5</v>
          </cell>
          <cell r="B1252">
            <v>1</v>
          </cell>
          <cell r="C1252">
            <v>380</v>
          </cell>
          <cell r="D1252" t="str">
            <v xml:space="preserve">  </v>
          </cell>
          <cell r="E1252" t="str">
            <v xml:space="preserve">    </v>
          </cell>
          <cell r="F1252" t="str">
            <v xml:space="preserve">   </v>
          </cell>
          <cell r="G1252">
            <v>51380</v>
          </cell>
          <cell r="H1252">
            <v>86555870.930000007</v>
          </cell>
          <cell r="I1252">
            <v>76.02</v>
          </cell>
          <cell r="J1252">
            <v>60605336.789999999</v>
          </cell>
          <cell r="K1252">
            <v>25950458.129999999</v>
          </cell>
          <cell r="L1252">
            <v>0</v>
          </cell>
        </row>
        <row r="1253">
          <cell r="A1253">
            <v>3</v>
          </cell>
          <cell r="B1253">
            <v>1</v>
          </cell>
          <cell r="C1253">
            <v>381</v>
          </cell>
          <cell r="D1253" t="str">
            <v xml:space="preserve">  </v>
          </cell>
          <cell r="E1253" t="str">
            <v xml:space="preserve">    </v>
          </cell>
          <cell r="F1253" t="str">
            <v xml:space="preserve">   </v>
          </cell>
          <cell r="G1253">
            <v>31381</v>
          </cell>
          <cell r="H1253">
            <v>17061953.260000002</v>
          </cell>
          <cell r="I1253">
            <v>745326.28</v>
          </cell>
          <cell r="J1253">
            <v>12367265.220000001</v>
          </cell>
          <cell r="K1253">
            <v>3949361.76</v>
          </cell>
          <cell r="L1253">
            <v>0</v>
          </cell>
        </row>
        <row r="1254">
          <cell r="A1254">
            <v>4</v>
          </cell>
          <cell r="B1254">
            <v>1</v>
          </cell>
          <cell r="C1254">
            <v>381</v>
          </cell>
          <cell r="D1254" t="str">
            <v xml:space="preserve">  </v>
          </cell>
          <cell r="E1254" t="str">
            <v xml:space="preserve">    </v>
          </cell>
          <cell r="F1254" t="str">
            <v xml:space="preserve">   </v>
          </cell>
          <cell r="G1254">
            <v>41381</v>
          </cell>
          <cell r="H1254">
            <v>16396256.43</v>
          </cell>
          <cell r="I1254">
            <v>567008.49</v>
          </cell>
          <cell r="J1254">
            <v>11989047.810000001</v>
          </cell>
          <cell r="K1254">
            <v>3840200.13</v>
          </cell>
          <cell r="L1254">
            <v>0</v>
          </cell>
        </row>
        <row r="1255">
          <cell r="A1255">
            <v>5</v>
          </cell>
          <cell r="B1255">
            <v>1</v>
          </cell>
          <cell r="C1255">
            <v>381</v>
          </cell>
          <cell r="D1255" t="str">
            <v xml:space="preserve">  </v>
          </cell>
          <cell r="E1255" t="str">
            <v xml:space="preserve">    </v>
          </cell>
          <cell r="F1255" t="str">
            <v xml:space="preserve">   </v>
          </cell>
          <cell r="G1255">
            <v>51381</v>
          </cell>
          <cell r="H1255">
            <v>17024666.969999999</v>
          </cell>
          <cell r="I1255">
            <v>735841.64</v>
          </cell>
          <cell r="J1255">
            <v>12350244.439999999</v>
          </cell>
          <cell r="K1255">
            <v>3938580.89</v>
          </cell>
          <cell r="L1255">
            <v>0</v>
          </cell>
        </row>
        <row r="1256">
          <cell r="A1256">
            <v>3</v>
          </cell>
          <cell r="B1256">
            <v>1</v>
          </cell>
          <cell r="C1256">
            <v>382</v>
          </cell>
          <cell r="D1256" t="str">
            <v xml:space="preserve">  </v>
          </cell>
          <cell r="E1256" t="str">
            <v xml:space="preserve">    </v>
          </cell>
          <cell r="F1256" t="str">
            <v xml:space="preserve">   </v>
          </cell>
          <cell r="G1256">
            <v>31382</v>
          </cell>
          <cell r="H1256">
            <v>4386838.3</v>
          </cell>
          <cell r="I1256">
            <v>0</v>
          </cell>
          <cell r="J1256">
            <v>3054497.92</v>
          </cell>
          <cell r="K1256">
            <v>1332340.3799999999</v>
          </cell>
          <cell r="L1256">
            <v>0</v>
          </cell>
        </row>
        <row r="1257">
          <cell r="A1257">
            <v>4</v>
          </cell>
          <cell r="B1257">
            <v>1</v>
          </cell>
          <cell r="C1257">
            <v>382</v>
          </cell>
          <cell r="D1257" t="str">
            <v xml:space="preserve">  </v>
          </cell>
          <cell r="E1257" t="str">
            <v xml:space="preserve">    </v>
          </cell>
          <cell r="F1257" t="str">
            <v xml:space="preserve">   </v>
          </cell>
          <cell r="G1257">
            <v>41382</v>
          </cell>
          <cell r="H1257">
            <v>4372486.03</v>
          </cell>
          <cell r="I1257">
            <v>0</v>
          </cell>
          <cell r="J1257">
            <v>3045914.88</v>
          </cell>
          <cell r="K1257">
            <v>1326571.1499999999</v>
          </cell>
          <cell r="L1257">
            <v>0</v>
          </cell>
        </row>
        <row r="1258">
          <cell r="A1258">
            <v>5</v>
          </cell>
          <cell r="B1258">
            <v>1</v>
          </cell>
          <cell r="C1258">
            <v>382</v>
          </cell>
          <cell r="D1258" t="str">
            <v xml:space="preserve">  </v>
          </cell>
          <cell r="E1258" t="str">
            <v xml:space="preserve">    </v>
          </cell>
          <cell r="F1258" t="str">
            <v xml:space="preserve">   </v>
          </cell>
          <cell r="G1258">
            <v>51382</v>
          </cell>
          <cell r="H1258">
            <v>4384335.63</v>
          </cell>
          <cell r="I1258">
            <v>0</v>
          </cell>
          <cell r="J1258">
            <v>3052644.55</v>
          </cell>
          <cell r="K1258">
            <v>1331691.08</v>
          </cell>
          <cell r="L1258">
            <v>0</v>
          </cell>
        </row>
        <row r="1259">
          <cell r="A1259">
            <v>3</v>
          </cell>
          <cell r="B1259">
            <v>1</v>
          </cell>
          <cell r="C1259">
            <v>383</v>
          </cell>
          <cell r="D1259" t="str">
            <v xml:space="preserve">  </v>
          </cell>
          <cell r="E1259" t="str">
            <v xml:space="preserve">    </v>
          </cell>
          <cell r="F1259" t="str">
            <v xml:space="preserve">   </v>
          </cell>
          <cell r="G1259">
            <v>31383</v>
          </cell>
          <cell r="H1259">
            <v>2014423.47</v>
          </cell>
          <cell r="I1259">
            <v>4896.71</v>
          </cell>
          <cell r="J1259">
            <v>1611962.33</v>
          </cell>
          <cell r="K1259">
            <v>397564.43</v>
          </cell>
          <cell r="L1259">
            <v>0</v>
          </cell>
        </row>
        <row r="1260">
          <cell r="A1260">
            <v>4</v>
          </cell>
          <cell r="B1260">
            <v>1</v>
          </cell>
          <cell r="C1260">
            <v>383</v>
          </cell>
          <cell r="D1260" t="str">
            <v xml:space="preserve">  </v>
          </cell>
          <cell r="E1260" t="str">
            <v xml:space="preserve">    </v>
          </cell>
          <cell r="F1260" t="str">
            <v xml:space="preserve">   </v>
          </cell>
          <cell r="G1260">
            <v>41383</v>
          </cell>
          <cell r="H1260">
            <v>2013699.95</v>
          </cell>
          <cell r="I1260">
            <v>4173.76</v>
          </cell>
          <cell r="J1260">
            <v>1611961.89</v>
          </cell>
          <cell r="K1260">
            <v>397564.3</v>
          </cell>
          <cell r="L1260">
            <v>0</v>
          </cell>
        </row>
        <row r="1261">
          <cell r="A1261">
            <v>5</v>
          </cell>
          <cell r="B1261">
            <v>1</v>
          </cell>
          <cell r="C1261">
            <v>383</v>
          </cell>
          <cell r="D1261" t="str">
            <v xml:space="preserve">  </v>
          </cell>
          <cell r="E1261" t="str">
            <v xml:space="preserve">    </v>
          </cell>
          <cell r="F1261" t="str">
            <v xml:space="preserve">   </v>
          </cell>
          <cell r="G1261">
            <v>51383</v>
          </cell>
          <cell r="H1261">
            <v>2014423.42</v>
          </cell>
          <cell r="I1261">
            <v>4896.7</v>
          </cell>
          <cell r="J1261">
            <v>1611962.3</v>
          </cell>
          <cell r="K1261">
            <v>397564.42</v>
          </cell>
          <cell r="L1261">
            <v>0</v>
          </cell>
        </row>
        <row r="1262">
          <cell r="A1262">
            <v>3</v>
          </cell>
          <cell r="B1262">
            <v>1</v>
          </cell>
          <cell r="C1262">
            <v>384</v>
          </cell>
          <cell r="D1262" t="str">
            <v xml:space="preserve">  </v>
          </cell>
          <cell r="E1262" t="str">
            <v xml:space="preserve">    </v>
          </cell>
          <cell r="F1262" t="str">
            <v xml:space="preserve">   </v>
          </cell>
          <cell r="G1262">
            <v>31384</v>
          </cell>
          <cell r="H1262">
            <v>411500.68</v>
          </cell>
          <cell r="I1262">
            <v>0</v>
          </cell>
          <cell r="J1262">
            <v>293436.76</v>
          </cell>
          <cell r="K1262">
            <v>118063.92</v>
          </cell>
          <cell r="L1262">
            <v>0</v>
          </cell>
        </row>
        <row r="1263">
          <cell r="A1263">
            <v>4</v>
          </cell>
          <cell r="B1263">
            <v>1</v>
          </cell>
          <cell r="C1263">
            <v>384</v>
          </cell>
          <cell r="D1263" t="str">
            <v xml:space="preserve">  </v>
          </cell>
          <cell r="E1263" t="str">
            <v xml:space="preserve">    </v>
          </cell>
          <cell r="F1263" t="str">
            <v xml:space="preserve">   </v>
          </cell>
          <cell r="G1263">
            <v>41384</v>
          </cell>
          <cell r="H1263">
            <v>407049.35</v>
          </cell>
          <cell r="I1263">
            <v>0</v>
          </cell>
          <cell r="J1263">
            <v>290266.28000000003</v>
          </cell>
          <cell r="K1263">
            <v>116783.07</v>
          </cell>
          <cell r="L1263">
            <v>0</v>
          </cell>
        </row>
        <row r="1264">
          <cell r="A1264">
            <v>5</v>
          </cell>
          <cell r="B1264">
            <v>1</v>
          </cell>
          <cell r="C1264">
            <v>384</v>
          </cell>
          <cell r="D1264" t="str">
            <v xml:space="preserve">  </v>
          </cell>
          <cell r="E1264" t="str">
            <v xml:space="preserve">    </v>
          </cell>
          <cell r="F1264" t="str">
            <v xml:space="preserve">   </v>
          </cell>
          <cell r="G1264">
            <v>51384</v>
          </cell>
          <cell r="H1264">
            <v>410458.65</v>
          </cell>
          <cell r="I1264">
            <v>0</v>
          </cell>
          <cell r="J1264">
            <v>292922.76</v>
          </cell>
          <cell r="K1264">
            <v>117535.89</v>
          </cell>
          <cell r="L1264">
            <v>0</v>
          </cell>
        </row>
        <row r="1265">
          <cell r="A1265">
            <v>3</v>
          </cell>
          <cell r="B1265">
            <v>1</v>
          </cell>
          <cell r="C1265">
            <v>385</v>
          </cell>
          <cell r="D1265" t="str">
            <v xml:space="preserve">  </v>
          </cell>
          <cell r="E1265" t="str">
            <v xml:space="preserve">    </v>
          </cell>
          <cell r="F1265" t="str">
            <v xml:space="preserve">   </v>
          </cell>
          <cell r="G1265">
            <v>31385</v>
          </cell>
          <cell r="H1265">
            <v>1106779.05</v>
          </cell>
          <cell r="I1265">
            <v>0</v>
          </cell>
          <cell r="J1265">
            <v>855494.85</v>
          </cell>
          <cell r="K1265">
            <v>251284.2</v>
          </cell>
          <cell r="L1265">
            <v>0</v>
          </cell>
        </row>
        <row r="1266">
          <cell r="A1266">
            <v>4</v>
          </cell>
          <cell r="B1266">
            <v>1</v>
          </cell>
          <cell r="C1266">
            <v>385</v>
          </cell>
          <cell r="D1266" t="str">
            <v xml:space="preserve">  </v>
          </cell>
          <cell r="E1266" t="str">
            <v xml:space="preserve">    </v>
          </cell>
          <cell r="F1266" t="str">
            <v xml:space="preserve">   </v>
          </cell>
          <cell r="G1266">
            <v>41385</v>
          </cell>
          <cell r="H1266">
            <v>1057165.4099999999</v>
          </cell>
          <cell r="I1266">
            <v>0</v>
          </cell>
          <cell r="J1266">
            <v>839453.19</v>
          </cell>
          <cell r="K1266">
            <v>217712.22</v>
          </cell>
          <cell r="L1266">
            <v>0</v>
          </cell>
        </row>
        <row r="1267">
          <cell r="A1267">
            <v>5</v>
          </cell>
          <cell r="B1267">
            <v>1</v>
          </cell>
          <cell r="C1267">
            <v>385</v>
          </cell>
          <cell r="D1267" t="str">
            <v xml:space="preserve">  </v>
          </cell>
          <cell r="E1267" t="str">
            <v xml:space="preserve">    </v>
          </cell>
          <cell r="F1267" t="str">
            <v xml:space="preserve">   </v>
          </cell>
          <cell r="G1267">
            <v>51385</v>
          </cell>
          <cell r="H1267">
            <v>1096949.1200000001</v>
          </cell>
          <cell r="I1267">
            <v>0</v>
          </cell>
          <cell r="J1267">
            <v>852145.66</v>
          </cell>
          <cell r="K1267">
            <v>244803.46</v>
          </cell>
          <cell r="L1267">
            <v>0</v>
          </cell>
        </row>
        <row r="1268">
          <cell r="A1268">
            <v>3</v>
          </cell>
          <cell r="B1268">
            <v>1</v>
          </cell>
          <cell r="C1268">
            <v>387</v>
          </cell>
          <cell r="D1268" t="str">
            <v xml:space="preserve">  </v>
          </cell>
          <cell r="E1268" t="str">
            <v xml:space="preserve">    </v>
          </cell>
          <cell r="F1268" t="str">
            <v xml:space="preserve">   </v>
          </cell>
          <cell r="G1268">
            <v>31387</v>
          </cell>
          <cell r="H1268">
            <v>-22.03</v>
          </cell>
          <cell r="I1268">
            <v>0</v>
          </cell>
          <cell r="J1268">
            <v>0</v>
          </cell>
          <cell r="K1268">
            <v>-22.03</v>
          </cell>
          <cell r="L1268">
            <v>0</v>
          </cell>
        </row>
        <row r="1269">
          <cell r="A1269">
            <v>4</v>
          </cell>
          <cell r="B1269">
            <v>1</v>
          </cell>
          <cell r="C1269">
            <v>387</v>
          </cell>
          <cell r="D1269" t="str">
            <v xml:space="preserve">  </v>
          </cell>
          <cell r="E1269" t="str">
            <v xml:space="preserve">    </v>
          </cell>
          <cell r="F1269" t="str">
            <v xml:space="preserve">   </v>
          </cell>
          <cell r="G1269">
            <v>41387</v>
          </cell>
          <cell r="H1269">
            <v>427.94</v>
          </cell>
          <cell r="I1269">
            <v>0</v>
          </cell>
          <cell r="J1269">
            <v>289.26</v>
          </cell>
          <cell r="K1269">
            <v>138.68</v>
          </cell>
          <cell r="L1269">
            <v>0</v>
          </cell>
        </row>
        <row r="1270">
          <cell r="A1270">
            <v>5</v>
          </cell>
          <cell r="B1270">
            <v>1</v>
          </cell>
          <cell r="C1270">
            <v>387</v>
          </cell>
          <cell r="D1270" t="str">
            <v xml:space="preserve">  </v>
          </cell>
          <cell r="E1270" t="str">
            <v xml:space="preserve">    </v>
          </cell>
          <cell r="F1270" t="str">
            <v xml:space="preserve">   </v>
          </cell>
          <cell r="G1270">
            <v>51387</v>
          </cell>
          <cell r="H1270">
            <v>-22</v>
          </cell>
          <cell r="I1270">
            <v>0</v>
          </cell>
          <cell r="J1270">
            <v>0</v>
          </cell>
          <cell r="K1270">
            <v>-22.02</v>
          </cell>
          <cell r="L1270">
            <v>0</v>
          </cell>
        </row>
        <row r="1271">
          <cell r="A1271">
            <v>3</v>
          </cell>
          <cell r="B1271">
            <v>1</v>
          </cell>
          <cell r="C1271">
            <v>390</v>
          </cell>
          <cell r="D1271" t="str">
            <v xml:space="preserve">  </v>
          </cell>
          <cell r="E1271" t="str">
            <v xml:space="preserve">    </v>
          </cell>
          <cell r="F1271" t="str">
            <v xml:space="preserve">   </v>
          </cell>
          <cell r="G1271">
            <v>31390</v>
          </cell>
          <cell r="H1271">
            <v>152910.93</v>
          </cell>
          <cell r="I1271">
            <v>140754.14000000001</v>
          </cell>
          <cell r="J1271">
            <v>0</v>
          </cell>
          <cell r="K1271">
            <v>12156.79</v>
          </cell>
          <cell r="L1271">
            <v>0</v>
          </cell>
        </row>
        <row r="1272">
          <cell r="A1272">
            <v>4</v>
          </cell>
          <cell r="B1272">
            <v>1</v>
          </cell>
          <cell r="C1272">
            <v>390</v>
          </cell>
          <cell r="D1272" t="str">
            <v xml:space="preserve">  </v>
          </cell>
          <cell r="E1272" t="str">
            <v xml:space="preserve">    </v>
          </cell>
          <cell r="F1272" t="str">
            <v xml:space="preserve">   </v>
          </cell>
          <cell r="G1272">
            <v>41390</v>
          </cell>
          <cell r="H1272">
            <v>152910.73000000001</v>
          </cell>
          <cell r="I1272">
            <v>140754.01999999999</v>
          </cell>
          <cell r="J1272">
            <v>0</v>
          </cell>
          <cell r="K1272">
            <v>12156.72</v>
          </cell>
          <cell r="L1272">
            <v>0</v>
          </cell>
        </row>
        <row r="1273">
          <cell r="A1273">
            <v>5</v>
          </cell>
          <cell r="B1273">
            <v>1</v>
          </cell>
          <cell r="C1273">
            <v>390</v>
          </cell>
          <cell r="D1273" t="str">
            <v xml:space="preserve">  </v>
          </cell>
          <cell r="E1273" t="str">
            <v xml:space="preserve">    </v>
          </cell>
          <cell r="F1273" t="str">
            <v xml:space="preserve">   </v>
          </cell>
          <cell r="G1273">
            <v>51390</v>
          </cell>
          <cell r="H1273">
            <v>152910.93</v>
          </cell>
          <cell r="I1273">
            <v>140754.14000000001</v>
          </cell>
          <cell r="J1273">
            <v>0</v>
          </cell>
          <cell r="K1273">
            <v>12156.79</v>
          </cell>
          <cell r="L1273">
            <v>0</v>
          </cell>
        </row>
        <row r="1274">
          <cell r="A1274">
            <v>3</v>
          </cell>
          <cell r="B1274">
            <v>1</v>
          </cell>
          <cell r="C1274">
            <v>392</v>
          </cell>
          <cell r="D1274" t="str">
            <v xml:space="preserve">  </v>
          </cell>
          <cell r="E1274" t="str">
            <v xml:space="preserve">    </v>
          </cell>
          <cell r="F1274" t="str">
            <v xml:space="preserve">   </v>
          </cell>
          <cell r="G1274">
            <v>31392</v>
          </cell>
          <cell r="H1274">
            <v>1973766.88</v>
          </cell>
          <cell r="I1274">
            <v>355973.02</v>
          </cell>
          <cell r="J1274">
            <v>1244142.1399999999</v>
          </cell>
          <cell r="K1274">
            <v>373651.72</v>
          </cell>
          <cell r="L1274">
            <v>0</v>
          </cell>
        </row>
        <row r="1275">
          <cell r="A1275">
            <v>4</v>
          </cell>
          <cell r="B1275">
            <v>1</v>
          </cell>
          <cell r="C1275">
            <v>392</v>
          </cell>
          <cell r="D1275" t="str">
            <v xml:space="preserve">  </v>
          </cell>
          <cell r="E1275" t="str">
            <v xml:space="preserve">    </v>
          </cell>
          <cell r="F1275" t="str">
            <v xml:space="preserve">   </v>
          </cell>
          <cell r="G1275">
            <v>41392</v>
          </cell>
          <cell r="H1275">
            <v>1951009.77</v>
          </cell>
          <cell r="I1275">
            <v>335166.34999999998</v>
          </cell>
          <cell r="J1275">
            <v>1244142.1200000001</v>
          </cell>
          <cell r="K1275">
            <v>371701.35</v>
          </cell>
          <cell r="L1275">
            <v>0</v>
          </cell>
        </row>
        <row r="1276">
          <cell r="A1276">
            <v>5</v>
          </cell>
          <cell r="B1276">
            <v>1</v>
          </cell>
          <cell r="C1276">
            <v>392</v>
          </cell>
          <cell r="D1276" t="str">
            <v xml:space="preserve">  </v>
          </cell>
          <cell r="E1276" t="str">
            <v xml:space="preserve">    </v>
          </cell>
          <cell r="F1276" t="str">
            <v xml:space="preserve">   </v>
          </cell>
          <cell r="G1276">
            <v>51392</v>
          </cell>
          <cell r="H1276">
            <v>1972931.63</v>
          </cell>
          <cell r="I1276">
            <v>355137.79</v>
          </cell>
          <cell r="J1276">
            <v>1244142.1399999999</v>
          </cell>
          <cell r="K1276">
            <v>373651.72</v>
          </cell>
          <cell r="L1276">
            <v>0</v>
          </cell>
        </row>
        <row r="1277">
          <cell r="A1277">
            <v>3</v>
          </cell>
          <cell r="B1277">
            <v>1</v>
          </cell>
          <cell r="C1277">
            <v>393</v>
          </cell>
          <cell r="D1277" t="str">
            <v xml:space="preserve">  </v>
          </cell>
          <cell r="E1277" t="str">
            <v xml:space="preserve">    </v>
          </cell>
          <cell r="F1277" t="str">
            <v xml:space="preserve">   </v>
          </cell>
          <cell r="G1277">
            <v>31393</v>
          </cell>
          <cell r="H1277">
            <v>23687.64</v>
          </cell>
          <cell r="I1277">
            <v>0</v>
          </cell>
          <cell r="J1277">
            <v>23687.64</v>
          </cell>
          <cell r="K1277">
            <v>0</v>
          </cell>
          <cell r="L1277">
            <v>0</v>
          </cell>
        </row>
        <row r="1278">
          <cell r="A1278">
            <v>4</v>
          </cell>
          <cell r="B1278">
            <v>1</v>
          </cell>
          <cell r="C1278">
            <v>393</v>
          </cell>
          <cell r="D1278" t="str">
            <v xml:space="preserve">  </v>
          </cell>
          <cell r="E1278" t="str">
            <v xml:space="preserve">    </v>
          </cell>
          <cell r="F1278" t="str">
            <v xml:space="preserve">   </v>
          </cell>
          <cell r="G1278">
            <v>41393</v>
          </cell>
          <cell r="H1278">
            <v>23687.63</v>
          </cell>
          <cell r="I1278">
            <v>0</v>
          </cell>
          <cell r="J1278">
            <v>23687.63</v>
          </cell>
          <cell r="K1278">
            <v>0</v>
          </cell>
          <cell r="L1278">
            <v>0</v>
          </cell>
        </row>
        <row r="1279">
          <cell r="A1279">
            <v>5</v>
          </cell>
          <cell r="B1279">
            <v>1</v>
          </cell>
          <cell r="C1279">
            <v>393</v>
          </cell>
          <cell r="D1279" t="str">
            <v xml:space="preserve">  </v>
          </cell>
          <cell r="E1279" t="str">
            <v xml:space="preserve">    </v>
          </cell>
          <cell r="F1279" t="str">
            <v xml:space="preserve">   </v>
          </cell>
          <cell r="G1279">
            <v>51393</v>
          </cell>
          <cell r="H1279">
            <v>23687.64</v>
          </cell>
          <cell r="I1279">
            <v>0</v>
          </cell>
          <cell r="J1279">
            <v>23687.64</v>
          </cell>
          <cell r="K1279">
            <v>0</v>
          </cell>
          <cell r="L1279">
            <v>0</v>
          </cell>
        </row>
        <row r="1280">
          <cell r="A1280">
            <v>3</v>
          </cell>
          <cell r="B1280">
            <v>1</v>
          </cell>
          <cell r="C1280">
            <v>394</v>
          </cell>
          <cell r="D1280" t="str">
            <v xml:space="preserve">  </v>
          </cell>
          <cell r="E1280" t="str">
            <v xml:space="preserve">    </v>
          </cell>
          <cell r="F1280" t="str">
            <v xml:space="preserve">   </v>
          </cell>
          <cell r="G1280">
            <v>31394</v>
          </cell>
          <cell r="H1280">
            <v>890735.08</v>
          </cell>
          <cell r="I1280">
            <v>160318.79999999999</v>
          </cell>
          <cell r="J1280">
            <v>523816.56</v>
          </cell>
          <cell r="K1280">
            <v>206599.72</v>
          </cell>
          <cell r="L1280">
            <v>0</v>
          </cell>
        </row>
        <row r="1281">
          <cell r="A1281">
            <v>4</v>
          </cell>
          <cell r="B1281">
            <v>1</v>
          </cell>
          <cell r="C1281">
            <v>394</v>
          </cell>
          <cell r="D1281" t="str">
            <v xml:space="preserve">  </v>
          </cell>
          <cell r="E1281" t="str">
            <v xml:space="preserve">    </v>
          </cell>
          <cell r="F1281" t="str">
            <v xml:space="preserve">   </v>
          </cell>
          <cell r="G1281">
            <v>41394</v>
          </cell>
          <cell r="H1281">
            <v>864008.99</v>
          </cell>
          <cell r="I1281">
            <v>154015.21</v>
          </cell>
          <cell r="J1281">
            <v>510914.08</v>
          </cell>
          <cell r="K1281">
            <v>199079.77</v>
          </cell>
          <cell r="L1281">
            <v>0</v>
          </cell>
        </row>
        <row r="1282">
          <cell r="A1282">
            <v>5</v>
          </cell>
          <cell r="B1282">
            <v>1</v>
          </cell>
          <cell r="C1282">
            <v>394</v>
          </cell>
          <cell r="D1282" t="str">
            <v xml:space="preserve">  </v>
          </cell>
          <cell r="E1282" t="str">
            <v xml:space="preserve">    </v>
          </cell>
          <cell r="F1282" t="str">
            <v xml:space="preserve">   </v>
          </cell>
          <cell r="G1282">
            <v>51394</v>
          </cell>
          <cell r="H1282">
            <v>890735.07</v>
          </cell>
          <cell r="I1282">
            <v>160318.79999999999</v>
          </cell>
          <cell r="J1282">
            <v>523816.55</v>
          </cell>
          <cell r="K1282">
            <v>206599.72</v>
          </cell>
          <cell r="L1282">
            <v>0</v>
          </cell>
        </row>
        <row r="1283">
          <cell r="A1283">
            <v>3</v>
          </cell>
          <cell r="B1283">
            <v>1</v>
          </cell>
          <cell r="C1283">
            <v>395</v>
          </cell>
          <cell r="D1283" t="str">
            <v xml:space="preserve">  </v>
          </cell>
          <cell r="E1283" t="str">
            <v xml:space="preserve">    </v>
          </cell>
          <cell r="F1283" t="str">
            <v xml:space="preserve">   </v>
          </cell>
          <cell r="G1283">
            <v>31395</v>
          </cell>
          <cell r="H1283">
            <v>435110.63</v>
          </cell>
          <cell r="I1283">
            <v>242938.42</v>
          </cell>
          <cell r="J1283">
            <v>143809.10999999999</v>
          </cell>
          <cell r="K1283">
            <v>48363.1</v>
          </cell>
          <cell r="L1283">
            <v>0</v>
          </cell>
        </row>
        <row r="1284">
          <cell r="A1284">
            <v>4</v>
          </cell>
          <cell r="B1284">
            <v>1</v>
          </cell>
          <cell r="C1284">
            <v>395</v>
          </cell>
          <cell r="D1284" t="str">
            <v xml:space="preserve">  </v>
          </cell>
          <cell r="E1284" t="str">
            <v xml:space="preserve">    </v>
          </cell>
          <cell r="F1284" t="str">
            <v xml:space="preserve">   </v>
          </cell>
          <cell r="G1284">
            <v>41395</v>
          </cell>
          <cell r="H1284">
            <v>428551.05</v>
          </cell>
          <cell r="I1284">
            <v>241721.12</v>
          </cell>
          <cell r="J1284">
            <v>139442.56</v>
          </cell>
          <cell r="K1284">
            <v>47387.39</v>
          </cell>
          <cell r="L1284">
            <v>0</v>
          </cell>
        </row>
        <row r="1285">
          <cell r="A1285">
            <v>5</v>
          </cell>
          <cell r="B1285">
            <v>1</v>
          </cell>
          <cell r="C1285">
            <v>395</v>
          </cell>
          <cell r="D1285" t="str">
            <v xml:space="preserve">  </v>
          </cell>
          <cell r="E1285" t="str">
            <v xml:space="preserve">    </v>
          </cell>
          <cell r="F1285" t="str">
            <v xml:space="preserve">   </v>
          </cell>
          <cell r="G1285">
            <v>51395</v>
          </cell>
          <cell r="H1285">
            <v>435110.61</v>
          </cell>
          <cell r="I1285">
            <v>242938.41</v>
          </cell>
          <cell r="J1285">
            <v>143809.10999999999</v>
          </cell>
          <cell r="K1285">
            <v>48363.1</v>
          </cell>
          <cell r="L1285">
            <v>0</v>
          </cell>
        </row>
        <row r="1286">
          <cell r="A1286">
            <v>3</v>
          </cell>
          <cell r="B1286">
            <v>1</v>
          </cell>
          <cell r="C1286">
            <v>396</v>
          </cell>
          <cell r="D1286" t="str">
            <v xml:space="preserve">  </v>
          </cell>
          <cell r="E1286" t="str">
            <v xml:space="preserve">    </v>
          </cell>
          <cell r="F1286" t="str">
            <v xml:space="preserve">   </v>
          </cell>
          <cell r="G1286">
            <v>31396</v>
          </cell>
          <cell r="H1286">
            <v>2056287.53</v>
          </cell>
          <cell r="I1286">
            <v>381633.09</v>
          </cell>
          <cell r="J1286">
            <v>1270600.27</v>
          </cell>
          <cell r="K1286">
            <v>404054.17</v>
          </cell>
          <cell r="L1286">
            <v>0</v>
          </cell>
        </row>
        <row r="1287">
          <cell r="A1287">
            <v>4</v>
          </cell>
          <cell r="B1287">
            <v>1</v>
          </cell>
          <cell r="C1287">
            <v>396</v>
          </cell>
          <cell r="D1287" t="str">
            <v xml:space="preserve">  </v>
          </cell>
          <cell r="E1287" t="str">
            <v xml:space="preserve">    </v>
          </cell>
          <cell r="F1287" t="str">
            <v xml:space="preserve">   </v>
          </cell>
          <cell r="G1287">
            <v>41396</v>
          </cell>
          <cell r="H1287">
            <v>2056287.22</v>
          </cell>
          <cell r="I1287">
            <v>381633</v>
          </cell>
          <cell r="J1287">
            <v>1270600.21</v>
          </cell>
          <cell r="K1287">
            <v>404054.04</v>
          </cell>
          <cell r="L1287">
            <v>0</v>
          </cell>
        </row>
        <row r="1288">
          <cell r="A1288">
            <v>5</v>
          </cell>
          <cell r="B1288">
            <v>1</v>
          </cell>
          <cell r="C1288">
            <v>396</v>
          </cell>
          <cell r="D1288" t="str">
            <v xml:space="preserve">  </v>
          </cell>
          <cell r="E1288" t="str">
            <v xml:space="preserve">    </v>
          </cell>
          <cell r="F1288" t="str">
            <v xml:space="preserve">   </v>
          </cell>
          <cell r="G1288">
            <v>51396</v>
          </cell>
          <cell r="H1288">
            <v>2056287.51</v>
          </cell>
          <cell r="I1288">
            <v>381633.08</v>
          </cell>
          <cell r="J1288">
            <v>1270600.27</v>
          </cell>
          <cell r="K1288">
            <v>404054.16</v>
          </cell>
          <cell r="L1288">
            <v>0</v>
          </cell>
        </row>
        <row r="1289">
          <cell r="A1289">
            <v>3</v>
          </cell>
          <cell r="B1289">
            <v>1</v>
          </cell>
          <cell r="C1289">
            <v>397</v>
          </cell>
          <cell r="D1289" t="str">
            <v xml:space="preserve">  </v>
          </cell>
          <cell r="E1289" t="str">
            <v xml:space="preserve">    </v>
          </cell>
          <cell r="F1289" t="str">
            <v xml:space="preserve">   </v>
          </cell>
          <cell r="G1289">
            <v>31397</v>
          </cell>
          <cell r="H1289">
            <v>549507.91</v>
          </cell>
          <cell r="I1289">
            <v>2918.77</v>
          </cell>
          <cell r="J1289">
            <v>279240.43</v>
          </cell>
          <cell r="K1289">
            <v>267348.71000000002</v>
          </cell>
          <cell r="L1289">
            <v>0</v>
          </cell>
        </row>
        <row r="1290">
          <cell r="A1290">
            <v>4</v>
          </cell>
          <cell r="B1290">
            <v>1</v>
          </cell>
          <cell r="C1290">
            <v>397</v>
          </cell>
          <cell r="D1290" t="str">
            <v xml:space="preserve">  </v>
          </cell>
          <cell r="E1290" t="str">
            <v xml:space="preserve">    </v>
          </cell>
          <cell r="F1290" t="str">
            <v xml:space="preserve">   </v>
          </cell>
          <cell r="G1290">
            <v>41397</v>
          </cell>
          <cell r="H1290">
            <v>545693.53</v>
          </cell>
          <cell r="I1290">
            <v>2918.46</v>
          </cell>
          <cell r="J1290">
            <v>280264</v>
          </cell>
          <cell r="K1290">
            <v>262511.18</v>
          </cell>
          <cell r="L1290">
            <v>0</v>
          </cell>
        </row>
        <row r="1291">
          <cell r="A1291">
            <v>5</v>
          </cell>
          <cell r="B1291">
            <v>1</v>
          </cell>
          <cell r="C1291">
            <v>397</v>
          </cell>
          <cell r="D1291" t="str">
            <v xml:space="preserve">  </v>
          </cell>
          <cell r="E1291" t="str">
            <v xml:space="preserve">    </v>
          </cell>
          <cell r="F1291" t="str">
            <v xml:space="preserve">   </v>
          </cell>
          <cell r="G1291">
            <v>51397</v>
          </cell>
          <cell r="H1291">
            <v>550542.06000000006</v>
          </cell>
          <cell r="I1291">
            <v>2918.77</v>
          </cell>
          <cell r="J1291">
            <v>280274.65999999997</v>
          </cell>
          <cell r="K1291">
            <v>267348.68</v>
          </cell>
          <cell r="L1291">
            <v>0</v>
          </cell>
        </row>
        <row r="1292">
          <cell r="A1292">
            <v>3</v>
          </cell>
          <cell r="B1292">
            <v>1</v>
          </cell>
          <cell r="C1292">
            <v>398</v>
          </cell>
          <cell r="D1292" t="str">
            <v xml:space="preserve">  </v>
          </cell>
          <cell r="E1292" t="str">
            <v xml:space="preserve">    </v>
          </cell>
          <cell r="F1292" t="str">
            <v xml:space="preserve">   </v>
          </cell>
          <cell r="G1292">
            <v>31398</v>
          </cell>
          <cell r="H1292">
            <v>31332</v>
          </cell>
          <cell r="I1292">
            <v>31332</v>
          </cell>
          <cell r="J1292">
            <v>0</v>
          </cell>
          <cell r="K1292">
            <v>0</v>
          </cell>
          <cell r="L1292">
            <v>0</v>
          </cell>
        </row>
        <row r="1293">
          <cell r="A1293">
            <v>4</v>
          </cell>
          <cell r="B1293">
            <v>1</v>
          </cell>
          <cell r="C1293">
            <v>398</v>
          </cell>
          <cell r="D1293" t="str">
            <v xml:space="preserve">  </v>
          </cell>
          <cell r="E1293" t="str">
            <v xml:space="preserve">    </v>
          </cell>
          <cell r="F1293" t="str">
            <v xml:space="preserve">   </v>
          </cell>
          <cell r="G1293">
            <v>41398</v>
          </cell>
          <cell r="H1293">
            <v>31331.759999999998</v>
          </cell>
          <cell r="I1293">
            <v>31332</v>
          </cell>
          <cell r="J1293">
            <v>0</v>
          </cell>
          <cell r="K1293">
            <v>0</v>
          </cell>
          <cell r="L1293">
            <v>0</v>
          </cell>
        </row>
        <row r="1294">
          <cell r="A1294">
            <v>5</v>
          </cell>
          <cell r="B1294">
            <v>1</v>
          </cell>
          <cell r="C1294">
            <v>398</v>
          </cell>
          <cell r="D1294" t="str">
            <v xml:space="preserve">  </v>
          </cell>
          <cell r="E1294" t="str">
            <v xml:space="preserve">    </v>
          </cell>
          <cell r="F1294" t="str">
            <v xml:space="preserve">   </v>
          </cell>
          <cell r="G1294">
            <v>51398</v>
          </cell>
          <cell r="H1294">
            <v>31331.99</v>
          </cell>
          <cell r="I1294">
            <v>31332</v>
          </cell>
          <cell r="J1294">
            <v>0</v>
          </cell>
          <cell r="K1294">
            <v>0</v>
          </cell>
          <cell r="L1294">
            <v>0</v>
          </cell>
        </row>
        <row r="1295">
          <cell r="A1295">
            <v>3</v>
          </cell>
          <cell r="B1295">
            <v>2</v>
          </cell>
          <cell r="C1295">
            <v>301</v>
          </cell>
          <cell r="D1295" t="str">
            <v xml:space="preserve">  </v>
          </cell>
          <cell r="E1295" t="str">
            <v xml:space="preserve">    </v>
          </cell>
          <cell r="F1295" t="str">
            <v xml:space="preserve">   </v>
          </cell>
          <cell r="G1295">
            <v>32301</v>
          </cell>
          <cell r="H1295">
            <v>19227.400000000001</v>
          </cell>
          <cell r="I1295">
            <v>0</v>
          </cell>
          <cell r="J1295">
            <v>2889.75</v>
          </cell>
          <cell r="K1295">
            <v>16337.65</v>
          </cell>
          <cell r="L1295">
            <v>0</v>
          </cell>
        </row>
        <row r="1296">
          <cell r="A1296">
            <v>4</v>
          </cell>
          <cell r="B1296">
            <v>2</v>
          </cell>
          <cell r="C1296">
            <v>301</v>
          </cell>
          <cell r="D1296" t="str">
            <v xml:space="preserve">  </v>
          </cell>
          <cell r="E1296" t="str">
            <v xml:space="preserve">    </v>
          </cell>
          <cell r="F1296" t="str">
            <v xml:space="preserve">   </v>
          </cell>
          <cell r="G1296">
            <v>42301</v>
          </cell>
          <cell r="H1296">
            <v>19227.34</v>
          </cell>
          <cell r="I1296">
            <v>0</v>
          </cell>
          <cell r="J1296">
            <v>2889.71</v>
          </cell>
          <cell r="K1296">
            <v>16337.63</v>
          </cell>
          <cell r="L1296">
            <v>0</v>
          </cell>
        </row>
        <row r="1297">
          <cell r="A1297">
            <v>5</v>
          </cell>
          <cell r="B1297">
            <v>2</v>
          </cell>
          <cell r="C1297">
            <v>301</v>
          </cell>
          <cell r="D1297" t="str">
            <v xml:space="preserve">  </v>
          </cell>
          <cell r="E1297" t="str">
            <v xml:space="preserve">    </v>
          </cell>
          <cell r="F1297" t="str">
            <v xml:space="preserve">   </v>
          </cell>
          <cell r="G1297">
            <v>52301</v>
          </cell>
          <cell r="H1297">
            <v>19227.38</v>
          </cell>
          <cell r="I1297">
            <v>0</v>
          </cell>
          <cell r="J1297">
            <v>2889.74</v>
          </cell>
          <cell r="K1297">
            <v>16337.64</v>
          </cell>
          <cell r="L1297">
            <v>0</v>
          </cell>
        </row>
        <row r="1298">
          <cell r="A1298">
            <v>3</v>
          </cell>
          <cell r="B1298">
            <v>2</v>
          </cell>
          <cell r="C1298">
            <v>302</v>
          </cell>
          <cell r="D1298" t="str">
            <v xml:space="preserve">  </v>
          </cell>
          <cell r="E1298" t="str">
            <v xml:space="preserve">    </v>
          </cell>
          <cell r="F1298" t="str">
            <v xml:space="preserve">   </v>
          </cell>
          <cell r="G1298">
            <v>32302</v>
          </cell>
          <cell r="H1298">
            <v>1592.55</v>
          </cell>
          <cell r="I1298">
            <v>0</v>
          </cell>
          <cell r="J1298">
            <v>0</v>
          </cell>
          <cell r="K1298">
            <v>1592.55</v>
          </cell>
          <cell r="L1298">
            <v>0</v>
          </cell>
        </row>
        <row r="1299">
          <cell r="A1299">
            <v>4</v>
          </cell>
          <cell r="B1299">
            <v>2</v>
          </cell>
          <cell r="C1299">
            <v>302</v>
          </cell>
          <cell r="D1299" t="str">
            <v xml:space="preserve">  </v>
          </cell>
          <cell r="E1299" t="str">
            <v xml:space="preserve">    </v>
          </cell>
          <cell r="F1299" t="str">
            <v xml:space="preserve">   </v>
          </cell>
          <cell r="G1299">
            <v>42302</v>
          </cell>
          <cell r="H1299">
            <v>1592.51</v>
          </cell>
          <cell r="I1299">
            <v>0</v>
          </cell>
          <cell r="J1299">
            <v>0</v>
          </cell>
          <cell r="K1299">
            <v>1592.51</v>
          </cell>
          <cell r="L1299">
            <v>0</v>
          </cell>
        </row>
        <row r="1300">
          <cell r="A1300">
            <v>5</v>
          </cell>
          <cell r="B1300">
            <v>2</v>
          </cell>
          <cell r="C1300">
            <v>302</v>
          </cell>
          <cell r="D1300" t="str">
            <v xml:space="preserve">  </v>
          </cell>
          <cell r="E1300" t="str">
            <v xml:space="preserve">    </v>
          </cell>
          <cell r="F1300" t="str">
            <v xml:space="preserve">   </v>
          </cell>
          <cell r="G1300">
            <v>52302</v>
          </cell>
          <cell r="H1300">
            <v>1592.54</v>
          </cell>
          <cell r="I1300">
            <v>0</v>
          </cell>
          <cell r="J1300">
            <v>0</v>
          </cell>
          <cell r="K1300">
            <v>1592.54</v>
          </cell>
          <cell r="L1300">
            <v>0</v>
          </cell>
        </row>
        <row r="1301">
          <cell r="A1301">
            <v>3</v>
          </cell>
          <cell r="B1301">
            <v>2</v>
          </cell>
          <cell r="C1301">
            <v>304</v>
          </cell>
          <cell r="D1301" t="str">
            <v xml:space="preserve">  </v>
          </cell>
          <cell r="E1301" t="str">
            <v xml:space="preserve">    </v>
          </cell>
          <cell r="F1301" t="str">
            <v xml:space="preserve">   </v>
          </cell>
          <cell r="G1301">
            <v>32304</v>
          </cell>
          <cell r="H1301">
            <v>7628.34</v>
          </cell>
          <cell r="I1301">
            <v>0</v>
          </cell>
          <cell r="J1301">
            <v>7628.34</v>
          </cell>
          <cell r="K1301">
            <v>0</v>
          </cell>
          <cell r="L1301">
            <v>0</v>
          </cell>
        </row>
        <row r="1302">
          <cell r="A1302">
            <v>4</v>
          </cell>
          <cell r="B1302">
            <v>2</v>
          </cell>
          <cell r="C1302">
            <v>304</v>
          </cell>
          <cell r="D1302" t="str">
            <v xml:space="preserve">  </v>
          </cell>
          <cell r="E1302" t="str">
            <v xml:space="preserve">    </v>
          </cell>
          <cell r="F1302" t="str">
            <v xml:space="preserve">   </v>
          </cell>
          <cell r="G1302">
            <v>42304</v>
          </cell>
          <cell r="H1302">
            <v>7628.27</v>
          </cell>
          <cell r="I1302">
            <v>0</v>
          </cell>
          <cell r="J1302">
            <v>7628.27</v>
          </cell>
          <cell r="K1302">
            <v>0</v>
          </cell>
          <cell r="L1302">
            <v>0</v>
          </cell>
        </row>
        <row r="1303">
          <cell r="A1303">
            <v>5</v>
          </cell>
          <cell r="B1303">
            <v>2</v>
          </cell>
          <cell r="C1303">
            <v>304</v>
          </cell>
          <cell r="D1303" t="str">
            <v xml:space="preserve">  </v>
          </cell>
          <cell r="E1303" t="str">
            <v xml:space="preserve">    </v>
          </cell>
          <cell r="F1303" t="str">
            <v xml:space="preserve">   </v>
          </cell>
          <cell r="G1303">
            <v>52304</v>
          </cell>
          <cell r="H1303">
            <v>7628.34</v>
          </cell>
          <cell r="I1303">
            <v>0</v>
          </cell>
          <cell r="J1303">
            <v>7628.34</v>
          </cell>
          <cell r="K1303">
            <v>0</v>
          </cell>
          <cell r="L1303">
            <v>0</v>
          </cell>
        </row>
        <row r="1304">
          <cell r="A1304">
            <v>3</v>
          </cell>
          <cell r="B1304">
            <v>2</v>
          </cell>
          <cell r="C1304">
            <v>305</v>
          </cell>
          <cell r="D1304" t="str">
            <v xml:space="preserve">  </v>
          </cell>
          <cell r="E1304" t="str">
            <v xml:space="preserve">    </v>
          </cell>
          <cell r="F1304" t="str">
            <v xml:space="preserve">   </v>
          </cell>
          <cell r="G1304">
            <v>32305</v>
          </cell>
          <cell r="H1304">
            <v>67428.210000000006</v>
          </cell>
          <cell r="I1304">
            <v>0</v>
          </cell>
          <cell r="J1304">
            <v>67428.210000000006</v>
          </cell>
          <cell r="K1304">
            <v>0</v>
          </cell>
          <cell r="L1304">
            <v>0</v>
          </cell>
        </row>
        <row r="1305">
          <cell r="A1305">
            <v>4</v>
          </cell>
          <cell r="B1305">
            <v>2</v>
          </cell>
          <cell r="C1305">
            <v>305</v>
          </cell>
          <cell r="D1305" t="str">
            <v xml:space="preserve">  </v>
          </cell>
          <cell r="E1305" t="str">
            <v xml:space="preserve">    </v>
          </cell>
          <cell r="F1305" t="str">
            <v xml:space="preserve">   </v>
          </cell>
          <cell r="G1305">
            <v>42305</v>
          </cell>
          <cell r="H1305">
            <v>67428.11</v>
          </cell>
          <cell r="I1305">
            <v>0</v>
          </cell>
          <cell r="J1305">
            <v>67428.11</v>
          </cell>
          <cell r="K1305">
            <v>0</v>
          </cell>
          <cell r="L1305">
            <v>0</v>
          </cell>
        </row>
        <row r="1306">
          <cell r="A1306">
            <v>5</v>
          </cell>
          <cell r="B1306">
            <v>2</v>
          </cell>
          <cell r="C1306">
            <v>305</v>
          </cell>
          <cell r="D1306" t="str">
            <v xml:space="preserve">  </v>
          </cell>
          <cell r="E1306" t="str">
            <v xml:space="preserve">    </v>
          </cell>
          <cell r="F1306" t="str">
            <v xml:space="preserve">   </v>
          </cell>
          <cell r="G1306">
            <v>52305</v>
          </cell>
          <cell r="H1306">
            <v>67428.2</v>
          </cell>
          <cell r="I1306">
            <v>0</v>
          </cell>
          <cell r="J1306">
            <v>67428.2</v>
          </cell>
          <cell r="K1306">
            <v>0</v>
          </cell>
          <cell r="L1306">
            <v>0</v>
          </cell>
        </row>
        <row r="1307">
          <cell r="A1307">
            <v>3</v>
          </cell>
          <cell r="B1307">
            <v>2</v>
          </cell>
          <cell r="C1307">
            <v>311</v>
          </cell>
          <cell r="D1307" t="str">
            <v xml:space="preserve">  </v>
          </cell>
          <cell r="E1307" t="str">
            <v xml:space="preserve">    </v>
          </cell>
          <cell r="F1307" t="str">
            <v xml:space="preserve">   </v>
          </cell>
          <cell r="G1307">
            <v>32311</v>
          </cell>
          <cell r="H1307">
            <v>130189.09</v>
          </cell>
          <cell r="I1307">
            <v>0</v>
          </cell>
          <cell r="J1307">
            <v>130189.09</v>
          </cell>
          <cell r="K1307">
            <v>0</v>
          </cell>
          <cell r="L1307">
            <v>0</v>
          </cell>
        </row>
        <row r="1308">
          <cell r="A1308">
            <v>4</v>
          </cell>
          <cell r="B1308">
            <v>2</v>
          </cell>
          <cell r="C1308">
            <v>311</v>
          </cell>
          <cell r="D1308" t="str">
            <v xml:space="preserve">  </v>
          </cell>
          <cell r="E1308" t="str">
            <v xml:space="preserve">    </v>
          </cell>
          <cell r="F1308" t="str">
            <v xml:space="preserve">   </v>
          </cell>
          <cell r="G1308">
            <v>42311</v>
          </cell>
          <cell r="H1308">
            <v>130189.07</v>
          </cell>
          <cell r="I1308">
            <v>0</v>
          </cell>
          <cell r="J1308">
            <v>130189.07</v>
          </cell>
          <cell r="K1308">
            <v>0</v>
          </cell>
          <cell r="L1308">
            <v>0</v>
          </cell>
        </row>
        <row r="1309">
          <cell r="A1309">
            <v>5</v>
          </cell>
          <cell r="B1309">
            <v>2</v>
          </cell>
          <cell r="C1309">
            <v>311</v>
          </cell>
          <cell r="D1309" t="str">
            <v xml:space="preserve">  </v>
          </cell>
          <cell r="E1309" t="str">
            <v xml:space="preserve">    </v>
          </cell>
          <cell r="F1309" t="str">
            <v xml:space="preserve">   </v>
          </cell>
          <cell r="G1309">
            <v>52311</v>
          </cell>
          <cell r="H1309">
            <v>130189.08</v>
          </cell>
          <cell r="I1309">
            <v>0</v>
          </cell>
          <cell r="J1309">
            <v>130189.08</v>
          </cell>
          <cell r="K1309">
            <v>0</v>
          </cell>
          <cell r="L1309">
            <v>0</v>
          </cell>
        </row>
        <row r="1310">
          <cell r="A1310">
            <v>3</v>
          </cell>
          <cell r="B1310">
            <v>2</v>
          </cell>
          <cell r="C1310">
            <v>365</v>
          </cell>
          <cell r="D1310" t="str">
            <v xml:space="preserve">  </v>
          </cell>
          <cell r="E1310" t="str">
            <v xml:space="preserve">    </v>
          </cell>
          <cell r="F1310" t="str">
            <v xml:space="preserve">   </v>
          </cell>
          <cell r="G1310">
            <v>32365</v>
          </cell>
          <cell r="H1310">
            <v>57750.78</v>
          </cell>
          <cell r="I1310">
            <v>0</v>
          </cell>
          <cell r="J1310">
            <v>57750.78</v>
          </cell>
          <cell r="K1310">
            <v>0</v>
          </cell>
          <cell r="L1310">
            <v>0</v>
          </cell>
        </row>
        <row r="1311">
          <cell r="A1311">
            <v>4</v>
          </cell>
          <cell r="B1311">
            <v>2</v>
          </cell>
          <cell r="C1311">
            <v>365</v>
          </cell>
          <cell r="D1311" t="str">
            <v xml:space="preserve">  </v>
          </cell>
          <cell r="E1311" t="str">
            <v xml:space="preserve">    </v>
          </cell>
          <cell r="F1311" t="str">
            <v xml:space="preserve">   </v>
          </cell>
          <cell r="G1311">
            <v>42365</v>
          </cell>
          <cell r="H1311">
            <v>57750.720000000001</v>
          </cell>
          <cell r="I1311">
            <v>0</v>
          </cell>
          <cell r="J1311">
            <v>57750.720000000001</v>
          </cell>
          <cell r="K1311">
            <v>0</v>
          </cell>
          <cell r="L1311">
            <v>0</v>
          </cell>
        </row>
        <row r="1312">
          <cell r="A1312">
            <v>5</v>
          </cell>
          <cell r="B1312">
            <v>2</v>
          </cell>
          <cell r="C1312">
            <v>365</v>
          </cell>
          <cell r="D1312" t="str">
            <v xml:space="preserve">  </v>
          </cell>
          <cell r="E1312" t="str">
            <v xml:space="preserve">    </v>
          </cell>
          <cell r="F1312" t="str">
            <v xml:space="preserve">   </v>
          </cell>
          <cell r="G1312">
            <v>52365</v>
          </cell>
          <cell r="H1312">
            <v>57750.76</v>
          </cell>
          <cell r="I1312">
            <v>0</v>
          </cell>
          <cell r="J1312">
            <v>57750.76</v>
          </cell>
          <cell r="K1312">
            <v>0</v>
          </cell>
          <cell r="L1312">
            <v>0</v>
          </cell>
        </row>
        <row r="1313">
          <cell r="A1313">
            <v>3</v>
          </cell>
          <cell r="B1313">
            <v>2</v>
          </cell>
          <cell r="C1313">
            <v>366</v>
          </cell>
          <cell r="D1313" t="str">
            <v xml:space="preserve">  </v>
          </cell>
          <cell r="E1313" t="str">
            <v xml:space="preserve">    </v>
          </cell>
          <cell r="F1313" t="str">
            <v xml:space="preserve">   </v>
          </cell>
          <cell r="G1313">
            <v>32366</v>
          </cell>
          <cell r="H1313">
            <v>16031.87</v>
          </cell>
          <cell r="I1313">
            <v>0</v>
          </cell>
          <cell r="J1313">
            <v>16031.87</v>
          </cell>
          <cell r="K1313">
            <v>0</v>
          </cell>
          <cell r="L1313">
            <v>0</v>
          </cell>
        </row>
        <row r="1314">
          <cell r="A1314">
            <v>4</v>
          </cell>
          <cell r="B1314">
            <v>2</v>
          </cell>
          <cell r="C1314">
            <v>366</v>
          </cell>
          <cell r="D1314" t="str">
            <v xml:space="preserve">  </v>
          </cell>
          <cell r="E1314" t="str">
            <v xml:space="preserve">    </v>
          </cell>
          <cell r="F1314" t="str">
            <v xml:space="preserve">   </v>
          </cell>
          <cell r="G1314">
            <v>42366</v>
          </cell>
          <cell r="H1314">
            <v>16031.76</v>
          </cell>
          <cell r="I1314">
            <v>0</v>
          </cell>
          <cell r="J1314">
            <v>16031.76</v>
          </cell>
          <cell r="K1314">
            <v>0</v>
          </cell>
          <cell r="L1314">
            <v>0</v>
          </cell>
        </row>
        <row r="1315">
          <cell r="A1315">
            <v>5</v>
          </cell>
          <cell r="B1315">
            <v>2</v>
          </cell>
          <cell r="C1315">
            <v>366</v>
          </cell>
          <cell r="D1315" t="str">
            <v xml:space="preserve">  </v>
          </cell>
          <cell r="E1315" t="str">
            <v xml:space="preserve">    </v>
          </cell>
          <cell r="F1315" t="str">
            <v xml:space="preserve">   </v>
          </cell>
          <cell r="G1315">
            <v>52366</v>
          </cell>
          <cell r="H1315">
            <v>16031.86</v>
          </cell>
          <cell r="I1315">
            <v>0</v>
          </cell>
          <cell r="J1315">
            <v>16031.86</v>
          </cell>
          <cell r="K1315">
            <v>0</v>
          </cell>
          <cell r="L1315">
            <v>0</v>
          </cell>
        </row>
        <row r="1316">
          <cell r="A1316">
            <v>3</v>
          </cell>
          <cell r="B1316">
            <v>2</v>
          </cell>
          <cell r="C1316">
            <v>367</v>
          </cell>
          <cell r="D1316" t="str">
            <v xml:space="preserve">  </v>
          </cell>
          <cell r="E1316" t="str">
            <v xml:space="preserve">    </v>
          </cell>
          <cell r="F1316" t="str">
            <v xml:space="preserve">   </v>
          </cell>
          <cell r="G1316">
            <v>32367</v>
          </cell>
          <cell r="H1316">
            <v>2803743.33</v>
          </cell>
          <cell r="I1316">
            <v>0</v>
          </cell>
          <cell r="J1316">
            <v>2803743.33</v>
          </cell>
          <cell r="K1316">
            <v>0</v>
          </cell>
          <cell r="L1316">
            <v>0</v>
          </cell>
        </row>
        <row r="1317">
          <cell r="A1317">
            <v>4</v>
          </cell>
          <cell r="B1317">
            <v>2</v>
          </cell>
          <cell r="C1317">
            <v>367</v>
          </cell>
          <cell r="D1317" t="str">
            <v xml:space="preserve">  </v>
          </cell>
          <cell r="E1317" t="str">
            <v xml:space="preserve">    </v>
          </cell>
          <cell r="F1317" t="str">
            <v xml:space="preserve">   </v>
          </cell>
          <cell r="G1317">
            <v>42367</v>
          </cell>
          <cell r="H1317">
            <v>2803743.23</v>
          </cell>
          <cell r="I1317">
            <v>0</v>
          </cell>
          <cell r="J1317">
            <v>2803743.23</v>
          </cell>
          <cell r="K1317">
            <v>0</v>
          </cell>
          <cell r="L1317">
            <v>0</v>
          </cell>
        </row>
        <row r="1318">
          <cell r="A1318">
            <v>5</v>
          </cell>
          <cell r="B1318">
            <v>2</v>
          </cell>
          <cell r="C1318">
            <v>367</v>
          </cell>
          <cell r="D1318" t="str">
            <v xml:space="preserve">  </v>
          </cell>
          <cell r="E1318" t="str">
            <v xml:space="preserve">    </v>
          </cell>
          <cell r="F1318" t="str">
            <v xml:space="preserve">   </v>
          </cell>
          <cell r="G1318">
            <v>52367</v>
          </cell>
          <cell r="H1318">
            <v>2803743.32</v>
          </cell>
          <cell r="I1318">
            <v>0</v>
          </cell>
          <cell r="J1318">
            <v>2803743.32</v>
          </cell>
          <cell r="K1318">
            <v>0</v>
          </cell>
          <cell r="L1318">
            <v>0</v>
          </cell>
        </row>
        <row r="1319">
          <cell r="A1319">
            <v>3</v>
          </cell>
          <cell r="B1319">
            <v>2</v>
          </cell>
          <cell r="C1319">
            <v>369</v>
          </cell>
          <cell r="D1319" t="str">
            <v xml:space="preserve">  </v>
          </cell>
          <cell r="E1319" t="str">
            <v xml:space="preserve">    </v>
          </cell>
          <cell r="F1319" t="str">
            <v xml:space="preserve">   </v>
          </cell>
          <cell r="G1319">
            <v>32369</v>
          </cell>
          <cell r="H1319">
            <v>254892.94</v>
          </cell>
          <cell r="I1319">
            <v>0</v>
          </cell>
          <cell r="J1319">
            <v>239152.21</v>
          </cell>
          <cell r="K1319">
            <v>15740.73</v>
          </cell>
          <cell r="L1319">
            <v>0</v>
          </cell>
        </row>
        <row r="1320">
          <cell r="A1320">
            <v>4</v>
          </cell>
          <cell r="B1320">
            <v>2</v>
          </cell>
          <cell r="C1320">
            <v>369</v>
          </cell>
          <cell r="D1320" t="str">
            <v xml:space="preserve">  </v>
          </cell>
          <cell r="E1320" t="str">
            <v xml:space="preserve">    </v>
          </cell>
          <cell r="F1320" t="str">
            <v xml:space="preserve">   </v>
          </cell>
          <cell r="G1320">
            <v>42369</v>
          </cell>
          <cell r="H1320">
            <v>247922.75</v>
          </cell>
          <cell r="I1320">
            <v>0</v>
          </cell>
          <cell r="J1320">
            <v>232182.11</v>
          </cell>
          <cell r="K1320">
            <v>15740.64</v>
          </cell>
          <cell r="L1320">
            <v>0</v>
          </cell>
        </row>
        <row r="1321">
          <cell r="A1321">
            <v>5</v>
          </cell>
          <cell r="B1321">
            <v>2</v>
          </cell>
          <cell r="C1321">
            <v>369</v>
          </cell>
          <cell r="D1321" t="str">
            <v xml:space="preserve">  </v>
          </cell>
          <cell r="E1321" t="str">
            <v xml:space="preserve">    </v>
          </cell>
          <cell r="F1321" t="str">
            <v xml:space="preserve">   </v>
          </cell>
          <cell r="G1321">
            <v>52369</v>
          </cell>
          <cell r="H1321">
            <v>254892.92</v>
          </cell>
          <cell r="I1321">
            <v>0</v>
          </cell>
          <cell r="J1321">
            <v>239152.2</v>
          </cell>
          <cell r="K1321">
            <v>15740.72</v>
          </cell>
          <cell r="L1321">
            <v>0</v>
          </cell>
        </row>
        <row r="1322">
          <cell r="A1322">
            <v>3</v>
          </cell>
          <cell r="B1322">
            <v>2</v>
          </cell>
          <cell r="C1322">
            <v>370</v>
          </cell>
          <cell r="D1322" t="str">
            <v xml:space="preserve">  </v>
          </cell>
          <cell r="E1322" t="str">
            <v xml:space="preserve">    </v>
          </cell>
          <cell r="F1322" t="str">
            <v xml:space="preserve">   </v>
          </cell>
          <cell r="G1322">
            <v>32370</v>
          </cell>
          <cell r="H1322">
            <v>84876.21</v>
          </cell>
          <cell r="I1322">
            <v>0</v>
          </cell>
          <cell r="J1322">
            <v>77274.8</v>
          </cell>
          <cell r="K1322">
            <v>7601.41</v>
          </cell>
          <cell r="L1322">
            <v>0</v>
          </cell>
        </row>
        <row r="1323">
          <cell r="A1323">
            <v>4</v>
          </cell>
          <cell r="B1323">
            <v>2</v>
          </cell>
          <cell r="C1323">
            <v>370</v>
          </cell>
          <cell r="D1323" t="str">
            <v xml:space="preserve">  </v>
          </cell>
          <cell r="E1323" t="str">
            <v xml:space="preserve">    </v>
          </cell>
          <cell r="F1323" t="str">
            <v xml:space="preserve">   </v>
          </cell>
          <cell r="G1323">
            <v>42370</v>
          </cell>
          <cell r="H1323">
            <v>87566.14</v>
          </cell>
          <cell r="I1323">
            <v>0</v>
          </cell>
          <cell r="J1323">
            <v>79964.75</v>
          </cell>
          <cell r="K1323">
            <v>7601.39</v>
          </cell>
          <cell r="L1323">
            <v>0</v>
          </cell>
        </row>
        <row r="1324">
          <cell r="A1324">
            <v>5</v>
          </cell>
          <cell r="B1324">
            <v>2</v>
          </cell>
          <cell r="C1324">
            <v>370</v>
          </cell>
          <cell r="D1324" t="str">
            <v xml:space="preserve">  </v>
          </cell>
          <cell r="E1324" t="str">
            <v xml:space="preserve">    </v>
          </cell>
          <cell r="F1324" t="str">
            <v xml:space="preserve">   </v>
          </cell>
          <cell r="G1324">
            <v>52370</v>
          </cell>
          <cell r="H1324">
            <v>84876.2</v>
          </cell>
          <cell r="I1324">
            <v>0</v>
          </cell>
          <cell r="J1324">
            <v>77274.8</v>
          </cell>
          <cell r="K1324">
            <v>7601.4</v>
          </cell>
          <cell r="L1324">
            <v>0</v>
          </cell>
        </row>
        <row r="1325">
          <cell r="A1325">
            <v>3</v>
          </cell>
          <cell r="B1325">
            <v>2</v>
          </cell>
          <cell r="C1325">
            <v>374</v>
          </cell>
          <cell r="D1325" t="str">
            <v xml:space="preserve">  </v>
          </cell>
          <cell r="E1325" t="str">
            <v xml:space="preserve">    </v>
          </cell>
          <cell r="F1325" t="str">
            <v xml:space="preserve">   </v>
          </cell>
          <cell r="G1325">
            <v>32374</v>
          </cell>
          <cell r="H1325">
            <v>15239.63</v>
          </cell>
          <cell r="I1325">
            <v>0</v>
          </cell>
          <cell r="J1325">
            <v>15079.61</v>
          </cell>
          <cell r="K1325">
            <v>160.02000000000001</v>
          </cell>
          <cell r="L1325">
            <v>0</v>
          </cell>
        </row>
        <row r="1326">
          <cell r="A1326">
            <v>4</v>
          </cell>
          <cell r="B1326">
            <v>2</v>
          </cell>
          <cell r="C1326">
            <v>374</v>
          </cell>
          <cell r="D1326" t="str">
            <v xml:space="preserve">  </v>
          </cell>
          <cell r="E1326" t="str">
            <v xml:space="preserve">    </v>
          </cell>
          <cell r="F1326" t="str">
            <v xml:space="preserve">   </v>
          </cell>
          <cell r="G1326">
            <v>42374</v>
          </cell>
          <cell r="H1326">
            <v>15239.5</v>
          </cell>
          <cell r="I1326">
            <v>0</v>
          </cell>
          <cell r="J1326">
            <v>15079.55</v>
          </cell>
          <cell r="K1326">
            <v>159.94999999999999</v>
          </cell>
          <cell r="L1326">
            <v>0</v>
          </cell>
        </row>
        <row r="1327">
          <cell r="A1327">
            <v>5</v>
          </cell>
          <cell r="B1327">
            <v>2</v>
          </cell>
          <cell r="C1327">
            <v>374</v>
          </cell>
          <cell r="D1327" t="str">
            <v xml:space="preserve">  </v>
          </cell>
          <cell r="E1327" t="str">
            <v xml:space="preserve">    </v>
          </cell>
          <cell r="F1327" t="str">
            <v xml:space="preserve">   </v>
          </cell>
          <cell r="G1327">
            <v>52374</v>
          </cell>
          <cell r="H1327">
            <v>15239.62</v>
          </cell>
          <cell r="I1327">
            <v>0</v>
          </cell>
          <cell r="J1327">
            <v>15079.6</v>
          </cell>
          <cell r="K1327">
            <v>160.02000000000001</v>
          </cell>
          <cell r="L1327">
            <v>0</v>
          </cell>
        </row>
        <row r="1328">
          <cell r="A1328">
            <v>3</v>
          </cell>
          <cell r="B1328">
            <v>2</v>
          </cell>
          <cell r="C1328">
            <v>375</v>
          </cell>
          <cell r="D1328" t="str">
            <v xml:space="preserve">  </v>
          </cell>
          <cell r="E1328" t="str">
            <v xml:space="preserve">    </v>
          </cell>
          <cell r="F1328" t="str">
            <v xml:space="preserve">   </v>
          </cell>
          <cell r="G1328">
            <v>32375</v>
          </cell>
          <cell r="H1328">
            <v>106897.87</v>
          </cell>
          <cell r="I1328">
            <v>0</v>
          </cell>
          <cell r="J1328">
            <v>84687.72</v>
          </cell>
          <cell r="K1328">
            <v>22210.15</v>
          </cell>
          <cell r="L1328">
            <v>0</v>
          </cell>
        </row>
        <row r="1329">
          <cell r="A1329">
            <v>4</v>
          </cell>
          <cell r="B1329">
            <v>2</v>
          </cell>
          <cell r="C1329">
            <v>375</v>
          </cell>
          <cell r="D1329" t="str">
            <v xml:space="preserve">  </v>
          </cell>
          <cell r="E1329" t="str">
            <v xml:space="preserve">    </v>
          </cell>
          <cell r="F1329" t="str">
            <v xml:space="preserve">   </v>
          </cell>
          <cell r="G1329">
            <v>42375</v>
          </cell>
          <cell r="H1329">
            <v>106196.18</v>
          </cell>
          <cell r="I1329">
            <v>0</v>
          </cell>
          <cell r="J1329">
            <v>83986.1</v>
          </cell>
          <cell r="K1329">
            <v>22210.080000000002</v>
          </cell>
          <cell r="L1329">
            <v>0</v>
          </cell>
        </row>
        <row r="1330">
          <cell r="A1330">
            <v>5</v>
          </cell>
          <cell r="B1330">
            <v>2</v>
          </cell>
          <cell r="C1330">
            <v>375</v>
          </cell>
          <cell r="D1330" t="str">
            <v xml:space="preserve">  </v>
          </cell>
          <cell r="E1330" t="str">
            <v xml:space="preserve">    </v>
          </cell>
          <cell r="F1330" t="str">
            <v xml:space="preserve">   </v>
          </cell>
          <cell r="G1330">
            <v>52375</v>
          </cell>
          <cell r="H1330">
            <v>106531.84</v>
          </cell>
          <cell r="I1330">
            <v>0</v>
          </cell>
          <cell r="J1330">
            <v>84321.7</v>
          </cell>
          <cell r="K1330">
            <v>22210.14</v>
          </cell>
          <cell r="L1330">
            <v>0</v>
          </cell>
        </row>
        <row r="1331">
          <cell r="A1331">
            <v>3</v>
          </cell>
          <cell r="B1331">
            <v>2</v>
          </cell>
          <cell r="C1331">
            <v>376</v>
          </cell>
          <cell r="D1331" t="str">
            <v xml:space="preserve">  </v>
          </cell>
          <cell r="E1331" t="str">
            <v xml:space="preserve">    </v>
          </cell>
          <cell r="F1331" t="str">
            <v xml:space="preserve">   </v>
          </cell>
          <cell r="G1331">
            <v>32376</v>
          </cell>
          <cell r="H1331">
            <v>61587285.869999997</v>
          </cell>
          <cell r="I1331">
            <v>12530</v>
          </cell>
          <cell r="J1331">
            <v>51830800.630000003</v>
          </cell>
          <cell r="K1331">
            <v>9743955.2400000002</v>
          </cell>
          <cell r="L1331">
            <v>0</v>
          </cell>
        </row>
        <row r="1332">
          <cell r="A1332">
            <v>4</v>
          </cell>
          <cell r="B1332">
            <v>2</v>
          </cell>
          <cell r="C1332">
            <v>376</v>
          </cell>
          <cell r="D1332" t="str">
            <v xml:space="preserve">  </v>
          </cell>
          <cell r="E1332" t="str">
            <v xml:space="preserve">    </v>
          </cell>
          <cell r="F1332" t="str">
            <v xml:space="preserve">   </v>
          </cell>
          <cell r="G1332">
            <v>42376</v>
          </cell>
          <cell r="H1332">
            <v>60241586.100000001</v>
          </cell>
          <cell r="I1332">
            <v>522.08000000000004</v>
          </cell>
          <cell r="J1332">
            <v>50551149.5</v>
          </cell>
          <cell r="K1332">
            <v>9689914.5199999996</v>
          </cell>
          <cell r="L1332">
            <v>0</v>
          </cell>
        </row>
        <row r="1333">
          <cell r="A1333">
            <v>5</v>
          </cell>
          <cell r="B1333">
            <v>2</v>
          </cell>
          <cell r="C1333">
            <v>376</v>
          </cell>
          <cell r="D1333" t="str">
            <v xml:space="preserve">  </v>
          </cell>
          <cell r="E1333" t="str">
            <v xml:space="preserve">    </v>
          </cell>
          <cell r="F1333" t="str">
            <v xml:space="preserve">   </v>
          </cell>
          <cell r="G1333">
            <v>52376</v>
          </cell>
          <cell r="H1333">
            <v>61517126.920000002</v>
          </cell>
          <cell r="I1333">
            <v>6265</v>
          </cell>
          <cell r="J1333">
            <v>51767525.68</v>
          </cell>
          <cell r="K1333">
            <v>9743336.2400000002</v>
          </cell>
          <cell r="L1333">
            <v>0</v>
          </cell>
        </row>
        <row r="1334">
          <cell r="A1334">
            <v>3</v>
          </cell>
          <cell r="B1334">
            <v>2</v>
          </cell>
          <cell r="C1334">
            <v>378</v>
          </cell>
          <cell r="D1334" t="str">
            <v xml:space="preserve">  </v>
          </cell>
          <cell r="E1334" t="str">
            <v xml:space="preserve">    </v>
          </cell>
          <cell r="F1334" t="str">
            <v xml:space="preserve">   </v>
          </cell>
          <cell r="G1334">
            <v>32378</v>
          </cell>
          <cell r="H1334">
            <v>640683.65</v>
          </cell>
          <cell r="I1334">
            <v>0</v>
          </cell>
          <cell r="J1334">
            <v>583142.37</v>
          </cell>
          <cell r="K1334">
            <v>57541.279999999999</v>
          </cell>
          <cell r="L1334">
            <v>0</v>
          </cell>
        </row>
        <row r="1335">
          <cell r="A1335">
            <v>4</v>
          </cell>
          <cell r="B1335">
            <v>2</v>
          </cell>
          <cell r="C1335">
            <v>378</v>
          </cell>
          <cell r="D1335" t="str">
            <v xml:space="preserve">  </v>
          </cell>
          <cell r="E1335" t="str">
            <v xml:space="preserve">    </v>
          </cell>
          <cell r="F1335" t="str">
            <v xml:space="preserve">   </v>
          </cell>
          <cell r="G1335">
            <v>42378</v>
          </cell>
          <cell r="H1335">
            <v>628278.29</v>
          </cell>
          <cell r="I1335">
            <v>0</v>
          </cell>
          <cell r="J1335">
            <v>570737.09</v>
          </cell>
          <cell r="K1335">
            <v>57541.2</v>
          </cell>
          <cell r="L1335">
            <v>0</v>
          </cell>
        </row>
        <row r="1336">
          <cell r="A1336">
            <v>5</v>
          </cell>
          <cell r="B1336">
            <v>2</v>
          </cell>
          <cell r="C1336">
            <v>378</v>
          </cell>
          <cell r="D1336" t="str">
            <v xml:space="preserve">  </v>
          </cell>
          <cell r="E1336" t="str">
            <v xml:space="preserve">    </v>
          </cell>
          <cell r="F1336" t="str">
            <v xml:space="preserve">   </v>
          </cell>
          <cell r="G1336">
            <v>52378</v>
          </cell>
          <cell r="H1336">
            <v>639736.69999999995</v>
          </cell>
          <cell r="I1336">
            <v>0</v>
          </cell>
          <cell r="J1336">
            <v>582195.42000000004</v>
          </cell>
          <cell r="K1336">
            <v>57541.279999999999</v>
          </cell>
          <cell r="L1336">
            <v>0</v>
          </cell>
        </row>
        <row r="1337">
          <cell r="A1337">
            <v>3</v>
          </cell>
          <cell r="B1337">
            <v>2</v>
          </cell>
          <cell r="C1337">
            <v>379</v>
          </cell>
          <cell r="D1337" t="str">
            <v xml:space="preserve">  </v>
          </cell>
          <cell r="E1337" t="str">
            <v xml:space="preserve">    </v>
          </cell>
          <cell r="F1337" t="str">
            <v xml:space="preserve">   </v>
          </cell>
          <cell r="G1337">
            <v>32379</v>
          </cell>
          <cell r="H1337">
            <v>343970.77</v>
          </cell>
          <cell r="I1337">
            <v>0</v>
          </cell>
          <cell r="J1337">
            <v>336975.88</v>
          </cell>
          <cell r="K1337">
            <v>6994.89</v>
          </cell>
          <cell r="L1337">
            <v>0</v>
          </cell>
        </row>
        <row r="1338">
          <cell r="A1338">
            <v>4</v>
          </cell>
          <cell r="B1338">
            <v>2</v>
          </cell>
          <cell r="C1338">
            <v>379</v>
          </cell>
          <cell r="D1338" t="str">
            <v xml:space="preserve">  </v>
          </cell>
          <cell r="E1338" t="str">
            <v xml:space="preserve">    </v>
          </cell>
          <cell r="F1338" t="str">
            <v xml:space="preserve">   </v>
          </cell>
          <cell r="G1338">
            <v>42379</v>
          </cell>
          <cell r="H1338">
            <v>305667.81</v>
          </cell>
          <cell r="I1338">
            <v>0</v>
          </cell>
          <cell r="J1338">
            <v>298673.01</v>
          </cell>
          <cell r="K1338">
            <v>6994.8</v>
          </cell>
          <cell r="L1338">
            <v>0</v>
          </cell>
        </row>
        <row r="1339">
          <cell r="A1339">
            <v>5</v>
          </cell>
          <cell r="B1339">
            <v>2</v>
          </cell>
          <cell r="C1339">
            <v>379</v>
          </cell>
          <cell r="D1339" t="str">
            <v xml:space="preserve">  </v>
          </cell>
          <cell r="E1339" t="str">
            <v xml:space="preserve">    </v>
          </cell>
          <cell r="F1339" t="str">
            <v xml:space="preserve">   </v>
          </cell>
          <cell r="G1339">
            <v>52379</v>
          </cell>
          <cell r="H1339">
            <v>333629.46000000002</v>
          </cell>
          <cell r="I1339">
            <v>0</v>
          </cell>
          <cell r="J1339">
            <v>326634.58</v>
          </cell>
          <cell r="K1339">
            <v>6994.88</v>
          </cell>
          <cell r="L1339">
            <v>0</v>
          </cell>
        </row>
        <row r="1340">
          <cell r="A1340">
            <v>3</v>
          </cell>
          <cell r="B1340">
            <v>2</v>
          </cell>
          <cell r="C1340">
            <v>380</v>
          </cell>
          <cell r="D1340" t="str">
            <v xml:space="preserve">  </v>
          </cell>
          <cell r="E1340" t="str">
            <v xml:space="preserve">    </v>
          </cell>
          <cell r="F1340" t="str">
            <v xml:space="preserve">   </v>
          </cell>
          <cell r="G1340">
            <v>32380</v>
          </cell>
          <cell r="H1340">
            <v>42070040.920000002</v>
          </cell>
          <cell r="I1340">
            <v>0</v>
          </cell>
          <cell r="J1340">
            <v>35997520.170000002</v>
          </cell>
          <cell r="K1340">
            <v>6072520.75</v>
          </cell>
          <cell r="L1340">
            <v>0</v>
          </cell>
        </row>
        <row r="1341">
          <cell r="A1341">
            <v>4</v>
          </cell>
          <cell r="B1341">
            <v>2</v>
          </cell>
          <cell r="C1341">
            <v>380</v>
          </cell>
          <cell r="D1341" t="str">
            <v xml:space="preserve">  </v>
          </cell>
          <cell r="E1341" t="str">
            <v xml:space="preserve">    </v>
          </cell>
          <cell r="F1341" t="str">
            <v xml:space="preserve">   </v>
          </cell>
          <cell r="G1341">
            <v>42380</v>
          </cell>
          <cell r="H1341">
            <v>40664737.530000001</v>
          </cell>
          <cell r="I1341">
            <v>0</v>
          </cell>
          <cell r="J1341">
            <v>34717677.619999997</v>
          </cell>
          <cell r="K1341">
            <v>5947059.9100000001</v>
          </cell>
          <cell r="L1341">
            <v>0</v>
          </cell>
        </row>
        <row r="1342">
          <cell r="A1342">
            <v>5</v>
          </cell>
          <cell r="B1342">
            <v>2</v>
          </cell>
          <cell r="C1342">
            <v>380</v>
          </cell>
          <cell r="D1342" t="str">
            <v xml:space="preserve">  </v>
          </cell>
          <cell r="E1342" t="str">
            <v xml:space="preserve">    </v>
          </cell>
          <cell r="F1342" t="str">
            <v xml:space="preserve">   </v>
          </cell>
          <cell r="G1342">
            <v>52380</v>
          </cell>
          <cell r="H1342">
            <v>41944899.780000001</v>
          </cell>
          <cell r="I1342">
            <v>0</v>
          </cell>
          <cell r="J1342">
            <v>35877916.579999998</v>
          </cell>
          <cell r="K1342">
            <v>6066983.2000000002</v>
          </cell>
          <cell r="L1342">
            <v>0</v>
          </cell>
        </row>
        <row r="1343">
          <cell r="A1343">
            <v>3</v>
          </cell>
          <cell r="B1343">
            <v>2</v>
          </cell>
          <cell r="C1343">
            <v>381</v>
          </cell>
          <cell r="D1343" t="str">
            <v xml:space="preserve">  </v>
          </cell>
          <cell r="E1343" t="str">
            <v xml:space="preserve">    </v>
          </cell>
          <cell r="F1343" t="str">
            <v xml:space="preserve">   </v>
          </cell>
          <cell r="G1343">
            <v>32381</v>
          </cell>
          <cell r="H1343">
            <v>17226260.059999999</v>
          </cell>
          <cell r="I1343">
            <v>0</v>
          </cell>
          <cell r="J1343">
            <v>14847889.699999999</v>
          </cell>
          <cell r="K1343">
            <v>2378370.36</v>
          </cell>
          <cell r="L1343">
            <v>0</v>
          </cell>
        </row>
        <row r="1344">
          <cell r="A1344">
            <v>4</v>
          </cell>
          <cell r="B1344">
            <v>2</v>
          </cell>
          <cell r="C1344">
            <v>381</v>
          </cell>
          <cell r="D1344" t="str">
            <v xml:space="preserve">  </v>
          </cell>
          <cell r="E1344" t="str">
            <v xml:space="preserve">    </v>
          </cell>
          <cell r="F1344" t="str">
            <v xml:space="preserve">   </v>
          </cell>
          <cell r="G1344">
            <v>42381</v>
          </cell>
          <cell r="H1344">
            <v>16499561.84</v>
          </cell>
          <cell r="I1344">
            <v>0</v>
          </cell>
          <cell r="J1344">
            <v>14134913.390000001</v>
          </cell>
          <cell r="K1344">
            <v>2364648.4500000002</v>
          </cell>
          <cell r="L1344">
            <v>0</v>
          </cell>
        </row>
        <row r="1345">
          <cell r="A1345">
            <v>5</v>
          </cell>
          <cell r="B1345">
            <v>2</v>
          </cell>
          <cell r="C1345">
            <v>381</v>
          </cell>
          <cell r="D1345" t="str">
            <v xml:space="preserve">  </v>
          </cell>
          <cell r="E1345" t="str">
            <v xml:space="preserve">    </v>
          </cell>
          <cell r="F1345" t="str">
            <v xml:space="preserve">   </v>
          </cell>
          <cell r="G1345">
            <v>52381</v>
          </cell>
          <cell r="H1345">
            <v>17200852.699999999</v>
          </cell>
          <cell r="I1345">
            <v>0</v>
          </cell>
          <cell r="J1345">
            <v>14823464.1</v>
          </cell>
          <cell r="K1345">
            <v>2377388.6</v>
          </cell>
          <cell r="L1345">
            <v>0</v>
          </cell>
        </row>
        <row r="1346">
          <cell r="A1346">
            <v>3</v>
          </cell>
          <cell r="B1346">
            <v>2</v>
          </cell>
          <cell r="C1346">
            <v>385</v>
          </cell>
          <cell r="D1346" t="str">
            <v xml:space="preserve">  </v>
          </cell>
          <cell r="E1346" t="str">
            <v xml:space="preserve">    </v>
          </cell>
          <cell r="F1346" t="str">
            <v xml:space="preserve">   </v>
          </cell>
          <cell r="G1346">
            <v>32385</v>
          </cell>
          <cell r="H1346">
            <v>443151.77</v>
          </cell>
          <cell r="I1346">
            <v>0</v>
          </cell>
          <cell r="J1346">
            <v>442115.15</v>
          </cell>
          <cell r="K1346">
            <v>1036.6199999999999</v>
          </cell>
          <cell r="L1346">
            <v>0</v>
          </cell>
        </row>
        <row r="1347">
          <cell r="A1347">
            <v>4</v>
          </cell>
          <cell r="B1347">
            <v>2</v>
          </cell>
          <cell r="C1347">
            <v>385</v>
          </cell>
          <cell r="D1347" t="str">
            <v xml:space="preserve">  </v>
          </cell>
          <cell r="E1347" t="str">
            <v xml:space="preserve">    </v>
          </cell>
          <cell r="F1347" t="str">
            <v xml:space="preserve">   </v>
          </cell>
          <cell r="G1347">
            <v>42385</v>
          </cell>
          <cell r="H1347">
            <v>442415.15</v>
          </cell>
          <cell r="I1347">
            <v>0</v>
          </cell>
          <cell r="J1347">
            <v>441378.59</v>
          </cell>
          <cell r="K1347">
            <v>1036.56</v>
          </cell>
          <cell r="L1347">
            <v>0</v>
          </cell>
        </row>
        <row r="1348">
          <cell r="A1348">
            <v>5</v>
          </cell>
          <cell r="B1348">
            <v>2</v>
          </cell>
          <cell r="C1348">
            <v>385</v>
          </cell>
          <cell r="D1348" t="str">
            <v xml:space="preserve">  </v>
          </cell>
          <cell r="E1348" t="str">
            <v xml:space="preserve">    </v>
          </cell>
          <cell r="F1348" t="str">
            <v xml:space="preserve">   </v>
          </cell>
          <cell r="G1348">
            <v>52385</v>
          </cell>
          <cell r="H1348">
            <v>443151.76</v>
          </cell>
          <cell r="I1348">
            <v>0</v>
          </cell>
          <cell r="J1348">
            <v>442115.14</v>
          </cell>
          <cell r="K1348">
            <v>1036.6199999999999</v>
          </cell>
          <cell r="L1348">
            <v>0</v>
          </cell>
        </row>
        <row r="1349">
          <cell r="A1349">
            <v>3</v>
          </cell>
          <cell r="B1349">
            <v>2</v>
          </cell>
          <cell r="C1349">
            <v>387</v>
          </cell>
          <cell r="D1349" t="str">
            <v xml:space="preserve">  </v>
          </cell>
          <cell r="E1349" t="str">
            <v xml:space="preserve">    </v>
          </cell>
          <cell r="F1349" t="str">
            <v xml:space="preserve">   </v>
          </cell>
          <cell r="G1349">
            <v>32387</v>
          </cell>
          <cell r="H1349">
            <v>3973.68</v>
          </cell>
          <cell r="I1349">
            <v>0</v>
          </cell>
          <cell r="J1349">
            <v>2185.89</v>
          </cell>
          <cell r="K1349">
            <v>1787.79</v>
          </cell>
          <cell r="L1349">
            <v>0</v>
          </cell>
        </row>
        <row r="1350">
          <cell r="A1350">
            <v>4</v>
          </cell>
          <cell r="B1350">
            <v>2</v>
          </cell>
          <cell r="C1350">
            <v>387</v>
          </cell>
          <cell r="D1350" t="str">
            <v xml:space="preserve">  </v>
          </cell>
          <cell r="E1350" t="str">
            <v xml:space="preserve">    </v>
          </cell>
          <cell r="F1350" t="str">
            <v xml:space="preserve">   </v>
          </cell>
          <cell r="G1350">
            <v>42387</v>
          </cell>
          <cell r="H1350">
            <v>3973.55</v>
          </cell>
          <cell r="I1350">
            <v>0</v>
          </cell>
          <cell r="J1350">
            <v>2185.79</v>
          </cell>
          <cell r="K1350">
            <v>1787.76</v>
          </cell>
          <cell r="L1350">
            <v>0</v>
          </cell>
        </row>
        <row r="1351">
          <cell r="A1351">
            <v>5</v>
          </cell>
          <cell r="B1351">
            <v>2</v>
          </cell>
          <cell r="C1351">
            <v>387</v>
          </cell>
          <cell r="D1351" t="str">
            <v xml:space="preserve">  </v>
          </cell>
          <cell r="E1351" t="str">
            <v xml:space="preserve">    </v>
          </cell>
          <cell r="F1351" t="str">
            <v xml:space="preserve">   </v>
          </cell>
          <cell r="G1351">
            <v>52387</v>
          </cell>
          <cell r="H1351">
            <v>3973.66</v>
          </cell>
          <cell r="I1351">
            <v>0</v>
          </cell>
          <cell r="J1351">
            <v>2185.88</v>
          </cell>
          <cell r="K1351">
            <v>1787.78</v>
          </cell>
          <cell r="L1351">
            <v>0</v>
          </cell>
        </row>
        <row r="1352">
          <cell r="A1352">
            <v>3</v>
          </cell>
          <cell r="B1352">
            <v>2</v>
          </cell>
          <cell r="C1352">
            <v>389</v>
          </cell>
          <cell r="D1352" t="str">
            <v xml:space="preserve">  </v>
          </cell>
          <cell r="E1352" t="str">
            <v xml:space="preserve">    </v>
          </cell>
          <cell r="F1352" t="str">
            <v xml:space="preserve">   </v>
          </cell>
          <cell r="G1352">
            <v>32389</v>
          </cell>
          <cell r="H1352">
            <v>330820.93</v>
          </cell>
          <cell r="I1352">
            <v>253731.89</v>
          </cell>
          <cell r="J1352">
            <v>7952.44</v>
          </cell>
          <cell r="K1352">
            <v>69136.600000000006</v>
          </cell>
          <cell r="L1352">
            <v>0</v>
          </cell>
        </row>
        <row r="1353">
          <cell r="A1353">
            <v>4</v>
          </cell>
          <cell r="B1353">
            <v>2</v>
          </cell>
          <cell r="C1353">
            <v>389</v>
          </cell>
          <cell r="D1353" t="str">
            <v xml:space="preserve">  </v>
          </cell>
          <cell r="E1353" t="str">
            <v xml:space="preserve">    </v>
          </cell>
          <cell r="F1353" t="str">
            <v xml:space="preserve">   </v>
          </cell>
          <cell r="G1353">
            <v>42389</v>
          </cell>
          <cell r="H1353">
            <v>330820.07</v>
          </cell>
          <cell r="I1353">
            <v>253731.6</v>
          </cell>
          <cell r="J1353">
            <v>7952.2</v>
          </cell>
          <cell r="K1353">
            <v>69136.33</v>
          </cell>
          <cell r="L1353">
            <v>0</v>
          </cell>
        </row>
        <row r="1354">
          <cell r="A1354">
            <v>5</v>
          </cell>
          <cell r="B1354">
            <v>2</v>
          </cell>
          <cell r="C1354">
            <v>389</v>
          </cell>
          <cell r="D1354" t="str">
            <v xml:space="preserve">  </v>
          </cell>
          <cell r="E1354" t="str">
            <v xml:space="preserve">    </v>
          </cell>
          <cell r="F1354" t="str">
            <v xml:space="preserve">   </v>
          </cell>
          <cell r="G1354">
            <v>52389</v>
          </cell>
          <cell r="H1354">
            <v>330820.89</v>
          </cell>
          <cell r="I1354">
            <v>253731.88</v>
          </cell>
          <cell r="J1354">
            <v>7952.43</v>
          </cell>
          <cell r="K1354">
            <v>69136.600000000006</v>
          </cell>
          <cell r="L1354">
            <v>0</v>
          </cell>
        </row>
        <row r="1355">
          <cell r="A1355">
            <v>3</v>
          </cell>
          <cell r="B1355">
            <v>2</v>
          </cell>
          <cell r="C1355">
            <v>390</v>
          </cell>
          <cell r="D1355" t="str">
            <v xml:space="preserve">  </v>
          </cell>
          <cell r="E1355" t="str">
            <v xml:space="preserve">    </v>
          </cell>
          <cell r="F1355" t="str">
            <v xml:space="preserve">   </v>
          </cell>
          <cell r="G1355">
            <v>32390</v>
          </cell>
          <cell r="H1355">
            <v>1903516.33</v>
          </cell>
          <cell r="I1355">
            <v>1551024.9</v>
          </cell>
          <cell r="J1355">
            <v>180589.1</v>
          </cell>
          <cell r="K1355">
            <v>171902.33</v>
          </cell>
          <cell r="L1355">
            <v>0</v>
          </cell>
        </row>
        <row r="1356">
          <cell r="A1356">
            <v>4</v>
          </cell>
          <cell r="B1356">
            <v>2</v>
          </cell>
          <cell r="C1356">
            <v>390</v>
          </cell>
          <cell r="D1356" t="str">
            <v xml:space="preserve">  </v>
          </cell>
          <cell r="E1356" t="str">
            <v xml:space="preserve">    </v>
          </cell>
          <cell r="F1356" t="str">
            <v xml:space="preserve">   </v>
          </cell>
          <cell r="G1356">
            <v>42390</v>
          </cell>
          <cell r="H1356">
            <v>1903516.06</v>
          </cell>
          <cell r="I1356">
            <v>1551024.73</v>
          </cell>
          <cell r="J1356">
            <v>180589.07</v>
          </cell>
          <cell r="K1356">
            <v>171902.27</v>
          </cell>
          <cell r="L1356">
            <v>0</v>
          </cell>
        </row>
        <row r="1357">
          <cell r="A1357">
            <v>5</v>
          </cell>
          <cell r="B1357">
            <v>2</v>
          </cell>
          <cell r="C1357">
            <v>390</v>
          </cell>
          <cell r="D1357" t="str">
            <v xml:space="preserve">  </v>
          </cell>
          <cell r="E1357" t="str">
            <v xml:space="preserve">    </v>
          </cell>
          <cell r="F1357" t="str">
            <v xml:space="preserve">   </v>
          </cell>
          <cell r="G1357">
            <v>52390</v>
          </cell>
          <cell r="H1357">
            <v>1903516.32</v>
          </cell>
          <cell r="I1357">
            <v>1551024.9</v>
          </cell>
          <cell r="J1357">
            <v>180589.1</v>
          </cell>
          <cell r="K1357">
            <v>171902.32</v>
          </cell>
          <cell r="L1357">
            <v>0</v>
          </cell>
        </row>
        <row r="1358">
          <cell r="A1358">
            <v>3</v>
          </cell>
          <cell r="B1358">
            <v>2</v>
          </cell>
          <cell r="C1358">
            <v>391</v>
          </cell>
          <cell r="D1358" t="str">
            <v xml:space="preserve">  </v>
          </cell>
          <cell r="E1358" t="str">
            <v xml:space="preserve">    </v>
          </cell>
          <cell r="F1358" t="str">
            <v xml:space="preserve">   </v>
          </cell>
          <cell r="G1358">
            <v>32391</v>
          </cell>
          <cell r="H1358">
            <v>0</v>
          </cell>
          <cell r="I1358">
            <v>0</v>
          </cell>
          <cell r="J1358">
            <v>0</v>
          </cell>
          <cell r="K1358">
            <v>0</v>
          </cell>
          <cell r="L1358">
            <v>0</v>
          </cell>
        </row>
        <row r="1359">
          <cell r="A1359">
            <v>4</v>
          </cell>
          <cell r="B1359">
            <v>2</v>
          </cell>
          <cell r="C1359">
            <v>391</v>
          </cell>
          <cell r="D1359" t="str">
            <v xml:space="preserve">  </v>
          </cell>
          <cell r="E1359" t="str">
            <v xml:space="preserve">    </v>
          </cell>
          <cell r="F1359" t="str">
            <v xml:space="preserve">   </v>
          </cell>
          <cell r="G1359">
            <v>42391</v>
          </cell>
          <cell r="H1359">
            <v>4176.83</v>
          </cell>
          <cell r="I1359">
            <v>3663.25</v>
          </cell>
          <cell r="J1359">
            <v>513.72</v>
          </cell>
          <cell r="K1359">
            <v>0</v>
          </cell>
          <cell r="L1359">
            <v>0</v>
          </cell>
        </row>
        <row r="1360">
          <cell r="A1360">
            <v>5</v>
          </cell>
          <cell r="B1360">
            <v>2</v>
          </cell>
          <cell r="C1360">
            <v>391</v>
          </cell>
          <cell r="D1360" t="str">
            <v xml:space="preserve">  </v>
          </cell>
          <cell r="E1360" t="str">
            <v xml:space="preserve">    </v>
          </cell>
          <cell r="F1360" t="str">
            <v xml:space="preserve">   </v>
          </cell>
          <cell r="G1360">
            <v>52391</v>
          </cell>
          <cell r="H1360">
            <v>0</v>
          </cell>
          <cell r="I1360">
            <v>0</v>
          </cell>
          <cell r="J1360">
            <v>0</v>
          </cell>
          <cell r="K1360">
            <v>0</v>
          </cell>
          <cell r="L1360">
            <v>0</v>
          </cell>
        </row>
        <row r="1361">
          <cell r="A1361">
            <v>3</v>
          </cell>
          <cell r="B1361">
            <v>2</v>
          </cell>
          <cell r="C1361">
            <v>392</v>
          </cell>
          <cell r="D1361" t="str">
            <v xml:space="preserve">  </v>
          </cell>
          <cell r="E1361" t="str">
            <v xml:space="preserve">    </v>
          </cell>
          <cell r="F1361" t="str">
            <v xml:space="preserve">   </v>
          </cell>
          <cell r="G1361">
            <v>32392</v>
          </cell>
          <cell r="H1361">
            <v>1234584.43</v>
          </cell>
          <cell r="I1361">
            <v>8730.16</v>
          </cell>
          <cell r="J1361">
            <v>1099302.75</v>
          </cell>
          <cell r="K1361">
            <v>126551.52</v>
          </cell>
          <cell r="L1361">
            <v>0</v>
          </cell>
        </row>
        <row r="1362">
          <cell r="A1362">
            <v>4</v>
          </cell>
          <cell r="B1362">
            <v>2</v>
          </cell>
          <cell r="C1362">
            <v>392</v>
          </cell>
          <cell r="D1362" t="str">
            <v xml:space="preserve">  </v>
          </cell>
          <cell r="E1362" t="str">
            <v xml:space="preserve">    </v>
          </cell>
          <cell r="F1362" t="str">
            <v xml:space="preserve">   </v>
          </cell>
          <cell r="G1362">
            <v>42392</v>
          </cell>
          <cell r="H1362">
            <v>1131302.54</v>
          </cell>
          <cell r="I1362">
            <v>7638.75</v>
          </cell>
          <cell r="J1362">
            <v>1017349.81</v>
          </cell>
          <cell r="K1362">
            <v>106314</v>
          </cell>
          <cell r="L1362">
            <v>0</v>
          </cell>
        </row>
        <row r="1363">
          <cell r="A1363">
            <v>5</v>
          </cell>
          <cell r="B1363">
            <v>2</v>
          </cell>
          <cell r="C1363">
            <v>392</v>
          </cell>
          <cell r="D1363" t="str">
            <v xml:space="preserve">  </v>
          </cell>
          <cell r="E1363" t="str">
            <v xml:space="preserve">    </v>
          </cell>
          <cell r="F1363" t="str">
            <v xml:space="preserve">   </v>
          </cell>
          <cell r="G1363">
            <v>52392</v>
          </cell>
          <cell r="H1363">
            <v>1202084.6599999999</v>
          </cell>
          <cell r="I1363">
            <v>8730.16</v>
          </cell>
          <cell r="J1363">
            <v>1077250</v>
          </cell>
          <cell r="K1363">
            <v>116104.5</v>
          </cell>
          <cell r="L1363">
            <v>0</v>
          </cell>
        </row>
        <row r="1364">
          <cell r="A1364">
            <v>3</v>
          </cell>
          <cell r="B1364">
            <v>2</v>
          </cell>
          <cell r="C1364">
            <v>393</v>
          </cell>
          <cell r="D1364" t="str">
            <v xml:space="preserve">  </v>
          </cell>
          <cell r="E1364" t="str">
            <v xml:space="preserve">    </v>
          </cell>
          <cell r="F1364" t="str">
            <v xml:space="preserve">   </v>
          </cell>
          <cell r="G1364">
            <v>32393</v>
          </cell>
          <cell r="H1364">
            <v>43084.58</v>
          </cell>
          <cell r="I1364">
            <v>0</v>
          </cell>
          <cell r="J1364">
            <v>42473.54</v>
          </cell>
          <cell r="K1364">
            <v>611.04</v>
          </cell>
          <cell r="L1364">
            <v>0</v>
          </cell>
        </row>
        <row r="1365">
          <cell r="A1365">
            <v>4</v>
          </cell>
          <cell r="B1365">
            <v>2</v>
          </cell>
          <cell r="C1365">
            <v>393</v>
          </cell>
          <cell r="D1365" t="str">
            <v xml:space="preserve">  </v>
          </cell>
          <cell r="E1365" t="str">
            <v xml:space="preserve">    </v>
          </cell>
          <cell r="F1365" t="str">
            <v xml:space="preserve">   </v>
          </cell>
          <cell r="G1365">
            <v>42393</v>
          </cell>
          <cell r="H1365">
            <v>43084.56</v>
          </cell>
          <cell r="I1365">
            <v>0</v>
          </cell>
          <cell r="J1365">
            <v>42473.52</v>
          </cell>
          <cell r="K1365">
            <v>611.04</v>
          </cell>
          <cell r="L1365">
            <v>0</v>
          </cell>
        </row>
        <row r="1366">
          <cell r="A1366">
            <v>5</v>
          </cell>
          <cell r="B1366">
            <v>2</v>
          </cell>
          <cell r="C1366">
            <v>393</v>
          </cell>
          <cell r="D1366" t="str">
            <v xml:space="preserve">  </v>
          </cell>
          <cell r="E1366" t="str">
            <v xml:space="preserve">    </v>
          </cell>
          <cell r="F1366" t="str">
            <v xml:space="preserve">   </v>
          </cell>
          <cell r="G1366">
            <v>52393</v>
          </cell>
          <cell r="H1366">
            <v>43084.58</v>
          </cell>
          <cell r="I1366">
            <v>0</v>
          </cell>
          <cell r="J1366">
            <v>42473.54</v>
          </cell>
          <cell r="K1366">
            <v>611.04</v>
          </cell>
          <cell r="L1366">
            <v>0</v>
          </cell>
        </row>
        <row r="1367">
          <cell r="A1367">
            <v>3</v>
          </cell>
          <cell r="B1367">
            <v>2</v>
          </cell>
          <cell r="C1367">
            <v>394</v>
          </cell>
          <cell r="D1367" t="str">
            <v xml:space="preserve">  </v>
          </cell>
          <cell r="E1367" t="str">
            <v xml:space="preserve">    </v>
          </cell>
          <cell r="F1367" t="str">
            <v xml:space="preserve">   </v>
          </cell>
          <cell r="G1367">
            <v>32394</v>
          </cell>
          <cell r="H1367">
            <v>721833.68</v>
          </cell>
          <cell r="I1367">
            <v>4653.26</v>
          </cell>
          <cell r="J1367">
            <v>514377.66</v>
          </cell>
          <cell r="K1367">
            <v>202802.76</v>
          </cell>
          <cell r="L1367">
            <v>0</v>
          </cell>
        </row>
        <row r="1368">
          <cell r="A1368">
            <v>4</v>
          </cell>
          <cell r="B1368">
            <v>2</v>
          </cell>
          <cell r="C1368">
            <v>394</v>
          </cell>
          <cell r="D1368" t="str">
            <v xml:space="preserve">  </v>
          </cell>
          <cell r="E1368" t="str">
            <v xml:space="preserve">    </v>
          </cell>
          <cell r="F1368" t="str">
            <v xml:space="preserve">   </v>
          </cell>
          <cell r="G1368">
            <v>42394</v>
          </cell>
          <cell r="H1368">
            <v>686512.2</v>
          </cell>
          <cell r="I1368">
            <v>3612.34</v>
          </cell>
          <cell r="J1368">
            <v>483842.92</v>
          </cell>
          <cell r="K1368">
            <v>199056.94</v>
          </cell>
          <cell r="L1368">
            <v>0</v>
          </cell>
        </row>
        <row r="1369">
          <cell r="A1369">
            <v>5</v>
          </cell>
          <cell r="B1369">
            <v>2</v>
          </cell>
          <cell r="C1369">
            <v>394</v>
          </cell>
          <cell r="D1369" t="str">
            <v xml:space="preserve">  </v>
          </cell>
          <cell r="E1369" t="str">
            <v xml:space="preserve">    </v>
          </cell>
          <cell r="F1369" t="str">
            <v xml:space="preserve">   </v>
          </cell>
          <cell r="G1369">
            <v>52394</v>
          </cell>
          <cell r="H1369">
            <v>720614.68</v>
          </cell>
          <cell r="I1369">
            <v>4653.26</v>
          </cell>
          <cell r="J1369">
            <v>513158.66</v>
          </cell>
          <cell r="K1369">
            <v>202802.76</v>
          </cell>
          <cell r="L1369">
            <v>0</v>
          </cell>
        </row>
        <row r="1370">
          <cell r="A1370">
            <v>3</v>
          </cell>
          <cell r="B1370">
            <v>2</v>
          </cell>
          <cell r="C1370">
            <v>395</v>
          </cell>
          <cell r="D1370" t="str">
            <v xml:space="preserve">  </v>
          </cell>
          <cell r="E1370" t="str">
            <v xml:space="preserve">    </v>
          </cell>
          <cell r="F1370" t="str">
            <v xml:space="preserve">   </v>
          </cell>
          <cell r="G1370">
            <v>32395</v>
          </cell>
          <cell r="H1370">
            <v>246300.62</v>
          </cell>
          <cell r="I1370">
            <v>13115.31</v>
          </cell>
          <cell r="J1370">
            <v>199846.76</v>
          </cell>
          <cell r="K1370">
            <v>33338.550000000003</v>
          </cell>
          <cell r="L1370">
            <v>0</v>
          </cell>
        </row>
        <row r="1371">
          <cell r="A1371">
            <v>4</v>
          </cell>
          <cell r="B1371">
            <v>2</v>
          </cell>
          <cell r="C1371">
            <v>395</v>
          </cell>
          <cell r="D1371" t="str">
            <v xml:space="preserve">  </v>
          </cell>
          <cell r="E1371" t="str">
            <v xml:space="preserve">    </v>
          </cell>
          <cell r="F1371" t="str">
            <v xml:space="preserve">   </v>
          </cell>
          <cell r="G1371">
            <v>42395</v>
          </cell>
          <cell r="H1371">
            <v>239455.38</v>
          </cell>
          <cell r="I1371">
            <v>13115.17</v>
          </cell>
          <cell r="J1371">
            <v>193377.02</v>
          </cell>
          <cell r="K1371">
            <v>32963.21</v>
          </cell>
          <cell r="L1371">
            <v>0</v>
          </cell>
        </row>
        <row r="1372">
          <cell r="A1372">
            <v>5</v>
          </cell>
          <cell r="B1372">
            <v>2</v>
          </cell>
          <cell r="C1372">
            <v>395</v>
          </cell>
          <cell r="D1372" t="str">
            <v xml:space="preserve">  </v>
          </cell>
          <cell r="E1372" t="str">
            <v xml:space="preserve">    </v>
          </cell>
          <cell r="F1372" t="str">
            <v xml:space="preserve">   </v>
          </cell>
          <cell r="G1372">
            <v>52395</v>
          </cell>
          <cell r="H1372">
            <v>245238.08</v>
          </cell>
          <cell r="I1372">
            <v>13115.31</v>
          </cell>
          <cell r="J1372">
            <v>198784.24</v>
          </cell>
          <cell r="K1372">
            <v>33338.54</v>
          </cell>
          <cell r="L1372">
            <v>0</v>
          </cell>
        </row>
        <row r="1373">
          <cell r="A1373">
            <v>3</v>
          </cell>
          <cell r="B1373">
            <v>2</v>
          </cell>
          <cell r="C1373">
            <v>396</v>
          </cell>
          <cell r="D1373" t="str">
            <v xml:space="preserve">  </v>
          </cell>
          <cell r="E1373" t="str">
            <v xml:space="preserve">    </v>
          </cell>
          <cell r="F1373" t="str">
            <v xml:space="preserve">   </v>
          </cell>
          <cell r="G1373">
            <v>32396</v>
          </cell>
          <cell r="H1373">
            <v>83579.86</v>
          </cell>
          <cell r="I1373">
            <v>0</v>
          </cell>
          <cell r="J1373">
            <v>27687.22</v>
          </cell>
          <cell r="K1373">
            <v>55892.639999999999</v>
          </cell>
          <cell r="L1373">
            <v>0</v>
          </cell>
        </row>
        <row r="1374">
          <cell r="A1374">
            <v>4</v>
          </cell>
          <cell r="B1374">
            <v>2</v>
          </cell>
          <cell r="C1374">
            <v>396</v>
          </cell>
          <cell r="D1374" t="str">
            <v xml:space="preserve">  </v>
          </cell>
          <cell r="E1374" t="str">
            <v xml:space="preserve">    </v>
          </cell>
          <cell r="F1374" t="str">
            <v xml:space="preserve">   </v>
          </cell>
          <cell r="G1374">
            <v>42396</v>
          </cell>
          <cell r="H1374">
            <v>83579.759999999995</v>
          </cell>
          <cell r="I1374">
            <v>0</v>
          </cell>
          <cell r="J1374">
            <v>27687.119999999999</v>
          </cell>
          <cell r="K1374">
            <v>55892.639999999999</v>
          </cell>
          <cell r="L1374">
            <v>0</v>
          </cell>
        </row>
        <row r="1375">
          <cell r="A1375">
            <v>5</v>
          </cell>
          <cell r="B1375">
            <v>2</v>
          </cell>
          <cell r="C1375">
            <v>396</v>
          </cell>
          <cell r="D1375" t="str">
            <v xml:space="preserve">  </v>
          </cell>
          <cell r="E1375" t="str">
            <v xml:space="preserve">    </v>
          </cell>
          <cell r="F1375" t="str">
            <v xml:space="preserve">   </v>
          </cell>
          <cell r="G1375">
            <v>52396</v>
          </cell>
          <cell r="H1375">
            <v>83579.86</v>
          </cell>
          <cell r="I1375">
            <v>0</v>
          </cell>
          <cell r="J1375">
            <v>27687.22</v>
          </cell>
          <cell r="K1375">
            <v>55892.639999999999</v>
          </cell>
          <cell r="L1375">
            <v>0</v>
          </cell>
        </row>
        <row r="1376">
          <cell r="A1376">
            <v>3</v>
          </cell>
          <cell r="B1376">
            <v>2</v>
          </cell>
          <cell r="C1376">
            <v>397</v>
          </cell>
          <cell r="D1376" t="str">
            <v xml:space="preserve">  </v>
          </cell>
          <cell r="E1376" t="str">
            <v xml:space="preserve">    </v>
          </cell>
          <cell r="F1376" t="str">
            <v xml:space="preserve">   </v>
          </cell>
          <cell r="G1376">
            <v>32397</v>
          </cell>
          <cell r="H1376">
            <v>216496.6</v>
          </cell>
          <cell r="I1376">
            <v>89773.83</v>
          </cell>
          <cell r="J1376">
            <v>101494.16</v>
          </cell>
          <cell r="K1376">
            <v>25228.61</v>
          </cell>
          <cell r="L1376">
            <v>0</v>
          </cell>
        </row>
        <row r="1377">
          <cell r="A1377">
            <v>4</v>
          </cell>
          <cell r="B1377">
            <v>2</v>
          </cell>
          <cell r="C1377">
            <v>397</v>
          </cell>
          <cell r="D1377" t="str">
            <v xml:space="preserve">  </v>
          </cell>
          <cell r="E1377" t="str">
            <v xml:space="preserve">    </v>
          </cell>
          <cell r="F1377" t="str">
            <v xml:space="preserve">   </v>
          </cell>
          <cell r="G1377">
            <v>42397</v>
          </cell>
          <cell r="H1377">
            <v>214138.75</v>
          </cell>
          <cell r="I1377">
            <v>92478.96</v>
          </cell>
          <cell r="J1377">
            <v>97252.61</v>
          </cell>
          <cell r="K1377">
            <v>24407.200000000001</v>
          </cell>
          <cell r="L1377">
            <v>0</v>
          </cell>
        </row>
        <row r="1378">
          <cell r="A1378">
            <v>5</v>
          </cell>
          <cell r="B1378">
            <v>2</v>
          </cell>
          <cell r="C1378">
            <v>397</v>
          </cell>
          <cell r="D1378" t="str">
            <v xml:space="preserve">  </v>
          </cell>
          <cell r="E1378" t="str">
            <v xml:space="preserve">    </v>
          </cell>
          <cell r="F1378" t="str">
            <v xml:space="preserve">   </v>
          </cell>
          <cell r="G1378">
            <v>52397</v>
          </cell>
          <cell r="H1378">
            <v>216496.58</v>
          </cell>
          <cell r="I1378">
            <v>89773.82</v>
          </cell>
          <cell r="J1378">
            <v>101494.16</v>
          </cell>
          <cell r="K1378">
            <v>25228.6</v>
          </cell>
          <cell r="L1378">
            <v>0</v>
          </cell>
        </row>
        <row r="1379">
          <cell r="A1379">
            <v>3</v>
          </cell>
          <cell r="B1379">
            <v>2</v>
          </cell>
          <cell r="C1379">
            <v>398</v>
          </cell>
          <cell r="D1379" t="str">
            <v xml:space="preserve">  </v>
          </cell>
          <cell r="E1379" t="str">
            <v xml:space="preserve">    </v>
          </cell>
          <cell r="F1379" t="str">
            <v xml:space="preserve">   </v>
          </cell>
          <cell r="G1379">
            <v>32398</v>
          </cell>
          <cell r="H1379">
            <v>3139.93</v>
          </cell>
          <cell r="I1379">
            <v>0</v>
          </cell>
          <cell r="J1379">
            <v>0</v>
          </cell>
          <cell r="K1379">
            <v>3139.93</v>
          </cell>
          <cell r="L1379">
            <v>0</v>
          </cell>
        </row>
        <row r="1380">
          <cell r="A1380">
            <v>4</v>
          </cell>
          <cell r="B1380">
            <v>2</v>
          </cell>
          <cell r="C1380">
            <v>398</v>
          </cell>
          <cell r="D1380" t="str">
            <v xml:space="preserve">  </v>
          </cell>
          <cell r="E1380" t="str">
            <v xml:space="preserve">    </v>
          </cell>
          <cell r="F1380" t="str">
            <v xml:space="preserve">   </v>
          </cell>
          <cell r="G1380">
            <v>42398</v>
          </cell>
          <cell r="H1380">
            <v>6435.22</v>
          </cell>
          <cell r="I1380">
            <v>0</v>
          </cell>
          <cell r="J1380">
            <v>3295.3</v>
          </cell>
          <cell r="K1380">
            <v>3139.92</v>
          </cell>
          <cell r="L1380">
            <v>0</v>
          </cell>
        </row>
        <row r="1381">
          <cell r="A1381">
            <v>5</v>
          </cell>
          <cell r="B1381">
            <v>2</v>
          </cell>
          <cell r="C1381">
            <v>398</v>
          </cell>
          <cell r="D1381" t="str">
            <v xml:space="preserve">  </v>
          </cell>
          <cell r="E1381" t="str">
            <v xml:space="preserve">    </v>
          </cell>
          <cell r="F1381" t="str">
            <v xml:space="preserve">   </v>
          </cell>
          <cell r="G1381">
            <v>52398</v>
          </cell>
          <cell r="H1381">
            <v>3139.92</v>
          </cell>
          <cell r="I1381">
            <v>0</v>
          </cell>
          <cell r="J1381">
            <v>0</v>
          </cell>
          <cell r="K1381">
            <v>3139.92</v>
          </cell>
          <cell r="L1381">
            <v>0</v>
          </cell>
        </row>
        <row r="1382">
          <cell r="A1382">
            <v>3</v>
          </cell>
          <cell r="B1382">
            <v>7</v>
          </cell>
          <cell r="C1382">
            <v>389</v>
          </cell>
          <cell r="D1382" t="str">
            <v xml:space="preserve">  </v>
          </cell>
          <cell r="E1382" t="str">
            <v xml:space="preserve">    </v>
          </cell>
          <cell r="F1382" t="str">
            <v xml:space="preserve">   </v>
          </cell>
          <cell r="G1382">
            <v>37389</v>
          </cell>
          <cell r="H1382">
            <v>391000.81</v>
          </cell>
          <cell r="I1382">
            <v>391000.81</v>
          </cell>
          <cell r="J1382">
            <v>0</v>
          </cell>
          <cell r="K1382">
            <v>0</v>
          </cell>
          <cell r="L1382">
            <v>0</v>
          </cell>
        </row>
        <row r="1383">
          <cell r="A1383">
            <v>4</v>
          </cell>
          <cell r="B1383">
            <v>7</v>
          </cell>
          <cell r="C1383">
            <v>389</v>
          </cell>
          <cell r="D1383" t="str">
            <v xml:space="preserve">  </v>
          </cell>
          <cell r="E1383" t="str">
            <v xml:space="preserve">    </v>
          </cell>
          <cell r="F1383" t="str">
            <v xml:space="preserve">   </v>
          </cell>
          <cell r="G1383">
            <v>47389</v>
          </cell>
          <cell r="H1383">
            <v>391000.69</v>
          </cell>
          <cell r="I1383">
            <v>391000.69</v>
          </cell>
          <cell r="J1383">
            <v>0</v>
          </cell>
          <cell r="K1383">
            <v>0</v>
          </cell>
          <cell r="L1383">
            <v>0</v>
          </cell>
        </row>
        <row r="1384">
          <cell r="A1384">
            <v>5</v>
          </cell>
          <cell r="B1384">
            <v>7</v>
          </cell>
          <cell r="C1384">
            <v>389</v>
          </cell>
          <cell r="D1384" t="str">
            <v xml:space="preserve">  </v>
          </cell>
          <cell r="E1384" t="str">
            <v xml:space="preserve">    </v>
          </cell>
          <cell r="F1384" t="str">
            <v xml:space="preserve">   </v>
          </cell>
          <cell r="G1384">
            <v>57389</v>
          </cell>
          <cell r="H1384">
            <v>391000.81</v>
          </cell>
          <cell r="I1384">
            <v>391000.81</v>
          </cell>
          <cell r="J1384">
            <v>0</v>
          </cell>
          <cell r="K1384">
            <v>0</v>
          </cell>
          <cell r="L1384">
            <v>0</v>
          </cell>
        </row>
        <row r="1385">
          <cell r="A1385">
            <v>3</v>
          </cell>
          <cell r="B1385">
            <v>7</v>
          </cell>
          <cell r="C1385">
            <v>390</v>
          </cell>
          <cell r="D1385" t="str">
            <v xml:space="preserve">  </v>
          </cell>
          <cell r="E1385" t="str">
            <v xml:space="preserve">    </v>
          </cell>
          <cell r="F1385" t="str">
            <v xml:space="preserve">   </v>
          </cell>
          <cell r="G1385">
            <v>37390</v>
          </cell>
          <cell r="H1385">
            <v>11171250.189999999</v>
          </cell>
          <cell r="I1385">
            <v>11171250.189999999</v>
          </cell>
          <cell r="J1385">
            <v>0</v>
          </cell>
          <cell r="K1385">
            <v>0</v>
          </cell>
          <cell r="L1385">
            <v>0</v>
          </cell>
        </row>
        <row r="1386">
          <cell r="A1386">
            <v>4</v>
          </cell>
          <cell r="B1386">
            <v>7</v>
          </cell>
          <cell r="C1386">
            <v>390</v>
          </cell>
          <cell r="D1386" t="str">
            <v xml:space="preserve">  </v>
          </cell>
          <cell r="E1386" t="str">
            <v xml:space="preserve">    </v>
          </cell>
          <cell r="F1386" t="str">
            <v xml:space="preserve">   </v>
          </cell>
          <cell r="G1386">
            <v>47390</v>
          </cell>
          <cell r="H1386">
            <v>10875550.01</v>
          </cell>
          <cell r="I1386">
            <v>10875550.01</v>
          </cell>
          <cell r="J1386">
            <v>0</v>
          </cell>
          <cell r="K1386">
            <v>0</v>
          </cell>
          <cell r="L1386">
            <v>0</v>
          </cell>
        </row>
        <row r="1387">
          <cell r="A1387">
            <v>5</v>
          </cell>
          <cell r="B1387">
            <v>7</v>
          </cell>
          <cell r="C1387">
            <v>390</v>
          </cell>
          <cell r="D1387" t="str">
            <v xml:space="preserve">  </v>
          </cell>
          <cell r="E1387" t="str">
            <v xml:space="preserve">    </v>
          </cell>
          <cell r="F1387" t="str">
            <v xml:space="preserve">   </v>
          </cell>
          <cell r="G1387">
            <v>57390</v>
          </cell>
          <cell r="H1387">
            <v>11123146.52</v>
          </cell>
          <cell r="I1387">
            <v>11123146.52</v>
          </cell>
          <cell r="J1387">
            <v>0</v>
          </cell>
          <cell r="K1387">
            <v>0</v>
          </cell>
          <cell r="L1387">
            <v>0</v>
          </cell>
        </row>
        <row r="1388">
          <cell r="A1388">
            <v>3</v>
          </cell>
          <cell r="B1388">
            <v>7</v>
          </cell>
          <cell r="C1388">
            <v>391</v>
          </cell>
          <cell r="D1388" t="str">
            <v xml:space="preserve">  </v>
          </cell>
          <cell r="E1388" t="str">
            <v xml:space="preserve">    </v>
          </cell>
          <cell r="F1388" t="str">
            <v xml:space="preserve">   </v>
          </cell>
          <cell r="G1388">
            <v>37391</v>
          </cell>
          <cell r="H1388">
            <v>18363493.32</v>
          </cell>
          <cell r="I1388">
            <v>18363493.32</v>
          </cell>
          <cell r="J1388">
            <v>0</v>
          </cell>
          <cell r="K1388">
            <v>0</v>
          </cell>
          <cell r="L1388">
            <v>0</v>
          </cell>
        </row>
        <row r="1389">
          <cell r="A1389">
            <v>4</v>
          </cell>
          <cell r="B1389">
            <v>7</v>
          </cell>
          <cell r="C1389">
            <v>391</v>
          </cell>
          <cell r="D1389" t="str">
            <v xml:space="preserve">  </v>
          </cell>
          <cell r="E1389" t="str">
            <v xml:space="preserve">    </v>
          </cell>
          <cell r="F1389" t="str">
            <v xml:space="preserve">   </v>
          </cell>
          <cell r="G1389">
            <v>47391</v>
          </cell>
          <cell r="H1389">
            <v>21369819.010000002</v>
          </cell>
          <cell r="I1389">
            <v>21369819.010000002</v>
          </cell>
          <cell r="J1389">
            <v>0</v>
          </cell>
          <cell r="K1389">
            <v>0</v>
          </cell>
          <cell r="L1389">
            <v>0</v>
          </cell>
        </row>
        <row r="1390">
          <cell r="A1390">
            <v>5</v>
          </cell>
          <cell r="B1390">
            <v>7</v>
          </cell>
          <cell r="C1390">
            <v>391</v>
          </cell>
          <cell r="D1390" t="str">
            <v xml:space="preserve">  </v>
          </cell>
          <cell r="E1390" t="str">
            <v xml:space="preserve">    </v>
          </cell>
          <cell r="F1390" t="str">
            <v xml:space="preserve">   </v>
          </cell>
          <cell r="G1390">
            <v>57391</v>
          </cell>
          <cell r="H1390">
            <v>17976851.870000001</v>
          </cell>
          <cell r="I1390">
            <v>17976851.870000001</v>
          </cell>
          <cell r="J1390">
            <v>0</v>
          </cell>
          <cell r="K1390">
            <v>0</v>
          </cell>
          <cell r="L1390">
            <v>0</v>
          </cell>
        </row>
        <row r="1391">
          <cell r="A1391">
            <v>3</v>
          </cell>
          <cell r="B1391">
            <v>7</v>
          </cell>
          <cell r="C1391">
            <v>394</v>
          </cell>
          <cell r="D1391" t="str">
            <v xml:space="preserve">  </v>
          </cell>
          <cell r="E1391" t="str">
            <v xml:space="preserve">    </v>
          </cell>
          <cell r="F1391" t="str">
            <v xml:space="preserve">   </v>
          </cell>
          <cell r="G1391">
            <v>37394</v>
          </cell>
          <cell r="H1391">
            <v>166365.1</v>
          </cell>
          <cell r="I1391">
            <v>166365.1</v>
          </cell>
          <cell r="J1391">
            <v>0</v>
          </cell>
          <cell r="K1391">
            <v>0</v>
          </cell>
          <cell r="L1391">
            <v>0</v>
          </cell>
        </row>
        <row r="1392">
          <cell r="A1392">
            <v>4</v>
          </cell>
          <cell r="B1392">
            <v>7</v>
          </cell>
          <cell r="C1392">
            <v>394</v>
          </cell>
          <cell r="D1392" t="str">
            <v xml:space="preserve">  </v>
          </cell>
          <cell r="E1392" t="str">
            <v xml:space="preserve">    </v>
          </cell>
          <cell r="F1392" t="str">
            <v xml:space="preserve">   </v>
          </cell>
          <cell r="G1392">
            <v>47394</v>
          </cell>
          <cell r="H1392">
            <v>166677.5</v>
          </cell>
          <cell r="I1392">
            <v>166677.5</v>
          </cell>
          <cell r="J1392">
            <v>0</v>
          </cell>
          <cell r="K1392">
            <v>0</v>
          </cell>
          <cell r="L1392">
            <v>0</v>
          </cell>
        </row>
        <row r="1393">
          <cell r="A1393">
            <v>5</v>
          </cell>
          <cell r="B1393">
            <v>7</v>
          </cell>
          <cell r="C1393">
            <v>394</v>
          </cell>
          <cell r="D1393" t="str">
            <v xml:space="preserve">  </v>
          </cell>
          <cell r="E1393" t="str">
            <v xml:space="preserve">    </v>
          </cell>
          <cell r="F1393" t="str">
            <v xml:space="preserve">   </v>
          </cell>
          <cell r="G1393">
            <v>57394</v>
          </cell>
          <cell r="H1393">
            <v>166365.1</v>
          </cell>
          <cell r="I1393">
            <v>166365.1</v>
          </cell>
          <cell r="J1393">
            <v>0</v>
          </cell>
          <cell r="K1393">
            <v>0</v>
          </cell>
          <cell r="L1393">
            <v>0</v>
          </cell>
        </row>
        <row r="1394">
          <cell r="A1394">
            <v>3</v>
          </cell>
          <cell r="B1394">
            <v>7</v>
          </cell>
          <cell r="C1394">
            <v>397</v>
          </cell>
          <cell r="D1394" t="str">
            <v xml:space="preserve">  </v>
          </cell>
          <cell r="E1394" t="str">
            <v xml:space="preserve">    </v>
          </cell>
          <cell r="F1394" t="str">
            <v xml:space="preserve">   </v>
          </cell>
          <cell r="G1394">
            <v>37397</v>
          </cell>
          <cell r="H1394">
            <v>5824357.5800000001</v>
          </cell>
          <cell r="I1394">
            <v>5824357.5800000001</v>
          </cell>
          <cell r="J1394">
            <v>0</v>
          </cell>
          <cell r="K1394">
            <v>0</v>
          </cell>
          <cell r="L1394">
            <v>0</v>
          </cell>
        </row>
        <row r="1395">
          <cell r="A1395">
            <v>4</v>
          </cell>
          <cell r="B1395">
            <v>7</v>
          </cell>
          <cell r="C1395">
            <v>397</v>
          </cell>
          <cell r="D1395" t="str">
            <v xml:space="preserve">  </v>
          </cell>
          <cell r="E1395" t="str">
            <v xml:space="preserve">    </v>
          </cell>
          <cell r="F1395" t="str">
            <v xml:space="preserve">   </v>
          </cell>
          <cell r="G1395">
            <v>47397</v>
          </cell>
          <cell r="H1395">
            <v>5672625.5099999998</v>
          </cell>
          <cell r="I1395">
            <v>5672625.5099999998</v>
          </cell>
          <cell r="J1395">
            <v>0</v>
          </cell>
          <cell r="K1395">
            <v>0</v>
          </cell>
          <cell r="L1395">
            <v>0</v>
          </cell>
        </row>
        <row r="1396">
          <cell r="A1396">
            <v>5</v>
          </cell>
          <cell r="B1396">
            <v>7</v>
          </cell>
          <cell r="C1396">
            <v>397</v>
          </cell>
          <cell r="D1396" t="str">
            <v xml:space="preserve">  </v>
          </cell>
          <cell r="E1396" t="str">
            <v xml:space="preserve">    </v>
          </cell>
          <cell r="F1396" t="str">
            <v xml:space="preserve">   </v>
          </cell>
          <cell r="G1396">
            <v>57397</v>
          </cell>
          <cell r="H1396">
            <v>5818340.1100000003</v>
          </cell>
          <cell r="I1396">
            <v>5818340.1100000003</v>
          </cell>
          <cell r="J1396">
            <v>0</v>
          </cell>
          <cell r="K1396">
            <v>0</v>
          </cell>
          <cell r="L1396">
            <v>0</v>
          </cell>
        </row>
        <row r="1397">
          <cell r="A1397">
            <v>3</v>
          </cell>
          <cell r="B1397">
            <v>7</v>
          </cell>
          <cell r="C1397">
            <v>398</v>
          </cell>
          <cell r="D1397" t="str">
            <v xml:space="preserve">  </v>
          </cell>
          <cell r="E1397" t="str">
            <v xml:space="preserve">    </v>
          </cell>
          <cell r="F1397" t="str">
            <v xml:space="preserve">   </v>
          </cell>
          <cell r="G1397">
            <v>37398</v>
          </cell>
          <cell r="H1397">
            <v>163835.79</v>
          </cell>
          <cell r="I1397">
            <v>163835.79</v>
          </cell>
          <cell r="J1397">
            <v>0</v>
          </cell>
          <cell r="K1397">
            <v>0</v>
          </cell>
          <cell r="L1397">
            <v>0</v>
          </cell>
        </row>
        <row r="1398">
          <cell r="A1398">
            <v>4</v>
          </cell>
          <cell r="B1398">
            <v>7</v>
          </cell>
          <cell r="C1398">
            <v>398</v>
          </cell>
          <cell r="D1398" t="str">
            <v xml:space="preserve">  </v>
          </cell>
          <cell r="E1398" t="str">
            <v xml:space="preserve">    </v>
          </cell>
          <cell r="F1398" t="str">
            <v xml:space="preserve">   </v>
          </cell>
          <cell r="G1398">
            <v>47398</v>
          </cell>
          <cell r="H1398">
            <v>163278.94</v>
          </cell>
          <cell r="I1398">
            <v>163278.94</v>
          </cell>
          <cell r="J1398">
            <v>0</v>
          </cell>
          <cell r="K1398">
            <v>0</v>
          </cell>
          <cell r="L1398">
            <v>0</v>
          </cell>
        </row>
        <row r="1399">
          <cell r="A1399">
            <v>5</v>
          </cell>
          <cell r="B1399">
            <v>7</v>
          </cell>
          <cell r="C1399">
            <v>398</v>
          </cell>
          <cell r="D1399" t="str">
            <v xml:space="preserve">  </v>
          </cell>
          <cell r="E1399" t="str">
            <v xml:space="preserve">    </v>
          </cell>
          <cell r="F1399" t="str">
            <v xml:space="preserve">   </v>
          </cell>
          <cell r="G1399">
            <v>57398</v>
          </cell>
          <cell r="H1399">
            <v>163608.84</v>
          </cell>
          <cell r="I1399">
            <v>163608.84</v>
          </cell>
          <cell r="J1399">
            <v>0</v>
          </cell>
          <cell r="K1399">
            <v>0</v>
          </cell>
          <cell r="L1399">
            <v>0</v>
          </cell>
        </row>
        <row r="1400">
          <cell r="A1400">
            <v>3</v>
          </cell>
          <cell r="B1400">
            <v>8</v>
          </cell>
          <cell r="C1400">
            <v>395</v>
          </cell>
          <cell r="D1400" t="str">
            <v xml:space="preserve">  </v>
          </cell>
          <cell r="E1400" t="str">
            <v xml:space="preserve">    </v>
          </cell>
          <cell r="F1400" t="str">
            <v xml:space="preserve">   </v>
          </cell>
          <cell r="G1400">
            <v>38395</v>
          </cell>
          <cell r="H1400">
            <v>8745.57</v>
          </cell>
          <cell r="I1400">
            <v>8745.57</v>
          </cell>
          <cell r="J1400">
            <v>0</v>
          </cell>
          <cell r="K1400">
            <v>0</v>
          </cell>
          <cell r="L1400">
            <v>0</v>
          </cell>
        </row>
        <row r="1401">
          <cell r="A1401">
            <v>4</v>
          </cell>
          <cell r="B1401">
            <v>8</v>
          </cell>
          <cell r="C1401">
            <v>395</v>
          </cell>
          <cell r="D1401" t="str">
            <v xml:space="preserve">  </v>
          </cell>
          <cell r="E1401" t="str">
            <v xml:space="preserve">    </v>
          </cell>
          <cell r="F1401" t="str">
            <v xml:space="preserve">   </v>
          </cell>
          <cell r="G1401">
            <v>48395</v>
          </cell>
          <cell r="H1401">
            <v>8745.49</v>
          </cell>
          <cell r="I1401">
            <v>8745.49</v>
          </cell>
          <cell r="J1401">
            <v>0</v>
          </cell>
          <cell r="K1401">
            <v>0</v>
          </cell>
          <cell r="L1401">
            <v>0</v>
          </cell>
        </row>
        <row r="1402">
          <cell r="A1402">
            <v>5</v>
          </cell>
          <cell r="B1402">
            <v>8</v>
          </cell>
          <cell r="C1402">
            <v>395</v>
          </cell>
          <cell r="D1402" t="str">
            <v xml:space="preserve">  </v>
          </cell>
          <cell r="E1402" t="str">
            <v xml:space="preserve">    </v>
          </cell>
          <cell r="F1402" t="str">
            <v xml:space="preserve">   </v>
          </cell>
          <cell r="G1402">
            <v>58395</v>
          </cell>
          <cell r="H1402">
            <v>8745.57</v>
          </cell>
          <cell r="I1402">
            <v>8745.57</v>
          </cell>
          <cell r="J1402">
            <v>0</v>
          </cell>
          <cell r="K1402">
            <v>0</v>
          </cell>
          <cell r="L1402">
            <v>0</v>
          </cell>
        </row>
        <row r="1403">
          <cell r="A1403">
            <v>3</v>
          </cell>
          <cell r="B1403">
            <v>8</v>
          </cell>
          <cell r="C1403">
            <v>397</v>
          </cell>
          <cell r="D1403" t="str">
            <v xml:space="preserve">  </v>
          </cell>
          <cell r="E1403" t="str">
            <v xml:space="preserve">    </v>
          </cell>
          <cell r="F1403" t="str">
            <v xml:space="preserve">   </v>
          </cell>
          <cell r="G1403">
            <v>38397</v>
          </cell>
          <cell r="H1403">
            <v>136143.67999999999</v>
          </cell>
          <cell r="I1403">
            <v>136143.67999999999</v>
          </cell>
          <cell r="J1403">
            <v>0</v>
          </cell>
          <cell r="K1403">
            <v>0</v>
          </cell>
          <cell r="L1403">
            <v>0</v>
          </cell>
        </row>
        <row r="1404">
          <cell r="A1404">
            <v>4</v>
          </cell>
          <cell r="B1404">
            <v>8</v>
          </cell>
          <cell r="C1404">
            <v>397</v>
          </cell>
          <cell r="D1404" t="str">
            <v xml:space="preserve">  </v>
          </cell>
          <cell r="E1404" t="str">
            <v xml:space="preserve">    </v>
          </cell>
          <cell r="F1404" t="str">
            <v xml:space="preserve">   </v>
          </cell>
          <cell r="G1404">
            <v>48397</v>
          </cell>
          <cell r="H1404">
            <v>136143.59</v>
          </cell>
          <cell r="I1404">
            <v>136143.59</v>
          </cell>
          <cell r="J1404">
            <v>0</v>
          </cell>
          <cell r="K1404">
            <v>0</v>
          </cell>
          <cell r="L1404">
            <v>0</v>
          </cell>
        </row>
        <row r="1405">
          <cell r="A1405">
            <v>5</v>
          </cell>
          <cell r="B1405">
            <v>8</v>
          </cell>
          <cell r="C1405">
            <v>397</v>
          </cell>
          <cell r="D1405" t="str">
            <v xml:space="preserve">  </v>
          </cell>
          <cell r="E1405" t="str">
            <v xml:space="preserve">    </v>
          </cell>
          <cell r="F1405" t="str">
            <v xml:space="preserve">   </v>
          </cell>
          <cell r="G1405">
            <v>58397</v>
          </cell>
          <cell r="H1405">
            <v>136143.67999999999</v>
          </cell>
          <cell r="I1405">
            <v>136143.67999999999</v>
          </cell>
          <cell r="J1405">
            <v>0</v>
          </cell>
          <cell r="K1405">
            <v>0</v>
          </cell>
          <cell r="L1405">
            <v>0</v>
          </cell>
        </row>
        <row r="1406">
          <cell r="A1406">
            <v>3</v>
          </cell>
          <cell r="B1406">
            <v>9</v>
          </cell>
          <cell r="C1406">
            <v>389</v>
          </cell>
          <cell r="D1406" t="str">
            <v xml:space="preserve">  </v>
          </cell>
          <cell r="E1406" t="str">
            <v xml:space="preserve">    </v>
          </cell>
          <cell r="F1406" t="str">
            <v xml:space="preserve">   </v>
          </cell>
          <cell r="G1406">
            <v>39389</v>
          </cell>
          <cell r="H1406">
            <v>1142175.49</v>
          </cell>
          <cell r="I1406">
            <v>267745.46999999997</v>
          </cell>
          <cell r="J1406">
            <v>480080.32</v>
          </cell>
          <cell r="K1406">
            <v>394349.7</v>
          </cell>
          <cell r="L1406">
            <v>0</v>
          </cell>
        </row>
        <row r="1407">
          <cell r="A1407">
            <v>4</v>
          </cell>
          <cell r="B1407">
            <v>9</v>
          </cell>
          <cell r="C1407">
            <v>389</v>
          </cell>
          <cell r="D1407" t="str">
            <v xml:space="preserve">  </v>
          </cell>
          <cell r="E1407" t="str">
            <v xml:space="preserve">    </v>
          </cell>
          <cell r="F1407" t="str">
            <v xml:space="preserve">   </v>
          </cell>
          <cell r="G1407">
            <v>49389</v>
          </cell>
          <cell r="H1407">
            <v>1138987.46</v>
          </cell>
          <cell r="I1407">
            <v>267745.07</v>
          </cell>
          <cell r="J1407">
            <v>476892.79</v>
          </cell>
          <cell r="K1407">
            <v>394349.65</v>
          </cell>
          <cell r="L1407">
            <v>0</v>
          </cell>
        </row>
        <row r="1408">
          <cell r="A1408">
            <v>5</v>
          </cell>
          <cell r="B1408">
            <v>9</v>
          </cell>
          <cell r="C1408">
            <v>389</v>
          </cell>
          <cell r="D1408" t="str">
            <v xml:space="preserve">  </v>
          </cell>
          <cell r="E1408" t="str">
            <v xml:space="preserve">    </v>
          </cell>
          <cell r="F1408" t="str">
            <v xml:space="preserve">   </v>
          </cell>
          <cell r="G1408">
            <v>59389</v>
          </cell>
          <cell r="H1408">
            <v>1142175.48</v>
          </cell>
          <cell r="I1408">
            <v>267745.46000000002</v>
          </cell>
          <cell r="J1408">
            <v>480080.32</v>
          </cell>
          <cell r="K1408">
            <v>394349.7</v>
          </cell>
          <cell r="L1408">
            <v>0</v>
          </cell>
        </row>
        <row r="1409">
          <cell r="A1409">
            <v>3</v>
          </cell>
          <cell r="B1409">
            <v>9</v>
          </cell>
          <cell r="C1409">
            <v>390</v>
          </cell>
          <cell r="D1409" t="str">
            <v xml:space="preserve">  </v>
          </cell>
          <cell r="E1409" t="str">
            <v xml:space="preserve">    </v>
          </cell>
          <cell r="F1409" t="str">
            <v xml:space="preserve">   </v>
          </cell>
          <cell r="G1409">
            <v>39390</v>
          </cell>
          <cell r="H1409">
            <v>7635289.0199999996</v>
          </cell>
          <cell r="I1409">
            <v>2949337.46</v>
          </cell>
          <cell r="J1409">
            <v>1349211.51</v>
          </cell>
          <cell r="K1409">
            <v>3336740.05</v>
          </cell>
          <cell r="L1409">
            <v>0</v>
          </cell>
        </row>
        <row r="1410">
          <cell r="A1410">
            <v>4</v>
          </cell>
          <cell r="B1410">
            <v>9</v>
          </cell>
          <cell r="C1410">
            <v>390</v>
          </cell>
          <cell r="D1410" t="str">
            <v xml:space="preserve">  </v>
          </cell>
          <cell r="E1410" t="str">
            <v xml:space="preserve">    </v>
          </cell>
          <cell r="F1410" t="str">
            <v xml:space="preserve">   </v>
          </cell>
          <cell r="G1410">
            <v>49390</v>
          </cell>
          <cell r="H1410">
            <v>7612643.6299999999</v>
          </cell>
          <cell r="I1410">
            <v>2945067.32</v>
          </cell>
          <cell r="J1410">
            <v>1341980.19</v>
          </cell>
          <cell r="K1410">
            <v>3325596.16</v>
          </cell>
          <cell r="L1410">
            <v>0</v>
          </cell>
        </row>
        <row r="1411">
          <cell r="A1411">
            <v>5</v>
          </cell>
          <cell r="B1411">
            <v>9</v>
          </cell>
          <cell r="C1411">
            <v>390</v>
          </cell>
          <cell r="D1411" t="str">
            <v xml:space="preserve">  </v>
          </cell>
          <cell r="E1411" t="str">
            <v xml:space="preserve">    </v>
          </cell>
          <cell r="F1411" t="str">
            <v xml:space="preserve">   </v>
          </cell>
          <cell r="G1411">
            <v>59390</v>
          </cell>
          <cell r="H1411">
            <v>7635289.0099999998</v>
          </cell>
          <cell r="I1411">
            <v>2949337.46</v>
          </cell>
          <cell r="J1411">
            <v>1349211.5</v>
          </cell>
          <cell r="K1411">
            <v>3336740.05</v>
          </cell>
          <cell r="L1411">
            <v>0</v>
          </cell>
        </row>
        <row r="1412">
          <cell r="A1412">
            <v>3</v>
          </cell>
          <cell r="B1412">
            <v>9</v>
          </cell>
          <cell r="C1412">
            <v>392</v>
          </cell>
          <cell r="D1412" t="str">
            <v xml:space="preserve">  </v>
          </cell>
          <cell r="E1412" t="str">
            <v xml:space="preserve">    </v>
          </cell>
          <cell r="F1412" t="str">
            <v xml:space="preserve">   </v>
          </cell>
          <cell r="G1412">
            <v>39392</v>
          </cell>
          <cell r="H1412">
            <v>2427387.36</v>
          </cell>
          <cell r="I1412">
            <v>1014907.53</v>
          </cell>
          <cell r="J1412">
            <v>920623.76</v>
          </cell>
          <cell r="K1412">
            <v>491856.07</v>
          </cell>
          <cell r="L1412">
            <v>0</v>
          </cell>
        </row>
        <row r="1413">
          <cell r="A1413">
            <v>4</v>
          </cell>
          <cell r="B1413">
            <v>9</v>
          </cell>
          <cell r="C1413">
            <v>392</v>
          </cell>
          <cell r="D1413" t="str">
            <v xml:space="preserve">  </v>
          </cell>
          <cell r="E1413" t="str">
            <v xml:space="preserve">    </v>
          </cell>
          <cell r="F1413" t="str">
            <v xml:space="preserve">   </v>
          </cell>
          <cell r="G1413">
            <v>49392</v>
          </cell>
          <cell r="H1413">
            <v>2279456.36</v>
          </cell>
          <cell r="I1413">
            <v>932712.98</v>
          </cell>
          <cell r="J1413">
            <v>908003.96</v>
          </cell>
          <cell r="K1413">
            <v>438739.45</v>
          </cell>
          <cell r="L1413">
            <v>0</v>
          </cell>
        </row>
        <row r="1414">
          <cell r="A1414">
            <v>5</v>
          </cell>
          <cell r="B1414">
            <v>9</v>
          </cell>
          <cell r="C1414">
            <v>392</v>
          </cell>
          <cell r="D1414" t="str">
            <v xml:space="preserve">  </v>
          </cell>
          <cell r="E1414" t="str">
            <v xml:space="preserve">    </v>
          </cell>
          <cell r="F1414" t="str">
            <v xml:space="preserve">   </v>
          </cell>
          <cell r="G1414">
            <v>59392</v>
          </cell>
          <cell r="H1414">
            <v>2428137.34</v>
          </cell>
          <cell r="I1414">
            <v>1015657.53</v>
          </cell>
          <cell r="J1414">
            <v>920623.76</v>
          </cell>
          <cell r="K1414">
            <v>491856.06</v>
          </cell>
          <cell r="L1414">
            <v>0</v>
          </cell>
        </row>
        <row r="1415">
          <cell r="A1415">
            <v>3</v>
          </cell>
          <cell r="B1415">
            <v>9</v>
          </cell>
          <cell r="C1415">
            <v>393</v>
          </cell>
          <cell r="D1415" t="str">
            <v xml:space="preserve">  </v>
          </cell>
          <cell r="E1415" t="str">
            <v xml:space="preserve">    </v>
          </cell>
          <cell r="F1415" t="str">
            <v xml:space="preserve">   </v>
          </cell>
          <cell r="G1415">
            <v>39393</v>
          </cell>
          <cell r="H1415">
            <v>779047.85</v>
          </cell>
          <cell r="I1415">
            <v>498283.67</v>
          </cell>
          <cell r="J1415">
            <v>74096.479999999996</v>
          </cell>
          <cell r="K1415">
            <v>206667.7</v>
          </cell>
          <cell r="L1415">
            <v>0</v>
          </cell>
        </row>
        <row r="1416">
          <cell r="A1416">
            <v>4</v>
          </cell>
          <cell r="B1416">
            <v>9</v>
          </cell>
          <cell r="C1416">
            <v>393</v>
          </cell>
          <cell r="D1416" t="str">
            <v xml:space="preserve">  </v>
          </cell>
          <cell r="E1416" t="str">
            <v xml:space="preserve">    </v>
          </cell>
          <cell r="F1416" t="str">
            <v xml:space="preserve">   </v>
          </cell>
          <cell r="G1416">
            <v>49393</v>
          </cell>
          <cell r="H1416">
            <v>771475.77</v>
          </cell>
          <cell r="I1416">
            <v>491492.77</v>
          </cell>
          <cell r="J1416">
            <v>73310.289999999994</v>
          </cell>
          <cell r="K1416">
            <v>206672.73</v>
          </cell>
          <cell r="L1416">
            <v>0</v>
          </cell>
        </row>
        <row r="1417">
          <cell r="A1417">
            <v>5</v>
          </cell>
          <cell r="B1417">
            <v>9</v>
          </cell>
          <cell r="C1417">
            <v>393</v>
          </cell>
          <cell r="D1417" t="str">
            <v xml:space="preserve">  </v>
          </cell>
          <cell r="E1417" t="str">
            <v xml:space="preserve">    </v>
          </cell>
          <cell r="F1417" t="str">
            <v xml:space="preserve">   </v>
          </cell>
          <cell r="G1417">
            <v>59393</v>
          </cell>
          <cell r="H1417">
            <v>778079.21</v>
          </cell>
          <cell r="I1417">
            <v>497315.05</v>
          </cell>
          <cell r="J1417">
            <v>74096.47</v>
          </cell>
          <cell r="K1417">
            <v>206667.69</v>
          </cell>
          <cell r="L1417">
            <v>0</v>
          </cell>
        </row>
        <row r="1418">
          <cell r="A1418">
            <v>3</v>
          </cell>
          <cell r="B1418">
            <v>9</v>
          </cell>
          <cell r="C1418">
            <v>394</v>
          </cell>
          <cell r="D1418" t="str">
            <v xml:space="preserve">  </v>
          </cell>
          <cell r="E1418" t="str">
            <v xml:space="preserve">    </v>
          </cell>
          <cell r="F1418" t="str">
            <v xml:space="preserve">   </v>
          </cell>
          <cell r="G1418">
            <v>39394</v>
          </cell>
          <cell r="H1418">
            <v>929928.48</v>
          </cell>
          <cell r="I1418">
            <v>827613.25</v>
          </cell>
          <cell r="J1418">
            <v>58636.47</v>
          </cell>
          <cell r="K1418">
            <v>43678.76</v>
          </cell>
          <cell r="L1418">
            <v>0</v>
          </cell>
        </row>
        <row r="1419">
          <cell r="A1419">
            <v>4</v>
          </cell>
          <cell r="B1419">
            <v>9</v>
          </cell>
          <cell r="C1419">
            <v>394</v>
          </cell>
          <cell r="D1419" t="str">
            <v xml:space="preserve">  </v>
          </cell>
          <cell r="E1419" t="str">
            <v xml:space="preserve">    </v>
          </cell>
          <cell r="F1419" t="str">
            <v xml:space="preserve">   </v>
          </cell>
          <cell r="G1419">
            <v>49394</v>
          </cell>
          <cell r="H1419">
            <v>932183.29</v>
          </cell>
          <cell r="I1419">
            <v>831281.53</v>
          </cell>
          <cell r="J1419">
            <v>57223.11</v>
          </cell>
          <cell r="K1419">
            <v>43678.69</v>
          </cell>
          <cell r="L1419">
            <v>0</v>
          </cell>
        </row>
        <row r="1420">
          <cell r="A1420">
            <v>5</v>
          </cell>
          <cell r="B1420">
            <v>9</v>
          </cell>
          <cell r="C1420">
            <v>394</v>
          </cell>
          <cell r="D1420" t="str">
            <v xml:space="preserve">  </v>
          </cell>
          <cell r="E1420" t="str">
            <v xml:space="preserve">    </v>
          </cell>
          <cell r="F1420" t="str">
            <v xml:space="preserve">   </v>
          </cell>
          <cell r="G1420">
            <v>59394</v>
          </cell>
          <cell r="H1420">
            <v>929928.45</v>
          </cell>
          <cell r="I1420">
            <v>827613.26</v>
          </cell>
          <cell r="J1420">
            <v>58636.46</v>
          </cell>
          <cell r="K1420">
            <v>43678.76</v>
          </cell>
          <cell r="L1420">
            <v>0</v>
          </cell>
        </row>
        <row r="1421">
          <cell r="A1421">
            <v>3</v>
          </cell>
          <cell r="B1421">
            <v>9</v>
          </cell>
          <cell r="C1421">
            <v>395</v>
          </cell>
          <cell r="D1421" t="str">
            <v xml:space="preserve">  </v>
          </cell>
          <cell r="E1421" t="str">
            <v xml:space="preserve">    </v>
          </cell>
          <cell r="F1421" t="str">
            <v xml:space="preserve">   </v>
          </cell>
          <cell r="G1421">
            <v>39395</v>
          </cell>
          <cell r="H1421">
            <v>640050.61</v>
          </cell>
          <cell r="I1421">
            <v>575318.01</v>
          </cell>
          <cell r="J1421">
            <v>48389.35</v>
          </cell>
          <cell r="K1421">
            <v>16343.25</v>
          </cell>
          <cell r="L1421">
            <v>0</v>
          </cell>
        </row>
        <row r="1422">
          <cell r="A1422">
            <v>4</v>
          </cell>
          <cell r="B1422">
            <v>9</v>
          </cell>
          <cell r="C1422">
            <v>395</v>
          </cell>
          <cell r="D1422" t="str">
            <v xml:space="preserve">  </v>
          </cell>
          <cell r="E1422" t="str">
            <v xml:space="preserve">    </v>
          </cell>
          <cell r="F1422" t="str">
            <v xml:space="preserve">   </v>
          </cell>
          <cell r="G1422">
            <v>49395</v>
          </cell>
          <cell r="H1422">
            <v>639776.06000000006</v>
          </cell>
          <cell r="I1422">
            <v>575043.64</v>
          </cell>
          <cell r="J1422">
            <v>48389.279999999999</v>
          </cell>
          <cell r="K1422">
            <v>16343.17</v>
          </cell>
          <cell r="L1422">
            <v>0</v>
          </cell>
        </row>
        <row r="1423">
          <cell r="A1423">
            <v>5</v>
          </cell>
          <cell r="B1423">
            <v>9</v>
          </cell>
          <cell r="C1423">
            <v>395</v>
          </cell>
          <cell r="D1423" t="str">
            <v xml:space="preserve">  </v>
          </cell>
          <cell r="E1423" t="str">
            <v xml:space="preserve">    </v>
          </cell>
          <cell r="F1423" t="str">
            <v xml:space="preserve">   </v>
          </cell>
          <cell r="G1423">
            <v>59395</v>
          </cell>
          <cell r="H1423">
            <v>640050.6</v>
          </cell>
          <cell r="I1423">
            <v>575318.01</v>
          </cell>
          <cell r="J1423">
            <v>48389.35</v>
          </cell>
          <cell r="K1423">
            <v>16343.25</v>
          </cell>
          <cell r="L1423">
            <v>0</v>
          </cell>
        </row>
        <row r="1424">
          <cell r="A1424">
            <v>3</v>
          </cell>
          <cell r="B1424">
            <v>9</v>
          </cell>
          <cell r="C1424">
            <v>396</v>
          </cell>
          <cell r="D1424" t="str">
            <v xml:space="preserve">  </v>
          </cell>
          <cell r="E1424" t="str">
            <v xml:space="preserve">    </v>
          </cell>
          <cell r="F1424" t="str">
            <v xml:space="preserve">   </v>
          </cell>
          <cell r="G1424">
            <v>39396</v>
          </cell>
          <cell r="H1424">
            <v>758878.64</v>
          </cell>
          <cell r="I1424">
            <v>288023.34999999998</v>
          </cell>
          <cell r="J1424">
            <v>316068.15999999997</v>
          </cell>
          <cell r="K1424">
            <v>154787.13</v>
          </cell>
          <cell r="L1424">
            <v>0</v>
          </cell>
        </row>
        <row r="1425">
          <cell r="A1425">
            <v>4</v>
          </cell>
          <cell r="B1425">
            <v>9</v>
          </cell>
          <cell r="C1425">
            <v>396</v>
          </cell>
          <cell r="D1425" t="str">
            <v xml:space="preserve">  </v>
          </cell>
          <cell r="E1425" t="str">
            <v xml:space="preserve">    </v>
          </cell>
          <cell r="F1425" t="str">
            <v xml:space="preserve">   </v>
          </cell>
          <cell r="G1425">
            <v>49396</v>
          </cell>
          <cell r="H1425">
            <v>758878.34</v>
          </cell>
          <cell r="I1425">
            <v>288023.31</v>
          </cell>
          <cell r="J1425">
            <v>316068.02</v>
          </cell>
          <cell r="K1425">
            <v>154787.06</v>
          </cell>
          <cell r="L1425">
            <v>0</v>
          </cell>
        </row>
        <row r="1426">
          <cell r="A1426">
            <v>5</v>
          </cell>
          <cell r="B1426">
            <v>9</v>
          </cell>
          <cell r="C1426">
            <v>396</v>
          </cell>
          <cell r="D1426" t="str">
            <v xml:space="preserve">  </v>
          </cell>
          <cell r="E1426" t="str">
            <v xml:space="preserve">    </v>
          </cell>
          <cell r="F1426" t="str">
            <v xml:space="preserve">   </v>
          </cell>
          <cell r="G1426">
            <v>59396</v>
          </cell>
          <cell r="H1426">
            <v>758878.62</v>
          </cell>
          <cell r="I1426">
            <v>288023.36</v>
          </cell>
          <cell r="J1426">
            <v>316068.15000000002</v>
          </cell>
          <cell r="K1426">
            <v>154787.12</v>
          </cell>
          <cell r="L1426">
            <v>0</v>
          </cell>
        </row>
        <row r="1427">
          <cell r="A1427">
            <v>3</v>
          </cell>
          <cell r="B1427">
            <v>9</v>
          </cell>
          <cell r="C1427">
            <v>397</v>
          </cell>
          <cell r="D1427" t="str">
            <v xml:space="preserve">  </v>
          </cell>
          <cell r="E1427" t="str">
            <v xml:space="preserve">    </v>
          </cell>
          <cell r="F1427" t="str">
            <v xml:space="preserve">   </v>
          </cell>
          <cell r="G1427">
            <v>39397</v>
          </cell>
          <cell r="H1427">
            <v>7458384.0999999996</v>
          </cell>
          <cell r="I1427">
            <v>6193818.25</v>
          </cell>
          <cell r="J1427">
            <v>492228.25</v>
          </cell>
          <cell r="K1427">
            <v>772337.6</v>
          </cell>
          <cell r="L1427">
            <v>0</v>
          </cell>
        </row>
        <row r="1428">
          <cell r="A1428">
            <v>4</v>
          </cell>
          <cell r="B1428">
            <v>9</v>
          </cell>
          <cell r="C1428">
            <v>397</v>
          </cell>
          <cell r="D1428" t="str">
            <v xml:space="preserve">  </v>
          </cell>
          <cell r="E1428" t="str">
            <v xml:space="preserve">    </v>
          </cell>
          <cell r="F1428" t="str">
            <v xml:space="preserve">   </v>
          </cell>
          <cell r="G1428">
            <v>49397</v>
          </cell>
          <cell r="H1428">
            <v>7473280.5599999996</v>
          </cell>
          <cell r="I1428">
            <v>6200757.8700000001</v>
          </cell>
          <cell r="J1428">
            <v>492228.13</v>
          </cell>
          <cell r="K1428">
            <v>780294.59</v>
          </cell>
          <cell r="L1428">
            <v>0</v>
          </cell>
        </row>
        <row r="1429">
          <cell r="A1429">
            <v>5</v>
          </cell>
          <cell r="B1429">
            <v>9</v>
          </cell>
          <cell r="C1429">
            <v>397</v>
          </cell>
          <cell r="D1429" t="str">
            <v xml:space="preserve">  </v>
          </cell>
          <cell r="E1429" t="str">
            <v xml:space="preserve">    </v>
          </cell>
          <cell r="F1429" t="str">
            <v xml:space="preserve">   </v>
          </cell>
          <cell r="G1429">
            <v>59397</v>
          </cell>
          <cell r="H1429">
            <v>7458234.0999999996</v>
          </cell>
          <cell r="I1429">
            <v>6193668.2599999998</v>
          </cell>
          <cell r="J1429">
            <v>492228.24</v>
          </cell>
          <cell r="K1429">
            <v>772337.6</v>
          </cell>
          <cell r="L1429">
            <v>0</v>
          </cell>
        </row>
        <row r="1430">
          <cell r="A1430">
            <v>3</v>
          </cell>
          <cell r="B1430">
            <v>9</v>
          </cell>
          <cell r="C1430">
            <v>398</v>
          </cell>
          <cell r="D1430" t="str">
            <v xml:space="preserve">  </v>
          </cell>
          <cell r="E1430" t="str">
            <v xml:space="preserve">    </v>
          </cell>
          <cell r="F1430" t="str">
            <v xml:space="preserve">   </v>
          </cell>
          <cell r="G1430">
            <v>39398</v>
          </cell>
          <cell r="H1430">
            <v>20029.29</v>
          </cell>
          <cell r="I1430">
            <v>7887.55</v>
          </cell>
          <cell r="J1430">
            <v>6025</v>
          </cell>
          <cell r="K1430">
            <v>6116.74</v>
          </cell>
          <cell r="L1430">
            <v>0</v>
          </cell>
        </row>
        <row r="1431">
          <cell r="A1431">
            <v>4</v>
          </cell>
          <cell r="B1431">
            <v>9</v>
          </cell>
          <cell r="C1431">
            <v>398</v>
          </cell>
          <cell r="D1431" t="str">
            <v xml:space="preserve">  </v>
          </cell>
          <cell r="E1431" t="str">
            <v xml:space="preserve">    </v>
          </cell>
          <cell r="F1431" t="str">
            <v xml:space="preserve">   </v>
          </cell>
          <cell r="G1431">
            <v>49398</v>
          </cell>
          <cell r="H1431">
            <v>20028.93</v>
          </cell>
          <cell r="I1431">
            <v>7887.47</v>
          </cell>
          <cell r="J1431">
            <v>6024.84</v>
          </cell>
          <cell r="K1431">
            <v>6116.64</v>
          </cell>
          <cell r="L1431">
            <v>0</v>
          </cell>
        </row>
        <row r="1432">
          <cell r="A1432">
            <v>5</v>
          </cell>
          <cell r="B1432">
            <v>9</v>
          </cell>
          <cell r="C1432">
            <v>398</v>
          </cell>
          <cell r="D1432" t="str">
            <v xml:space="preserve">  </v>
          </cell>
          <cell r="E1432" t="str">
            <v xml:space="preserve">    </v>
          </cell>
          <cell r="F1432" t="str">
            <v xml:space="preserve">   </v>
          </cell>
          <cell r="G1432">
            <v>59398</v>
          </cell>
          <cell r="H1432">
            <v>20029.25</v>
          </cell>
          <cell r="I1432">
            <v>7887.54</v>
          </cell>
          <cell r="J1432">
            <v>6024.99</v>
          </cell>
          <cell r="K1432">
            <v>6116.73</v>
          </cell>
          <cell r="L1432">
            <v>0</v>
          </cell>
        </row>
        <row r="1433">
          <cell r="A1433">
            <v>3</v>
          </cell>
          <cell r="B1433">
            <v>0</v>
          </cell>
          <cell r="C1433">
            <v>108</v>
          </cell>
          <cell r="D1433" t="str">
            <v>X1</v>
          </cell>
          <cell r="E1433" t="str">
            <v xml:space="preserve">    </v>
          </cell>
          <cell r="F1433" t="str">
            <v xml:space="preserve">   </v>
          </cell>
          <cell r="G1433" t="str">
            <v xml:space="preserve">30108X1       </v>
          </cell>
          <cell r="H1433">
            <v>-182827230.97999999</v>
          </cell>
          <cell r="I1433">
            <v>-182827230.97999999</v>
          </cell>
          <cell r="J1433">
            <v>0</v>
          </cell>
          <cell r="K1433">
            <v>0</v>
          </cell>
          <cell r="L1433">
            <v>0</v>
          </cell>
        </row>
        <row r="1434">
          <cell r="A1434">
            <v>4</v>
          </cell>
          <cell r="B1434">
            <v>0</v>
          </cell>
          <cell r="C1434">
            <v>108</v>
          </cell>
          <cell r="D1434" t="str">
            <v>X1</v>
          </cell>
          <cell r="E1434" t="str">
            <v xml:space="preserve">    </v>
          </cell>
          <cell r="F1434" t="str">
            <v xml:space="preserve">   </v>
          </cell>
          <cell r="G1434" t="str">
            <v xml:space="preserve">40108X1       </v>
          </cell>
          <cell r="H1434">
            <v>-179582377.94999999</v>
          </cell>
          <cell r="I1434">
            <v>-179582377.94999999</v>
          </cell>
          <cell r="J1434">
            <v>0</v>
          </cell>
          <cell r="K1434">
            <v>0</v>
          </cell>
          <cell r="L1434">
            <v>0</v>
          </cell>
        </row>
        <row r="1435">
          <cell r="A1435">
            <v>5</v>
          </cell>
          <cell r="B1435">
            <v>0</v>
          </cell>
          <cell r="C1435">
            <v>108</v>
          </cell>
          <cell r="D1435" t="str">
            <v>X1</v>
          </cell>
          <cell r="E1435" t="str">
            <v xml:space="preserve">    </v>
          </cell>
          <cell r="F1435" t="str">
            <v xml:space="preserve">   </v>
          </cell>
          <cell r="G1435" t="str">
            <v xml:space="preserve">50108X1       </v>
          </cell>
          <cell r="H1435">
            <v>-183961508.99000001</v>
          </cell>
          <cell r="I1435">
            <v>-183961508.99000001</v>
          </cell>
          <cell r="J1435">
            <v>0</v>
          </cell>
          <cell r="K1435">
            <v>0</v>
          </cell>
          <cell r="L1435">
            <v>0</v>
          </cell>
        </row>
        <row r="1436">
          <cell r="A1436">
            <v>3</v>
          </cell>
          <cell r="B1436">
            <v>0</v>
          </cell>
          <cell r="C1436">
            <v>108</v>
          </cell>
          <cell r="D1436" t="str">
            <v>X2</v>
          </cell>
          <cell r="E1436" t="str">
            <v xml:space="preserve">    </v>
          </cell>
          <cell r="F1436" t="str">
            <v xml:space="preserve">   </v>
          </cell>
          <cell r="G1436" t="str">
            <v xml:space="preserve">30108X2       </v>
          </cell>
          <cell r="H1436">
            <v>-46147168.57</v>
          </cell>
          <cell r="I1436">
            <v>-46147168.57</v>
          </cell>
          <cell r="J1436">
            <v>0</v>
          </cell>
          <cell r="K1436">
            <v>0</v>
          </cell>
          <cell r="L1436">
            <v>0</v>
          </cell>
        </row>
        <row r="1437">
          <cell r="A1437">
            <v>4</v>
          </cell>
          <cell r="B1437">
            <v>0</v>
          </cell>
          <cell r="C1437">
            <v>108</v>
          </cell>
          <cell r="D1437" t="str">
            <v>X2</v>
          </cell>
          <cell r="E1437" t="str">
            <v xml:space="preserve">    </v>
          </cell>
          <cell r="F1437" t="str">
            <v xml:space="preserve">   </v>
          </cell>
          <cell r="G1437" t="str">
            <v xml:space="preserve">40108X2       </v>
          </cell>
          <cell r="H1437">
            <v>-44660905.939999998</v>
          </cell>
          <cell r="I1437">
            <v>-44660905.939999998</v>
          </cell>
          <cell r="J1437">
            <v>0</v>
          </cell>
          <cell r="K1437">
            <v>0</v>
          </cell>
          <cell r="L1437">
            <v>0</v>
          </cell>
        </row>
        <row r="1438">
          <cell r="A1438">
            <v>5</v>
          </cell>
          <cell r="B1438">
            <v>0</v>
          </cell>
          <cell r="C1438">
            <v>108</v>
          </cell>
          <cell r="D1438" t="str">
            <v>X2</v>
          </cell>
          <cell r="E1438" t="str">
            <v xml:space="preserve">    </v>
          </cell>
          <cell r="F1438" t="str">
            <v xml:space="preserve">   </v>
          </cell>
          <cell r="G1438" t="str">
            <v xml:space="preserve">50108X2       </v>
          </cell>
          <cell r="H1438">
            <v>-46007003.219999999</v>
          </cell>
          <cell r="I1438">
            <v>-46007003.219999999</v>
          </cell>
          <cell r="J1438">
            <v>0</v>
          </cell>
          <cell r="K1438">
            <v>0</v>
          </cell>
          <cell r="L1438">
            <v>0</v>
          </cell>
        </row>
        <row r="1439">
          <cell r="A1439">
            <v>3</v>
          </cell>
          <cell r="B1439">
            <v>0</v>
          </cell>
          <cell r="C1439">
            <v>108</v>
          </cell>
          <cell r="D1439" t="str">
            <v>X3</v>
          </cell>
          <cell r="E1439" t="str">
            <v xml:space="preserve">    </v>
          </cell>
          <cell r="F1439" t="str">
            <v xml:space="preserve">   </v>
          </cell>
          <cell r="G1439" t="str">
            <v xml:space="preserve">30108X3       </v>
          </cell>
          <cell r="H1439">
            <v>-8847363.3000000007</v>
          </cell>
          <cell r="I1439">
            <v>-8847363.3000000007</v>
          </cell>
          <cell r="J1439">
            <v>0</v>
          </cell>
          <cell r="K1439">
            <v>0</v>
          </cell>
          <cell r="L1439">
            <v>0</v>
          </cell>
        </row>
        <row r="1440">
          <cell r="A1440">
            <v>4</v>
          </cell>
          <cell r="B1440">
            <v>0</v>
          </cell>
          <cell r="C1440">
            <v>108</v>
          </cell>
          <cell r="D1440" t="str">
            <v>X3</v>
          </cell>
          <cell r="E1440" t="str">
            <v xml:space="preserve">    </v>
          </cell>
          <cell r="F1440" t="str">
            <v xml:space="preserve">   </v>
          </cell>
          <cell r="G1440" t="str">
            <v xml:space="preserve">40108X3       </v>
          </cell>
          <cell r="H1440">
            <v>-8594803.9700000007</v>
          </cell>
          <cell r="I1440">
            <v>-8594803.9700000007</v>
          </cell>
          <cell r="J1440">
            <v>0</v>
          </cell>
          <cell r="K1440">
            <v>0</v>
          </cell>
          <cell r="L1440">
            <v>0</v>
          </cell>
        </row>
        <row r="1441">
          <cell r="A1441">
            <v>5</v>
          </cell>
          <cell r="B1441">
            <v>0</v>
          </cell>
          <cell r="C1441">
            <v>108</v>
          </cell>
          <cell r="D1441" t="str">
            <v>X3</v>
          </cell>
          <cell r="E1441" t="str">
            <v xml:space="preserve">    </v>
          </cell>
          <cell r="F1441" t="str">
            <v xml:space="preserve">   </v>
          </cell>
          <cell r="G1441" t="str">
            <v xml:space="preserve">50108X3       </v>
          </cell>
          <cell r="H1441">
            <v>-8826141.2899999991</v>
          </cell>
          <cell r="I1441">
            <v>-8826141.2899999991</v>
          </cell>
          <cell r="J1441">
            <v>0</v>
          </cell>
          <cell r="K1441">
            <v>0</v>
          </cell>
          <cell r="L1441">
            <v>0</v>
          </cell>
        </row>
        <row r="1442">
          <cell r="A1442">
            <v>3</v>
          </cell>
          <cell r="B1442">
            <v>0</v>
          </cell>
          <cell r="C1442">
            <v>108</v>
          </cell>
          <cell r="D1442" t="str">
            <v>X4</v>
          </cell>
          <cell r="E1442" t="str">
            <v xml:space="preserve">    </v>
          </cell>
          <cell r="F1442" t="str">
            <v xml:space="preserve">   </v>
          </cell>
          <cell r="G1442" t="str">
            <v xml:space="preserve">30108X4       </v>
          </cell>
          <cell r="H1442">
            <v>-84848568.310000002</v>
          </cell>
          <cell r="I1442">
            <v>-84848568.310000002</v>
          </cell>
          <cell r="J1442">
            <v>0</v>
          </cell>
          <cell r="K1442">
            <v>0</v>
          </cell>
          <cell r="L1442">
            <v>0</v>
          </cell>
        </row>
        <row r="1443">
          <cell r="A1443">
            <v>4</v>
          </cell>
          <cell r="B1443">
            <v>0</v>
          </cell>
          <cell r="C1443">
            <v>108</v>
          </cell>
          <cell r="D1443" t="str">
            <v>X4</v>
          </cell>
          <cell r="E1443" t="str">
            <v xml:space="preserve">    </v>
          </cell>
          <cell r="F1443" t="str">
            <v xml:space="preserve">   </v>
          </cell>
          <cell r="G1443" t="str">
            <v xml:space="preserve">40108X4       </v>
          </cell>
          <cell r="H1443">
            <v>-82423252.120000005</v>
          </cell>
          <cell r="I1443">
            <v>-82423252.120000005</v>
          </cell>
          <cell r="J1443">
            <v>0</v>
          </cell>
          <cell r="K1443">
            <v>0</v>
          </cell>
          <cell r="L1443">
            <v>0</v>
          </cell>
        </row>
        <row r="1444">
          <cell r="A1444">
            <v>5</v>
          </cell>
          <cell r="B1444">
            <v>0</v>
          </cell>
          <cell r="C1444">
            <v>108</v>
          </cell>
          <cell r="D1444" t="str">
            <v>X4</v>
          </cell>
          <cell r="E1444" t="str">
            <v xml:space="preserve">    </v>
          </cell>
          <cell r="F1444" t="str">
            <v xml:space="preserve">   </v>
          </cell>
          <cell r="G1444" t="str">
            <v xml:space="preserve">50108X4       </v>
          </cell>
          <cell r="H1444">
            <v>-84849608.390000001</v>
          </cell>
          <cell r="I1444">
            <v>-84849608.390000001</v>
          </cell>
          <cell r="J1444">
            <v>0</v>
          </cell>
          <cell r="K1444">
            <v>0</v>
          </cell>
          <cell r="L1444">
            <v>0</v>
          </cell>
        </row>
        <row r="1445">
          <cell r="A1445">
            <v>3</v>
          </cell>
          <cell r="B1445">
            <v>0</v>
          </cell>
          <cell r="C1445">
            <v>108</v>
          </cell>
          <cell r="D1445" t="str">
            <v>X5</v>
          </cell>
          <cell r="E1445" t="str">
            <v xml:space="preserve">    </v>
          </cell>
          <cell r="F1445" t="str">
            <v xml:space="preserve">   </v>
          </cell>
          <cell r="G1445" t="str">
            <v xml:space="preserve">30108X5       </v>
          </cell>
          <cell r="H1445">
            <v>-163517292.65000001</v>
          </cell>
          <cell r="I1445">
            <v>-163517292.65000001</v>
          </cell>
          <cell r="J1445">
            <v>0</v>
          </cell>
          <cell r="K1445">
            <v>0</v>
          </cell>
          <cell r="L1445">
            <v>0</v>
          </cell>
        </row>
        <row r="1446">
          <cell r="A1446">
            <v>4</v>
          </cell>
          <cell r="B1446">
            <v>0</v>
          </cell>
          <cell r="C1446">
            <v>108</v>
          </cell>
          <cell r="D1446" t="str">
            <v>X5</v>
          </cell>
          <cell r="E1446" t="str">
            <v xml:space="preserve">    </v>
          </cell>
          <cell r="F1446" t="str">
            <v xml:space="preserve">   </v>
          </cell>
          <cell r="G1446" t="str">
            <v xml:space="preserve">40108X5       </v>
          </cell>
          <cell r="H1446">
            <v>-160678758.38999999</v>
          </cell>
          <cell r="I1446">
            <v>-160678758.38999999</v>
          </cell>
          <cell r="J1446">
            <v>0</v>
          </cell>
          <cell r="K1446">
            <v>0</v>
          </cell>
          <cell r="L1446">
            <v>0</v>
          </cell>
        </row>
        <row r="1447">
          <cell r="A1447">
            <v>5</v>
          </cell>
          <cell r="B1447">
            <v>0</v>
          </cell>
          <cell r="C1447">
            <v>108</v>
          </cell>
          <cell r="D1447" t="str">
            <v>X5</v>
          </cell>
          <cell r="E1447" t="str">
            <v xml:space="preserve">    </v>
          </cell>
          <cell r="F1447" t="str">
            <v xml:space="preserve">   </v>
          </cell>
          <cell r="G1447" t="str">
            <v xml:space="preserve">50108X5       </v>
          </cell>
          <cell r="H1447">
            <v>-163965640.25999999</v>
          </cell>
          <cell r="I1447">
            <v>-163965640.25999999</v>
          </cell>
          <cell r="J1447">
            <v>0</v>
          </cell>
          <cell r="K1447">
            <v>0</v>
          </cell>
          <cell r="L1447">
            <v>0</v>
          </cell>
        </row>
        <row r="1448">
          <cell r="A1448">
            <v>3</v>
          </cell>
          <cell r="B1448">
            <v>0</v>
          </cell>
          <cell r="C1448">
            <v>108</v>
          </cell>
          <cell r="D1448" t="str">
            <v>X6</v>
          </cell>
          <cell r="E1448" t="str">
            <v xml:space="preserve">    </v>
          </cell>
          <cell r="F1448" t="str">
            <v xml:space="preserve">   </v>
          </cell>
          <cell r="G1448" t="str">
            <v xml:space="preserve">30108X6       </v>
          </cell>
          <cell r="H1448">
            <v>-9342100.1799999997</v>
          </cell>
          <cell r="I1448">
            <v>-9342100.1799999997</v>
          </cell>
          <cell r="J1448">
            <v>0</v>
          </cell>
          <cell r="K1448">
            <v>0</v>
          </cell>
          <cell r="L1448">
            <v>0</v>
          </cell>
        </row>
        <row r="1449">
          <cell r="A1449">
            <v>4</v>
          </cell>
          <cell r="B1449">
            <v>0</v>
          </cell>
          <cell r="C1449">
            <v>108</v>
          </cell>
          <cell r="D1449" t="str">
            <v>X6</v>
          </cell>
          <cell r="E1449" t="str">
            <v xml:space="preserve">    </v>
          </cell>
          <cell r="F1449" t="str">
            <v xml:space="preserve">   </v>
          </cell>
          <cell r="G1449" t="str">
            <v xml:space="preserve">40108X6       </v>
          </cell>
          <cell r="H1449">
            <v>-11027929.33</v>
          </cell>
          <cell r="I1449">
            <v>-11027929.33</v>
          </cell>
          <cell r="J1449">
            <v>0</v>
          </cell>
          <cell r="K1449">
            <v>0</v>
          </cell>
          <cell r="L1449">
            <v>0</v>
          </cell>
        </row>
        <row r="1450">
          <cell r="A1450">
            <v>5</v>
          </cell>
          <cell r="B1450">
            <v>0</v>
          </cell>
          <cell r="C1450">
            <v>108</v>
          </cell>
          <cell r="D1450" t="str">
            <v>X6</v>
          </cell>
          <cell r="E1450" t="str">
            <v xml:space="preserve">    </v>
          </cell>
          <cell r="F1450" t="str">
            <v xml:space="preserve">   </v>
          </cell>
          <cell r="G1450" t="str">
            <v xml:space="preserve">50108X6       </v>
          </cell>
          <cell r="H1450">
            <v>-9364056.4600000009</v>
          </cell>
          <cell r="I1450">
            <v>-9364056.4600000009</v>
          </cell>
          <cell r="J1450">
            <v>0</v>
          </cell>
          <cell r="K1450">
            <v>0</v>
          </cell>
          <cell r="L1450">
            <v>0</v>
          </cell>
        </row>
        <row r="1451">
          <cell r="A1451">
            <v>3</v>
          </cell>
          <cell r="B1451">
            <v>0</v>
          </cell>
          <cell r="C1451">
            <v>108</v>
          </cell>
          <cell r="D1451" t="str">
            <v>X7</v>
          </cell>
          <cell r="E1451" t="str">
            <v xml:space="preserve">    </v>
          </cell>
          <cell r="F1451" t="str">
            <v xml:space="preserve">   </v>
          </cell>
          <cell r="G1451" t="str">
            <v xml:space="preserve">30108X7       </v>
          </cell>
          <cell r="H1451">
            <v>-10961477.26</v>
          </cell>
          <cell r="I1451">
            <v>-10961477.26</v>
          </cell>
          <cell r="J1451">
            <v>0</v>
          </cell>
          <cell r="K1451">
            <v>0</v>
          </cell>
          <cell r="L1451">
            <v>0</v>
          </cell>
        </row>
        <row r="1452">
          <cell r="A1452">
            <v>4</v>
          </cell>
          <cell r="B1452">
            <v>0</v>
          </cell>
          <cell r="C1452">
            <v>108</v>
          </cell>
          <cell r="D1452" t="str">
            <v>X7</v>
          </cell>
          <cell r="E1452" t="str">
            <v xml:space="preserve">    </v>
          </cell>
          <cell r="F1452" t="str">
            <v xml:space="preserve">   </v>
          </cell>
          <cell r="G1452" t="str">
            <v xml:space="preserve">40108X7       </v>
          </cell>
          <cell r="H1452">
            <v>-10424286.800000001</v>
          </cell>
          <cell r="I1452">
            <v>-10424286.800000001</v>
          </cell>
          <cell r="J1452">
            <v>0</v>
          </cell>
          <cell r="K1452">
            <v>0</v>
          </cell>
          <cell r="L1452">
            <v>0</v>
          </cell>
        </row>
        <row r="1453">
          <cell r="A1453">
            <v>5</v>
          </cell>
          <cell r="B1453">
            <v>0</v>
          </cell>
          <cell r="C1453">
            <v>108</v>
          </cell>
          <cell r="D1453" t="str">
            <v>X7</v>
          </cell>
          <cell r="E1453" t="str">
            <v xml:space="preserve">    </v>
          </cell>
          <cell r="F1453" t="str">
            <v xml:space="preserve">   </v>
          </cell>
          <cell r="G1453" t="str">
            <v xml:space="preserve">50108X7       </v>
          </cell>
          <cell r="H1453">
            <v>-10906492.09</v>
          </cell>
          <cell r="I1453">
            <v>-10906492.09</v>
          </cell>
          <cell r="J1453">
            <v>0</v>
          </cell>
          <cell r="K1453">
            <v>0</v>
          </cell>
          <cell r="L1453">
            <v>0</v>
          </cell>
        </row>
        <row r="1454">
          <cell r="A1454">
            <v>3</v>
          </cell>
          <cell r="B1454">
            <v>1</v>
          </cell>
          <cell r="C1454">
            <v>119</v>
          </cell>
          <cell r="D1454" t="str">
            <v>X1</v>
          </cell>
          <cell r="E1454" t="str">
            <v xml:space="preserve">    </v>
          </cell>
          <cell r="F1454" t="str">
            <v xml:space="preserve">   </v>
          </cell>
          <cell r="G1454" t="str">
            <v xml:space="preserve">31119X1       </v>
          </cell>
          <cell r="H1454">
            <v>-8205040.5599999996</v>
          </cell>
          <cell r="I1454">
            <v>-8205040.5599999996</v>
          </cell>
          <cell r="J1454">
            <v>0</v>
          </cell>
          <cell r="K1454">
            <v>0</v>
          </cell>
          <cell r="L1454">
            <v>0</v>
          </cell>
        </row>
        <row r="1455">
          <cell r="A1455">
            <v>4</v>
          </cell>
          <cell r="B1455">
            <v>1</v>
          </cell>
          <cell r="C1455">
            <v>119</v>
          </cell>
          <cell r="D1455" t="str">
            <v>X1</v>
          </cell>
          <cell r="E1455" t="str">
            <v xml:space="preserve">    </v>
          </cell>
          <cell r="F1455" t="str">
            <v xml:space="preserve">   </v>
          </cell>
          <cell r="G1455" t="str">
            <v xml:space="preserve">41119X1       </v>
          </cell>
          <cell r="H1455">
            <v>-7983201.7300000004</v>
          </cell>
          <cell r="I1455">
            <v>-7983201.7300000004</v>
          </cell>
          <cell r="J1455">
            <v>0</v>
          </cell>
          <cell r="K1455">
            <v>0</v>
          </cell>
          <cell r="L1455">
            <v>0</v>
          </cell>
        </row>
        <row r="1456">
          <cell r="A1456">
            <v>5</v>
          </cell>
          <cell r="B1456">
            <v>1</v>
          </cell>
          <cell r="C1456">
            <v>119</v>
          </cell>
          <cell r="D1456" t="str">
            <v>X1</v>
          </cell>
          <cell r="E1456" t="str">
            <v xml:space="preserve">    </v>
          </cell>
          <cell r="F1456" t="str">
            <v xml:space="preserve">   </v>
          </cell>
          <cell r="G1456" t="str">
            <v xml:space="preserve">51119X1       </v>
          </cell>
          <cell r="H1456">
            <v>-8187650.5499999998</v>
          </cell>
          <cell r="I1456">
            <v>-8187650.5499999998</v>
          </cell>
          <cell r="J1456">
            <v>0</v>
          </cell>
          <cell r="K1456">
            <v>0</v>
          </cell>
          <cell r="L1456">
            <v>0</v>
          </cell>
        </row>
        <row r="1457">
          <cell r="A1457">
            <v>3</v>
          </cell>
          <cell r="B1457">
            <v>1</v>
          </cell>
          <cell r="C1457">
            <v>119</v>
          </cell>
          <cell r="D1457" t="str">
            <v>X5</v>
          </cell>
          <cell r="E1457" t="str">
            <v xml:space="preserve">    </v>
          </cell>
          <cell r="F1457" t="str">
            <v xml:space="preserve">   </v>
          </cell>
          <cell r="G1457" t="str">
            <v xml:space="preserve">31119X5       </v>
          </cell>
          <cell r="H1457">
            <v>-62411574.109999999</v>
          </cell>
          <cell r="I1457">
            <v>-62411574.109999999</v>
          </cell>
          <cell r="J1457">
            <v>0</v>
          </cell>
          <cell r="K1457">
            <v>0</v>
          </cell>
          <cell r="L1457">
            <v>0</v>
          </cell>
        </row>
        <row r="1458">
          <cell r="A1458">
            <v>4</v>
          </cell>
          <cell r="B1458">
            <v>1</v>
          </cell>
          <cell r="C1458">
            <v>119</v>
          </cell>
          <cell r="D1458" t="str">
            <v>X5</v>
          </cell>
          <cell r="E1458" t="str">
            <v xml:space="preserve">    </v>
          </cell>
          <cell r="F1458" t="str">
            <v xml:space="preserve">   </v>
          </cell>
          <cell r="G1458" t="str">
            <v xml:space="preserve">41119X5       </v>
          </cell>
          <cell r="H1458">
            <v>-60437905.420000002</v>
          </cell>
          <cell r="I1458">
            <v>-60437905.420000002</v>
          </cell>
          <cell r="J1458">
            <v>0</v>
          </cell>
          <cell r="K1458">
            <v>0</v>
          </cell>
          <cell r="L1458">
            <v>0</v>
          </cell>
        </row>
        <row r="1459">
          <cell r="A1459">
            <v>5</v>
          </cell>
          <cell r="B1459">
            <v>1</v>
          </cell>
          <cell r="C1459">
            <v>119</v>
          </cell>
          <cell r="D1459" t="str">
            <v>X5</v>
          </cell>
          <cell r="E1459" t="str">
            <v xml:space="preserve">    </v>
          </cell>
          <cell r="F1459" t="str">
            <v xml:space="preserve">   </v>
          </cell>
          <cell r="G1459" t="str">
            <v xml:space="preserve">51119X5       </v>
          </cell>
          <cell r="H1459">
            <v>-62385934.899999999</v>
          </cell>
          <cell r="I1459">
            <v>-62385934.899999999</v>
          </cell>
          <cell r="J1459">
            <v>0</v>
          </cell>
          <cell r="K1459">
            <v>0</v>
          </cell>
          <cell r="L1459">
            <v>0</v>
          </cell>
        </row>
        <row r="1460">
          <cell r="A1460">
            <v>3</v>
          </cell>
          <cell r="B1460">
            <v>1</v>
          </cell>
          <cell r="C1460">
            <v>119</v>
          </cell>
          <cell r="D1460" t="str">
            <v>X6</v>
          </cell>
          <cell r="E1460" t="str">
            <v xml:space="preserve">    </v>
          </cell>
          <cell r="F1460" t="str">
            <v xml:space="preserve">   </v>
          </cell>
          <cell r="G1460" t="str">
            <v xml:space="preserve">31119X6       </v>
          </cell>
          <cell r="H1460">
            <v>-1128089.07</v>
          </cell>
          <cell r="I1460">
            <v>-1128089.07</v>
          </cell>
          <cell r="J1460">
            <v>0</v>
          </cell>
          <cell r="K1460">
            <v>0</v>
          </cell>
          <cell r="L1460">
            <v>0</v>
          </cell>
        </row>
        <row r="1461">
          <cell r="A1461">
            <v>4</v>
          </cell>
          <cell r="B1461">
            <v>1</v>
          </cell>
          <cell r="C1461">
            <v>119</v>
          </cell>
          <cell r="D1461" t="str">
            <v>X6</v>
          </cell>
          <cell r="E1461" t="str">
            <v xml:space="preserve">    </v>
          </cell>
          <cell r="F1461" t="str">
            <v xml:space="preserve">   </v>
          </cell>
          <cell r="G1461" t="str">
            <v xml:space="preserve">41119X6       </v>
          </cell>
          <cell r="H1461">
            <v>-1079946.98</v>
          </cell>
          <cell r="I1461">
            <v>-1079946.98</v>
          </cell>
          <cell r="J1461">
            <v>0</v>
          </cell>
          <cell r="K1461">
            <v>0</v>
          </cell>
          <cell r="L1461">
            <v>0</v>
          </cell>
        </row>
        <row r="1462">
          <cell r="A1462">
            <v>5</v>
          </cell>
          <cell r="B1462">
            <v>1</v>
          </cell>
          <cell r="C1462">
            <v>119</v>
          </cell>
          <cell r="D1462" t="str">
            <v>X6</v>
          </cell>
          <cell r="E1462" t="str">
            <v xml:space="preserve">    </v>
          </cell>
          <cell r="F1462" t="str">
            <v xml:space="preserve">   </v>
          </cell>
          <cell r="G1462" t="str">
            <v xml:space="preserve">51119X6       </v>
          </cell>
          <cell r="H1462">
            <v>-1123440.05</v>
          </cell>
          <cell r="I1462">
            <v>-1123440.05</v>
          </cell>
          <cell r="J1462">
            <v>0</v>
          </cell>
          <cell r="K1462">
            <v>0</v>
          </cell>
          <cell r="L1462">
            <v>0</v>
          </cell>
        </row>
        <row r="1463">
          <cell r="A1463">
            <v>3</v>
          </cell>
          <cell r="B1463">
            <v>1</v>
          </cell>
          <cell r="C1463">
            <v>119</v>
          </cell>
          <cell r="D1463" t="str">
            <v>X7</v>
          </cell>
          <cell r="E1463" t="str">
            <v xml:space="preserve">    </v>
          </cell>
          <cell r="F1463" t="str">
            <v xml:space="preserve">   </v>
          </cell>
          <cell r="G1463" t="str">
            <v xml:space="preserve">31119X7       </v>
          </cell>
          <cell r="H1463">
            <v>-1488986.48</v>
          </cell>
          <cell r="I1463">
            <v>-1488986.48</v>
          </cell>
          <cell r="J1463">
            <v>0</v>
          </cell>
          <cell r="K1463">
            <v>0</v>
          </cell>
          <cell r="L1463">
            <v>0</v>
          </cell>
        </row>
        <row r="1464">
          <cell r="A1464">
            <v>4</v>
          </cell>
          <cell r="B1464">
            <v>1</v>
          </cell>
          <cell r="C1464">
            <v>119</v>
          </cell>
          <cell r="D1464" t="str">
            <v>X7</v>
          </cell>
          <cell r="E1464" t="str">
            <v xml:space="preserve">    </v>
          </cell>
          <cell r="F1464" t="str">
            <v xml:space="preserve">   </v>
          </cell>
          <cell r="G1464" t="str">
            <v xml:space="preserve">41119X7       </v>
          </cell>
          <cell r="H1464">
            <v>-1395657.12</v>
          </cell>
          <cell r="I1464">
            <v>-1395657.12</v>
          </cell>
          <cell r="J1464">
            <v>0</v>
          </cell>
          <cell r="K1464">
            <v>0</v>
          </cell>
          <cell r="L1464">
            <v>0</v>
          </cell>
        </row>
        <row r="1465">
          <cell r="A1465">
            <v>5</v>
          </cell>
          <cell r="B1465">
            <v>1</v>
          </cell>
          <cell r="C1465">
            <v>119</v>
          </cell>
          <cell r="D1465" t="str">
            <v>X7</v>
          </cell>
          <cell r="E1465" t="str">
            <v xml:space="preserve">    </v>
          </cell>
          <cell r="F1465" t="str">
            <v xml:space="preserve">   </v>
          </cell>
          <cell r="G1465" t="str">
            <v xml:space="preserve">51119X7       </v>
          </cell>
          <cell r="H1465">
            <v>-1482349.3</v>
          </cell>
          <cell r="I1465">
            <v>-1482349.3</v>
          </cell>
          <cell r="J1465">
            <v>0</v>
          </cell>
          <cell r="K1465">
            <v>0</v>
          </cell>
          <cell r="L1465">
            <v>0</v>
          </cell>
        </row>
        <row r="1466">
          <cell r="A1466">
            <v>3</v>
          </cell>
          <cell r="B1466">
            <v>2</v>
          </cell>
          <cell r="C1466">
            <v>119</v>
          </cell>
          <cell r="D1466" t="str">
            <v>X2</v>
          </cell>
          <cell r="E1466" t="str">
            <v xml:space="preserve">    </v>
          </cell>
          <cell r="F1466" t="str">
            <v xml:space="preserve">   </v>
          </cell>
          <cell r="G1466" t="str">
            <v xml:space="preserve">32119X2       </v>
          </cell>
          <cell r="H1466">
            <v>-100455.1</v>
          </cell>
          <cell r="I1466">
            <v>0</v>
          </cell>
          <cell r="J1466">
            <v>-100455.1</v>
          </cell>
          <cell r="K1466">
            <v>0</v>
          </cell>
          <cell r="L1466">
            <v>0</v>
          </cell>
        </row>
        <row r="1467">
          <cell r="A1467">
            <v>4</v>
          </cell>
          <cell r="B1467">
            <v>2</v>
          </cell>
          <cell r="C1467">
            <v>119</v>
          </cell>
          <cell r="D1467" t="str">
            <v>X2</v>
          </cell>
          <cell r="E1467" t="str">
            <v xml:space="preserve">    </v>
          </cell>
          <cell r="F1467" t="str">
            <v xml:space="preserve">   </v>
          </cell>
          <cell r="G1467" t="str">
            <v xml:space="preserve">42119X2       </v>
          </cell>
          <cell r="H1467">
            <v>-98340.62</v>
          </cell>
          <cell r="I1467">
            <v>0</v>
          </cell>
          <cell r="J1467">
            <v>-98340.62</v>
          </cell>
          <cell r="K1467">
            <v>0</v>
          </cell>
          <cell r="L1467">
            <v>0</v>
          </cell>
        </row>
        <row r="1468">
          <cell r="A1468">
            <v>5</v>
          </cell>
          <cell r="B1468">
            <v>2</v>
          </cell>
          <cell r="C1468">
            <v>119</v>
          </cell>
          <cell r="D1468" t="str">
            <v>X2</v>
          </cell>
          <cell r="E1468" t="str">
            <v xml:space="preserve">    </v>
          </cell>
          <cell r="F1468" t="str">
            <v xml:space="preserve">   </v>
          </cell>
          <cell r="G1468" t="str">
            <v xml:space="preserve">52119X2       </v>
          </cell>
          <cell r="H1468">
            <v>-100279.6</v>
          </cell>
          <cell r="I1468">
            <v>0</v>
          </cell>
          <cell r="J1468">
            <v>-100279.6</v>
          </cell>
          <cell r="K1468">
            <v>0</v>
          </cell>
          <cell r="L1468">
            <v>0</v>
          </cell>
        </row>
        <row r="1469">
          <cell r="A1469">
            <v>3</v>
          </cell>
          <cell r="B1469">
            <v>2</v>
          </cell>
          <cell r="C1469">
            <v>119</v>
          </cell>
          <cell r="D1469" t="str">
            <v>X4</v>
          </cell>
          <cell r="E1469" t="str">
            <v xml:space="preserve">    </v>
          </cell>
          <cell r="F1469" t="str">
            <v xml:space="preserve">   </v>
          </cell>
          <cell r="G1469" t="str">
            <v xml:space="preserve">32119X4       </v>
          </cell>
          <cell r="H1469">
            <v>-2289703.1</v>
          </cell>
          <cell r="I1469">
            <v>0</v>
          </cell>
          <cell r="J1469">
            <v>-2266360.87</v>
          </cell>
          <cell r="K1469">
            <v>-23342.23</v>
          </cell>
          <cell r="L1469">
            <v>0</v>
          </cell>
        </row>
        <row r="1470">
          <cell r="A1470">
            <v>4</v>
          </cell>
          <cell r="B1470">
            <v>2</v>
          </cell>
          <cell r="C1470">
            <v>119</v>
          </cell>
          <cell r="D1470" t="str">
            <v>X4</v>
          </cell>
          <cell r="E1470" t="str">
            <v xml:space="preserve">    </v>
          </cell>
          <cell r="F1470" t="str">
            <v xml:space="preserve">   </v>
          </cell>
          <cell r="G1470" t="str">
            <v xml:space="preserve">42119X4       </v>
          </cell>
          <cell r="H1470">
            <v>-2249792.7599999998</v>
          </cell>
          <cell r="I1470">
            <v>0</v>
          </cell>
          <cell r="J1470">
            <v>-2226450.62</v>
          </cell>
          <cell r="K1470">
            <v>-23342.14</v>
          </cell>
          <cell r="L1470">
            <v>0</v>
          </cell>
        </row>
        <row r="1471">
          <cell r="A1471">
            <v>5</v>
          </cell>
          <cell r="B1471">
            <v>2</v>
          </cell>
          <cell r="C1471">
            <v>119</v>
          </cell>
          <cell r="D1471" t="str">
            <v>X4</v>
          </cell>
          <cell r="E1471" t="str">
            <v xml:space="preserve">    </v>
          </cell>
          <cell r="F1471" t="str">
            <v xml:space="preserve">   </v>
          </cell>
          <cell r="G1471" t="str">
            <v xml:space="preserve">52119X4       </v>
          </cell>
          <cell r="H1471">
            <v>-2285965.08</v>
          </cell>
          <cell r="I1471">
            <v>0</v>
          </cell>
          <cell r="J1471">
            <v>-2262622.86</v>
          </cell>
          <cell r="K1471">
            <v>-23342.22</v>
          </cell>
          <cell r="L1471">
            <v>0</v>
          </cell>
        </row>
        <row r="1472">
          <cell r="A1472">
            <v>3</v>
          </cell>
          <cell r="B1472">
            <v>2</v>
          </cell>
          <cell r="C1472">
            <v>119</v>
          </cell>
          <cell r="D1472" t="str">
            <v>X5</v>
          </cell>
          <cell r="E1472" t="str">
            <v xml:space="preserve">    </v>
          </cell>
          <cell r="F1472" t="str">
            <v xml:space="preserve">   </v>
          </cell>
          <cell r="G1472" t="str">
            <v xml:space="preserve">32119X5       </v>
          </cell>
          <cell r="H1472">
            <v>-48221884.289999999</v>
          </cell>
          <cell r="I1472">
            <v>0</v>
          </cell>
          <cell r="J1472">
            <v>-39853660.630000003</v>
          </cell>
          <cell r="K1472">
            <v>-8368223.6600000001</v>
          </cell>
          <cell r="L1472">
            <v>0</v>
          </cell>
        </row>
        <row r="1473">
          <cell r="A1473">
            <v>4</v>
          </cell>
          <cell r="B1473">
            <v>2</v>
          </cell>
          <cell r="C1473">
            <v>119</v>
          </cell>
          <cell r="D1473" t="str">
            <v>X5</v>
          </cell>
          <cell r="E1473" t="str">
            <v xml:space="preserve">    </v>
          </cell>
          <cell r="F1473" t="str">
            <v xml:space="preserve">   </v>
          </cell>
          <cell r="G1473" t="str">
            <v xml:space="preserve">42119X5       </v>
          </cell>
          <cell r="H1473">
            <v>-46033715.270000003</v>
          </cell>
          <cell r="I1473">
            <v>0</v>
          </cell>
          <cell r="J1473">
            <v>-37982855.280000001</v>
          </cell>
          <cell r="K1473">
            <v>-8050859.9900000002</v>
          </cell>
          <cell r="L1473">
            <v>0</v>
          </cell>
        </row>
        <row r="1474">
          <cell r="A1474">
            <v>5</v>
          </cell>
          <cell r="B1474">
            <v>2</v>
          </cell>
          <cell r="C1474">
            <v>119</v>
          </cell>
          <cell r="D1474" t="str">
            <v>X5</v>
          </cell>
          <cell r="E1474" t="str">
            <v xml:space="preserve">    </v>
          </cell>
          <cell r="F1474" t="str">
            <v xml:space="preserve">   </v>
          </cell>
          <cell r="G1474" t="str">
            <v xml:space="preserve">52119X5       </v>
          </cell>
          <cell r="H1474">
            <v>-48035471.020000003</v>
          </cell>
          <cell r="I1474">
            <v>0</v>
          </cell>
          <cell r="J1474">
            <v>-39691965.07</v>
          </cell>
          <cell r="K1474">
            <v>-8343505.9500000002</v>
          </cell>
          <cell r="L1474">
            <v>0</v>
          </cell>
        </row>
        <row r="1475">
          <cell r="A1475">
            <v>3</v>
          </cell>
          <cell r="B1475">
            <v>2</v>
          </cell>
          <cell r="C1475">
            <v>119</v>
          </cell>
          <cell r="D1475" t="str">
            <v>X6</v>
          </cell>
          <cell r="E1475" t="str">
            <v xml:space="preserve">    </v>
          </cell>
          <cell r="F1475" t="str">
            <v xml:space="preserve">   </v>
          </cell>
          <cell r="G1475" t="str">
            <v xml:space="preserve">32119X6       </v>
          </cell>
          <cell r="H1475">
            <v>-1333575.76</v>
          </cell>
          <cell r="I1475">
            <v>-683909.12</v>
          </cell>
          <cell r="J1475">
            <v>-384620.72</v>
          </cell>
          <cell r="K1475">
            <v>-265045.92</v>
          </cell>
          <cell r="L1475">
            <v>0</v>
          </cell>
        </row>
        <row r="1476">
          <cell r="A1476">
            <v>4</v>
          </cell>
          <cell r="B1476">
            <v>2</v>
          </cell>
          <cell r="C1476">
            <v>119</v>
          </cell>
          <cell r="D1476" t="str">
            <v>X6</v>
          </cell>
          <cell r="E1476" t="str">
            <v xml:space="preserve">    </v>
          </cell>
          <cell r="F1476" t="str">
            <v xml:space="preserve">   </v>
          </cell>
          <cell r="G1476" t="str">
            <v xml:space="preserve">42119X6       </v>
          </cell>
          <cell r="H1476">
            <v>-1241086.26</v>
          </cell>
          <cell r="I1476">
            <v>-623405.48</v>
          </cell>
          <cell r="J1476">
            <v>-361193.48</v>
          </cell>
          <cell r="K1476">
            <v>-256487.3</v>
          </cell>
          <cell r="L1476">
            <v>0</v>
          </cell>
        </row>
        <row r="1477">
          <cell r="A1477">
            <v>5</v>
          </cell>
          <cell r="B1477">
            <v>2</v>
          </cell>
          <cell r="C1477">
            <v>119</v>
          </cell>
          <cell r="D1477" t="str">
            <v>X6</v>
          </cell>
          <cell r="E1477" t="str">
            <v xml:space="preserve">    </v>
          </cell>
          <cell r="F1477" t="str">
            <v xml:space="preserve">   </v>
          </cell>
          <cell r="G1477" t="str">
            <v xml:space="preserve">52119X6       </v>
          </cell>
          <cell r="H1477">
            <v>-1326094.75</v>
          </cell>
          <cell r="I1477">
            <v>-678451.61</v>
          </cell>
          <cell r="J1477">
            <v>-383190.22</v>
          </cell>
          <cell r="K1477">
            <v>-264452.92</v>
          </cell>
          <cell r="L1477">
            <v>0</v>
          </cell>
        </row>
        <row r="1478">
          <cell r="A1478">
            <v>3</v>
          </cell>
          <cell r="B1478">
            <v>2</v>
          </cell>
          <cell r="C1478">
            <v>119</v>
          </cell>
          <cell r="D1478" t="str">
            <v>X7</v>
          </cell>
          <cell r="E1478" t="str">
            <v xml:space="preserve">    </v>
          </cell>
          <cell r="F1478" t="str">
            <v xml:space="preserve">   </v>
          </cell>
          <cell r="G1478" t="str">
            <v xml:space="preserve">32119X7       </v>
          </cell>
          <cell r="H1478">
            <v>-425562.99</v>
          </cell>
          <cell r="I1478">
            <v>0</v>
          </cell>
          <cell r="J1478">
            <v>-358810.17</v>
          </cell>
          <cell r="K1478">
            <v>-66752.820000000007</v>
          </cell>
          <cell r="L1478">
            <v>0</v>
          </cell>
        </row>
        <row r="1479">
          <cell r="A1479">
            <v>4</v>
          </cell>
          <cell r="B1479">
            <v>2</v>
          </cell>
          <cell r="C1479">
            <v>119</v>
          </cell>
          <cell r="D1479" t="str">
            <v>X7</v>
          </cell>
          <cell r="E1479" t="str">
            <v xml:space="preserve">    </v>
          </cell>
          <cell r="F1479" t="str">
            <v xml:space="preserve">   </v>
          </cell>
          <cell r="G1479" t="str">
            <v xml:space="preserve">42119X7       </v>
          </cell>
          <cell r="H1479">
            <v>-380342.1</v>
          </cell>
          <cell r="I1479">
            <v>0</v>
          </cell>
          <cell r="J1479">
            <v>-317323.03000000003</v>
          </cell>
          <cell r="K1479">
            <v>-63019.07</v>
          </cell>
          <cell r="L1479">
            <v>0</v>
          </cell>
        </row>
        <row r="1480">
          <cell r="A1480">
            <v>5</v>
          </cell>
          <cell r="B1480">
            <v>2</v>
          </cell>
          <cell r="C1480">
            <v>119</v>
          </cell>
          <cell r="D1480" t="str">
            <v>X7</v>
          </cell>
          <cell r="E1480" t="str">
            <v xml:space="preserve">    </v>
          </cell>
          <cell r="F1480" t="str">
            <v xml:space="preserve">   </v>
          </cell>
          <cell r="G1480" t="str">
            <v xml:space="preserve">52119X7       </v>
          </cell>
          <cell r="H1480">
            <v>-422504.48</v>
          </cell>
          <cell r="I1480">
            <v>0</v>
          </cell>
          <cell r="J1480">
            <v>-356073.66</v>
          </cell>
          <cell r="K1480">
            <v>-66430.820000000007</v>
          </cell>
          <cell r="L1480">
            <v>0</v>
          </cell>
        </row>
        <row r="1481">
          <cell r="A1481">
            <v>3</v>
          </cell>
          <cell r="B1481">
            <v>7</v>
          </cell>
          <cell r="C1481">
            <v>119</v>
          </cell>
          <cell r="D1481" t="str">
            <v>X6</v>
          </cell>
          <cell r="E1481" t="str">
            <v xml:space="preserve">    </v>
          </cell>
          <cell r="F1481" t="str">
            <v xml:space="preserve">   </v>
          </cell>
          <cell r="G1481" t="str">
            <v xml:space="preserve">37119X6       </v>
          </cell>
          <cell r="H1481">
            <v>-299224.84000000003</v>
          </cell>
          <cell r="I1481">
            <v>-299224.84000000003</v>
          </cell>
          <cell r="J1481">
            <v>0</v>
          </cell>
          <cell r="K1481">
            <v>0</v>
          </cell>
          <cell r="L1481">
            <v>0</v>
          </cell>
        </row>
        <row r="1482">
          <cell r="A1482">
            <v>4</v>
          </cell>
          <cell r="B1482">
            <v>7</v>
          </cell>
          <cell r="C1482">
            <v>119</v>
          </cell>
          <cell r="D1482" t="str">
            <v>X6</v>
          </cell>
          <cell r="E1482" t="str">
            <v xml:space="preserve">    </v>
          </cell>
          <cell r="F1482" t="str">
            <v xml:space="preserve">   </v>
          </cell>
          <cell r="G1482" t="str">
            <v xml:space="preserve">47119X6       </v>
          </cell>
          <cell r="H1482">
            <v>-4012660.89</v>
          </cell>
          <cell r="I1482">
            <v>-4012660.89</v>
          </cell>
          <cell r="J1482">
            <v>0</v>
          </cell>
          <cell r="K1482">
            <v>0</v>
          </cell>
          <cell r="L1482">
            <v>0</v>
          </cell>
        </row>
        <row r="1483">
          <cell r="A1483">
            <v>5</v>
          </cell>
          <cell r="B1483">
            <v>7</v>
          </cell>
          <cell r="C1483">
            <v>119</v>
          </cell>
          <cell r="D1483" t="str">
            <v>X6</v>
          </cell>
          <cell r="E1483" t="str">
            <v xml:space="preserve">    </v>
          </cell>
          <cell r="F1483" t="str">
            <v xml:space="preserve">   </v>
          </cell>
          <cell r="G1483" t="str">
            <v xml:space="preserve">57119X6       </v>
          </cell>
          <cell r="H1483">
            <v>-234859.85</v>
          </cell>
          <cell r="I1483">
            <v>-234859.85</v>
          </cell>
          <cell r="J1483">
            <v>0</v>
          </cell>
          <cell r="K1483">
            <v>0</v>
          </cell>
          <cell r="L1483">
            <v>0</v>
          </cell>
        </row>
        <row r="1484">
          <cell r="A1484">
            <v>3</v>
          </cell>
          <cell r="B1484">
            <v>7</v>
          </cell>
          <cell r="C1484">
            <v>119</v>
          </cell>
          <cell r="D1484" t="str">
            <v>X7</v>
          </cell>
          <cell r="E1484" t="str">
            <v xml:space="preserve">    </v>
          </cell>
          <cell r="F1484" t="str">
            <v xml:space="preserve">   </v>
          </cell>
          <cell r="G1484" t="str">
            <v xml:space="preserve">37119X7       </v>
          </cell>
          <cell r="H1484">
            <v>0</v>
          </cell>
          <cell r="I1484">
            <v>0</v>
          </cell>
          <cell r="J1484">
            <v>0</v>
          </cell>
          <cell r="K1484">
            <v>0</v>
          </cell>
          <cell r="L1484">
            <v>0</v>
          </cell>
        </row>
        <row r="1485">
          <cell r="A1485">
            <v>4</v>
          </cell>
          <cell r="B1485">
            <v>7</v>
          </cell>
          <cell r="C1485">
            <v>119</v>
          </cell>
          <cell r="D1485" t="str">
            <v>X7</v>
          </cell>
          <cell r="E1485" t="str">
            <v xml:space="preserve">    </v>
          </cell>
          <cell r="F1485" t="str">
            <v xml:space="preserve">   </v>
          </cell>
          <cell r="G1485" t="str">
            <v xml:space="preserve">47119X7       </v>
          </cell>
          <cell r="H1485">
            <v>0</v>
          </cell>
          <cell r="I1485">
            <v>0</v>
          </cell>
          <cell r="J1485">
            <v>0</v>
          </cell>
          <cell r="K1485">
            <v>0</v>
          </cell>
          <cell r="L1485">
            <v>0</v>
          </cell>
        </row>
        <row r="1486">
          <cell r="A1486">
            <v>5</v>
          </cell>
          <cell r="B1486">
            <v>7</v>
          </cell>
          <cell r="C1486">
            <v>119</v>
          </cell>
          <cell r="D1486" t="str">
            <v>X7</v>
          </cell>
          <cell r="E1486" t="str">
            <v xml:space="preserve">    </v>
          </cell>
          <cell r="F1486" t="str">
            <v xml:space="preserve">   </v>
          </cell>
          <cell r="G1486" t="str">
            <v xml:space="preserve">57119X7       </v>
          </cell>
          <cell r="H1486">
            <v>0</v>
          </cell>
          <cell r="I1486">
            <v>0</v>
          </cell>
          <cell r="J1486">
            <v>0</v>
          </cell>
          <cell r="K1486">
            <v>0</v>
          </cell>
          <cell r="L1486">
            <v>0</v>
          </cell>
        </row>
        <row r="1487">
          <cell r="A1487">
            <v>3</v>
          </cell>
          <cell r="B1487">
            <v>8</v>
          </cell>
          <cell r="C1487">
            <v>119</v>
          </cell>
          <cell r="D1487" t="str">
            <v>X6</v>
          </cell>
          <cell r="E1487" t="str">
            <v xml:space="preserve">    </v>
          </cell>
          <cell r="F1487" t="str">
            <v xml:space="preserve">   </v>
          </cell>
          <cell r="G1487" t="str">
            <v xml:space="preserve">38119X6       </v>
          </cell>
          <cell r="H1487">
            <v>-55033.72</v>
          </cell>
          <cell r="I1487">
            <v>-55033.72</v>
          </cell>
          <cell r="J1487">
            <v>0</v>
          </cell>
          <cell r="K1487">
            <v>0</v>
          </cell>
          <cell r="L1487">
            <v>0</v>
          </cell>
        </row>
        <row r="1488">
          <cell r="A1488">
            <v>4</v>
          </cell>
          <cell r="B1488">
            <v>8</v>
          </cell>
          <cell r="C1488">
            <v>119</v>
          </cell>
          <cell r="D1488" t="str">
            <v>X6</v>
          </cell>
          <cell r="E1488" t="str">
            <v xml:space="preserve">    </v>
          </cell>
          <cell r="F1488" t="str">
            <v xml:space="preserve">   </v>
          </cell>
          <cell r="G1488" t="str">
            <v xml:space="preserve">48119X6       </v>
          </cell>
          <cell r="H1488">
            <v>-49551.19</v>
          </cell>
          <cell r="I1488">
            <v>-49551.19</v>
          </cell>
          <cell r="J1488">
            <v>0</v>
          </cell>
          <cell r="K1488">
            <v>0</v>
          </cell>
          <cell r="L1488">
            <v>0</v>
          </cell>
        </row>
        <row r="1489">
          <cell r="A1489">
            <v>5</v>
          </cell>
          <cell r="B1489">
            <v>8</v>
          </cell>
          <cell r="C1489">
            <v>119</v>
          </cell>
          <cell r="D1489" t="str">
            <v>X6</v>
          </cell>
          <cell r="E1489" t="str">
            <v xml:space="preserve">    </v>
          </cell>
          <cell r="F1489" t="str">
            <v xml:space="preserve">   </v>
          </cell>
          <cell r="G1489" t="str">
            <v xml:space="preserve">58119X6       </v>
          </cell>
          <cell r="H1489">
            <v>-54577.21</v>
          </cell>
          <cell r="I1489">
            <v>-54577.21</v>
          </cell>
          <cell r="J1489">
            <v>0</v>
          </cell>
          <cell r="K1489">
            <v>0</v>
          </cell>
          <cell r="L1489">
            <v>0</v>
          </cell>
        </row>
        <row r="1490">
          <cell r="A1490">
            <v>3</v>
          </cell>
          <cell r="B1490">
            <v>9</v>
          </cell>
          <cell r="C1490">
            <v>119</v>
          </cell>
          <cell r="D1490" t="str">
            <v>X6</v>
          </cell>
          <cell r="E1490" t="str">
            <v xml:space="preserve">    </v>
          </cell>
          <cell r="F1490" t="str">
            <v xml:space="preserve">   </v>
          </cell>
          <cell r="G1490" t="str">
            <v xml:space="preserve">39119X6       </v>
          </cell>
          <cell r="H1490">
            <v>-10377646.15</v>
          </cell>
          <cell r="I1490">
            <v>-10377646.15</v>
          </cell>
          <cell r="J1490">
            <v>0</v>
          </cell>
          <cell r="K1490">
            <v>0</v>
          </cell>
          <cell r="L1490">
            <v>0</v>
          </cell>
        </row>
        <row r="1491">
          <cell r="A1491">
            <v>4</v>
          </cell>
          <cell r="B1491">
            <v>9</v>
          </cell>
          <cell r="C1491">
            <v>119</v>
          </cell>
          <cell r="D1491" t="str">
            <v>X6</v>
          </cell>
          <cell r="E1491" t="str">
            <v xml:space="preserve">    </v>
          </cell>
          <cell r="F1491" t="str">
            <v xml:space="preserve">   </v>
          </cell>
          <cell r="G1491" t="str">
            <v xml:space="preserve">49119X6       </v>
          </cell>
          <cell r="H1491">
            <v>-10145887.539999999</v>
          </cell>
          <cell r="I1491">
            <v>-10145887.539999999</v>
          </cell>
          <cell r="J1491">
            <v>0</v>
          </cell>
          <cell r="K1491">
            <v>0</v>
          </cell>
          <cell r="L1491">
            <v>0</v>
          </cell>
        </row>
        <row r="1492">
          <cell r="A1492">
            <v>5</v>
          </cell>
          <cell r="B1492">
            <v>9</v>
          </cell>
          <cell r="C1492">
            <v>119</v>
          </cell>
          <cell r="D1492" t="str">
            <v>X6</v>
          </cell>
          <cell r="E1492" t="str">
            <v xml:space="preserve">    </v>
          </cell>
          <cell r="F1492" t="str">
            <v xml:space="preserve">   </v>
          </cell>
          <cell r="G1492" t="str">
            <v xml:space="preserve">59119X6       </v>
          </cell>
          <cell r="H1492">
            <v>-10347158.140000001</v>
          </cell>
          <cell r="I1492">
            <v>-10347158.140000001</v>
          </cell>
          <cell r="J1492">
            <v>0</v>
          </cell>
          <cell r="K1492">
            <v>0</v>
          </cell>
          <cell r="L1492">
            <v>0</v>
          </cell>
        </row>
        <row r="1493">
          <cell r="A1493">
            <v>3</v>
          </cell>
          <cell r="B1493">
            <v>9</v>
          </cell>
          <cell r="C1493">
            <v>119</v>
          </cell>
          <cell r="D1493" t="str">
            <v>X7</v>
          </cell>
          <cell r="E1493" t="str">
            <v xml:space="preserve">    </v>
          </cell>
          <cell r="F1493" t="str">
            <v xml:space="preserve">   </v>
          </cell>
          <cell r="G1493" t="str">
            <v xml:space="preserve">39119X7       </v>
          </cell>
          <cell r="H1493">
            <v>-1435348.2</v>
          </cell>
          <cell r="I1493">
            <v>-1435348.2</v>
          </cell>
          <cell r="J1493">
            <v>0</v>
          </cell>
          <cell r="K1493">
            <v>0</v>
          </cell>
          <cell r="L1493">
            <v>0</v>
          </cell>
        </row>
        <row r="1494">
          <cell r="A1494">
            <v>4</v>
          </cell>
          <cell r="B1494">
            <v>9</v>
          </cell>
          <cell r="C1494">
            <v>119</v>
          </cell>
          <cell r="D1494" t="str">
            <v>X7</v>
          </cell>
          <cell r="E1494" t="str">
            <v xml:space="preserve">    </v>
          </cell>
          <cell r="F1494" t="str">
            <v xml:space="preserve">   </v>
          </cell>
          <cell r="G1494" t="str">
            <v xml:space="preserve">49119X7       </v>
          </cell>
          <cell r="H1494">
            <v>-1338535.26</v>
          </cell>
          <cell r="I1494">
            <v>-1338535.26</v>
          </cell>
          <cell r="J1494">
            <v>0</v>
          </cell>
          <cell r="K1494">
            <v>0</v>
          </cell>
          <cell r="L1494">
            <v>0</v>
          </cell>
        </row>
        <row r="1495">
          <cell r="A1495">
            <v>5</v>
          </cell>
          <cell r="B1495">
            <v>9</v>
          </cell>
          <cell r="C1495">
            <v>119</v>
          </cell>
          <cell r="D1495" t="str">
            <v>X7</v>
          </cell>
          <cell r="E1495" t="str">
            <v xml:space="preserve">    </v>
          </cell>
          <cell r="F1495" t="str">
            <v xml:space="preserve">   </v>
          </cell>
          <cell r="G1495" t="str">
            <v xml:space="preserve">59119X7       </v>
          </cell>
          <cell r="H1495">
            <v>-1428074.83</v>
          </cell>
          <cell r="I1495">
            <v>-1428074.83</v>
          </cell>
          <cell r="J1495">
            <v>0</v>
          </cell>
          <cell r="K1495">
            <v>0</v>
          </cell>
          <cell r="L1495">
            <v>0</v>
          </cell>
        </row>
        <row r="1496">
          <cell r="A1496">
            <v>3</v>
          </cell>
          <cell r="B1496">
            <v>0</v>
          </cell>
          <cell r="C1496">
            <v>108</v>
          </cell>
          <cell r="D1496">
            <v>2</v>
          </cell>
          <cell r="E1496" t="str">
            <v xml:space="preserve">    </v>
          </cell>
          <cell r="F1496" t="str">
            <v xml:space="preserve">   </v>
          </cell>
          <cell r="G1496">
            <v>3010802</v>
          </cell>
          <cell r="H1496">
            <v>564000</v>
          </cell>
          <cell r="I1496">
            <v>564000</v>
          </cell>
          <cell r="J1496">
            <v>0</v>
          </cell>
          <cell r="K1496">
            <v>0</v>
          </cell>
          <cell r="L1496">
            <v>0</v>
          </cell>
        </row>
        <row r="1497">
          <cell r="A1497">
            <v>4</v>
          </cell>
          <cell r="B1497">
            <v>0</v>
          </cell>
          <cell r="C1497">
            <v>108</v>
          </cell>
          <cell r="D1497">
            <v>2</v>
          </cell>
          <cell r="E1497" t="str">
            <v xml:space="preserve">    </v>
          </cell>
          <cell r="F1497" t="str">
            <v xml:space="preserve">   </v>
          </cell>
          <cell r="G1497">
            <v>4010802</v>
          </cell>
          <cell r="H1497">
            <v>564000</v>
          </cell>
          <cell r="I1497">
            <v>564000</v>
          </cell>
          <cell r="J1497">
            <v>0</v>
          </cell>
          <cell r="K1497">
            <v>0</v>
          </cell>
          <cell r="L1497">
            <v>0</v>
          </cell>
        </row>
        <row r="1498">
          <cell r="A1498">
            <v>5</v>
          </cell>
          <cell r="B1498">
            <v>0</v>
          </cell>
          <cell r="C1498">
            <v>108</v>
          </cell>
          <cell r="D1498">
            <v>2</v>
          </cell>
          <cell r="E1498" t="str">
            <v xml:space="preserve">    </v>
          </cell>
          <cell r="F1498" t="str">
            <v xml:space="preserve">   </v>
          </cell>
          <cell r="G1498">
            <v>5010802</v>
          </cell>
          <cell r="H1498">
            <v>564000</v>
          </cell>
          <cell r="I1498">
            <v>564000</v>
          </cell>
          <cell r="J1498">
            <v>0</v>
          </cell>
          <cell r="K1498">
            <v>0</v>
          </cell>
          <cell r="L1498">
            <v>0</v>
          </cell>
        </row>
        <row r="1499">
          <cell r="A1499">
            <v>3</v>
          </cell>
          <cell r="B1499">
            <v>0</v>
          </cell>
          <cell r="C1499">
            <v>111</v>
          </cell>
          <cell r="D1499">
            <v>10</v>
          </cell>
          <cell r="E1499" t="str">
            <v xml:space="preserve">    </v>
          </cell>
          <cell r="F1499" t="str">
            <v xml:space="preserve">   </v>
          </cell>
          <cell r="G1499">
            <v>3011110</v>
          </cell>
          <cell r="H1499">
            <v>-167888.43</v>
          </cell>
          <cell r="I1499">
            <v>-167888.43</v>
          </cell>
          <cell r="J1499">
            <v>0</v>
          </cell>
          <cell r="K1499">
            <v>0</v>
          </cell>
          <cell r="L1499">
            <v>0</v>
          </cell>
        </row>
        <row r="1500">
          <cell r="A1500">
            <v>4</v>
          </cell>
          <cell r="B1500">
            <v>0</v>
          </cell>
          <cell r="C1500">
            <v>111</v>
          </cell>
          <cell r="D1500">
            <v>10</v>
          </cell>
          <cell r="E1500" t="str">
            <v xml:space="preserve">    </v>
          </cell>
          <cell r="F1500" t="str">
            <v xml:space="preserve">   </v>
          </cell>
          <cell r="G1500">
            <v>4011110</v>
          </cell>
          <cell r="H1500">
            <v>-165788.31</v>
          </cell>
          <cell r="I1500">
            <v>-165788.31</v>
          </cell>
          <cell r="J1500">
            <v>0</v>
          </cell>
          <cell r="K1500">
            <v>0</v>
          </cell>
          <cell r="L1500">
            <v>0</v>
          </cell>
        </row>
        <row r="1501">
          <cell r="A1501">
            <v>5</v>
          </cell>
          <cell r="B1501">
            <v>0</v>
          </cell>
          <cell r="C1501">
            <v>111</v>
          </cell>
          <cell r="D1501">
            <v>10</v>
          </cell>
          <cell r="E1501" t="str">
            <v xml:space="preserve">    </v>
          </cell>
          <cell r="F1501" t="str">
            <v xml:space="preserve">   </v>
          </cell>
          <cell r="G1501">
            <v>5011110</v>
          </cell>
          <cell r="H1501">
            <v>-167713.42000000001</v>
          </cell>
          <cell r="I1501">
            <v>-167713.42000000001</v>
          </cell>
          <cell r="J1501">
            <v>0</v>
          </cell>
          <cell r="K1501">
            <v>0</v>
          </cell>
          <cell r="L1501">
            <v>0</v>
          </cell>
        </row>
        <row r="1502">
          <cell r="A1502">
            <v>3</v>
          </cell>
          <cell r="B1502">
            <v>0</v>
          </cell>
          <cell r="C1502">
            <v>111</v>
          </cell>
          <cell r="D1502">
            <v>20</v>
          </cell>
          <cell r="E1502" t="str">
            <v xml:space="preserve">    </v>
          </cell>
          <cell r="F1502" t="str">
            <v xml:space="preserve">   </v>
          </cell>
          <cell r="G1502">
            <v>3011120</v>
          </cell>
          <cell r="H1502">
            <v>-120340</v>
          </cell>
          <cell r="I1502">
            <v>-120340</v>
          </cell>
          <cell r="J1502">
            <v>0</v>
          </cell>
          <cell r="K1502">
            <v>0</v>
          </cell>
          <cell r="L1502">
            <v>0</v>
          </cell>
        </row>
        <row r="1503">
          <cell r="A1503">
            <v>4</v>
          </cell>
          <cell r="B1503">
            <v>0</v>
          </cell>
          <cell r="C1503">
            <v>111</v>
          </cell>
          <cell r="D1503">
            <v>20</v>
          </cell>
          <cell r="E1503" t="str">
            <v xml:space="preserve">    </v>
          </cell>
          <cell r="F1503" t="str">
            <v xml:space="preserve">   </v>
          </cell>
          <cell r="G1503">
            <v>4011120</v>
          </cell>
          <cell r="H1503">
            <v>-115527.95</v>
          </cell>
          <cell r="I1503">
            <v>-115527.95</v>
          </cell>
          <cell r="J1503">
            <v>0</v>
          </cell>
          <cell r="K1503">
            <v>0</v>
          </cell>
          <cell r="L1503">
            <v>0</v>
          </cell>
        </row>
        <row r="1504">
          <cell r="A1504">
            <v>5</v>
          </cell>
          <cell r="B1504">
            <v>0</v>
          </cell>
          <cell r="C1504">
            <v>111</v>
          </cell>
          <cell r="D1504">
            <v>20</v>
          </cell>
          <cell r="E1504" t="str">
            <v xml:space="preserve">    </v>
          </cell>
          <cell r="F1504" t="str">
            <v xml:space="preserve">   </v>
          </cell>
          <cell r="G1504">
            <v>5011120</v>
          </cell>
          <cell r="H1504">
            <v>-119939</v>
          </cell>
          <cell r="I1504">
            <v>-119939</v>
          </cell>
          <cell r="J1504">
            <v>0</v>
          </cell>
          <cell r="K1504">
            <v>0</v>
          </cell>
          <cell r="L1504">
            <v>0</v>
          </cell>
        </row>
        <row r="1505">
          <cell r="A1505">
            <v>3</v>
          </cell>
          <cell r="B1505">
            <v>0</v>
          </cell>
          <cell r="C1505">
            <v>111</v>
          </cell>
          <cell r="D1505">
            <v>36</v>
          </cell>
          <cell r="E1505" t="str">
            <v xml:space="preserve">    </v>
          </cell>
          <cell r="F1505" t="str">
            <v xml:space="preserve">   </v>
          </cell>
          <cell r="G1505">
            <v>3011136</v>
          </cell>
          <cell r="H1505">
            <v>0</v>
          </cell>
          <cell r="I1505">
            <v>0</v>
          </cell>
          <cell r="J1505">
            <v>0</v>
          </cell>
          <cell r="K1505">
            <v>0</v>
          </cell>
          <cell r="L1505">
            <v>0</v>
          </cell>
        </row>
        <row r="1506">
          <cell r="A1506">
            <v>4</v>
          </cell>
          <cell r="B1506">
            <v>0</v>
          </cell>
          <cell r="C1506">
            <v>111</v>
          </cell>
          <cell r="D1506">
            <v>36</v>
          </cell>
          <cell r="E1506" t="str">
            <v xml:space="preserve">    </v>
          </cell>
          <cell r="F1506" t="str">
            <v xml:space="preserve">   </v>
          </cell>
          <cell r="G1506">
            <v>4011136</v>
          </cell>
          <cell r="H1506">
            <v>0</v>
          </cell>
          <cell r="I1506">
            <v>0</v>
          </cell>
          <cell r="J1506">
            <v>0</v>
          </cell>
          <cell r="K1506">
            <v>0</v>
          </cell>
          <cell r="L1506">
            <v>0</v>
          </cell>
        </row>
        <row r="1507">
          <cell r="A1507">
            <v>5</v>
          </cell>
          <cell r="B1507">
            <v>0</v>
          </cell>
          <cell r="C1507">
            <v>111</v>
          </cell>
          <cell r="D1507">
            <v>36</v>
          </cell>
          <cell r="E1507" t="str">
            <v xml:space="preserve">    </v>
          </cell>
          <cell r="F1507" t="str">
            <v xml:space="preserve">   </v>
          </cell>
          <cell r="G1507">
            <v>5011136</v>
          </cell>
          <cell r="H1507">
            <v>0</v>
          </cell>
          <cell r="I1507">
            <v>0</v>
          </cell>
          <cell r="J1507">
            <v>0</v>
          </cell>
          <cell r="K1507">
            <v>0</v>
          </cell>
          <cell r="L1507">
            <v>0</v>
          </cell>
        </row>
        <row r="1508">
          <cell r="A1508">
            <v>3</v>
          </cell>
          <cell r="B1508">
            <v>0</v>
          </cell>
          <cell r="C1508">
            <v>111</v>
          </cell>
          <cell r="D1508">
            <v>40</v>
          </cell>
          <cell r="E1508" t="str">
            <v xml:space="preserve">    </v>
          </cell>
          <cell r="F1508" t="str">
            <v xml:space="preserve">   </v>
          </cell>
          <cell r="G1508">
            <v>3011140</v>
          </cell>
          <cell r="H1508">
            <v>0</v>
          </cell>
          <cell r="I1508">
            <v>0</v>
          </cell>
          <cell r="J1508">
            <v>0</v>
          </cell>
          <cell r="K1508">
            <v>0</v>
          </cell>
          <cell r="L1508">
            <v>0</v>
          </cell>
        </row>
        <row r="1509">
          <cell r="A1509">
            <v>4</v>
          </cell>
          <cell r="B1509">
            <v>0</v>
          </cell>
          <cell r="C1509">
            <v>111</v>
          </cell>
          <cell r="D1509">
            <v>40</v>
          </cell>
          <cell r="E1509" t="str">
            <v xml:space="preserve">    </v>
          </cell>
          <cell r="F1509" t="str">
            <v xml:space="preserve">   </v>
          </cell>
          <cell r="G1509">
            <v>4011140</v>
          </cell>
          <cell r="H1509">
            <v>0</v>
          </cell>
          <cell r="I1509">
            <v>0</v>
          </cell>
          <cell r="J1509">
            <v>0</v>
          </cell>
          <cell r="K1509">
            <v>0</v>
          </cell>
          <cell r="L1509">
            <v>0</v>
          </cell>
        </row>
        <row r="1510">
          <cell r="A1510">
            <v>5</v>
          </cell>
          <cell r="B1510">
            <v>0</v>
          </cell>
          <cell r="C1510">
            <v>111</v>
          </cell>
          <cell r="D1510">
            <v>40</v>
          </cell>
          <cell r="E1510" t="str">
            <v xml:space="preserve">    </v>
          </cell>
          <cell r="F1510" t="str">
            <v xml:space="preserve">   </v>
          </cell>
          <cell r="G1510">
            <v>5011140</v>
          </cell>
          <cell r="H1510">
            <v>0</v>
          </cell>
          <cell r="I1510">
            <v>0</v>
          </cell>
          <cell r="J1510">
            <v>0</v>
          </cell>
          <cell r="K1510">
            <v>0</v>
          </cell>
          <cell r="L1510">
            <v>0</v>
          </cell>
        </row>
        <row r="1511">
          <cell r="A1511">
            <v>3</v>
          </cell>
          <cell r="B1511">
            <v>0</v>
          </cell>
          <cell r="C1511">
            <v>111</v>
          </cell>
          <cell r="D1511">
            <v>46</v>
          </cell>
          <cell r="E1511" t="str">
            <v xml:space="preserve">    </v>
          </cell>
          <cell r="F1511" t="str">
            <v xml:space="preserve">   </v>
          </cell>
          <cell r="G1511">
            <v>3011146</v>
          </cell>
          <cell r="H1511">
            <v>-6808</v>
          </cell>
          <cell r="I1511">
            <v>-6808</v>
          </cell>
          <cell r="J1511">
            <v>0</v>
          </cell>
          <cell r="K1511">
            <v>0</v>
          </cell>
          <cell r="L1511">
            <v>0</v>
          </cell>
        </row>
        <row r="1512">
          <cell r="A1512">
            <v>4</v>
          </cell>
          <cell r="B1512">
            <v>0</v>
          </cell>
          <cell r="C1512">
            <v>111</v>
          </cell>
          <cell r="D1512">
            <v>46</v>
          </cell>
          <cell r="E1512" t="str">
            <v xml:space="preserve">    </v>
          </cell>
          <cell r="F1512" t="str">
            <v xml:space="preserve">   </v>
          </cell>
          <cell r="G1512">
            <v>4011146</v>
          </cell>
          <cell r="H1512">
            <v>-6807.95</v>
          </cell>
          <cell r="I1512">
            <v>-6807.95</v>
          </cell>
          <cell r="J1512">
            <v>0</v>
          </cell>
          <cell r="K1512">
            <v>0</v>
          </cell>
          <cell r="L1512">
            <v>0</v>
          </cell>
        </row>
        <row r="1513">
          <cell r="A1513">
            <v>5</v>
          </cell>
          <cell r="B1513">
            <v>0</v>
          </cell>
          <cell r="C1513">
            <v>111</v>
          </cell>
          <cell r="D1513">
            <v>46</v>
          </cell>
          <cell r="E1513" t="str">
            <v xml:space="preserve">    </v>
          </cell>
          <cell r="F1513" t="str">
            <v xml:space="preserve">   </v>
          </cell>
          <cell r="G1513">
            <v>5011146</v>
          </cell>
          <cell r="H1513">
            <v>-6808</v>
          </cell>
          <cell r="I1513">
            <v>-6808</v>
          </cell>
          <cell r="J1513">
            <v>0</v>
          </cell>
          <cell r="K1513">
            <v>0</v>
          </cell>
          <cell r="L1513">
            <v>0</v>
          </cell>
        </row>
        <row r="1514">
          <cell r="A1514">
            <v>3</v>
          </cell>
          <cell r="B1514">
            <v>0</v>
          </cell>
          <cell r="C1514">
            <v>111</v>
          </cell>
          <cell r="D1514">
            <v>48</v>
          </cell>
          <cell r="E1514" t="str">
            <v xml:space="preserve">    </v>
          </cell>
          <cell r="F1514" t="str">
            <v xml:space="preserve">   </v>
          </cell>
          <cell r="G1514">
            <v>3011148</v>
          </cell>
          <cell r="H1514">
            <v>-201247</v>
          </cell>
          <cell r="I1514">
            <v>-201247</v>
          </cell>
          <cell r="J1514">
            <v>0</v>
          </cell>
          <cell r="K1514">
            <v>0</v>
          </cell>
          <cell r="L1514">
            <v>0</v>
          </cell>
        </row>
        <row r="1515">
          <cell r="A1515">
            <v>4</v>
          </cell>
          <cell r="B1515">
            <v>0</v>
          </cell>
          <cell r="C1515">
            <v>111</v>
          </cell>
          <cell r="D1515">
            <v>48</v>
          </cell>
          <cell r="E1515" t="str">
            <v xml:space="preserve">    </v>
          </cell>
          <cell r="F1515" t="str">
            <v xml:space="preserve">   </v>
          </cell>
          <cell r="G1515">
            <v>4011148</v>
          </cell>
          <cell r="H1515">
            <v>-219517.14</v>
          </cell>
          <cell r="I1515">
            <v>-219517.14</v>
          </cell>
          <cell r="J1515">
            <v>0</v>
          </cell>
          <cell r="K1515">
            <v>0</v>
          </cell>
          <cell r="L1515">
            <v>0</v>
          </cell>
        </row>
        <row r="1516">
          <cell r="A1516">
            <v>5</v>
          </cell>
          <cell r="B1516">
            <v>0</v>
          </cell>
          <cell r="C1516">
            <v>111</v>
          </cell>
          <cell r="D1516">
            <v>48</v>
          </cell>
          <cell r="E1516" t="str">
            <v xml:space="preserve">    </v>
          </cell>
          <cell r="F1516" t="str">
            <v xml:space="preserve">   </v>
          </cell>
          <cell r="G1516">
            <v>5011148</v>
          </cell>
          <cell r="H1516">
            <v>-222953</v>
          </cell>
          <cell r="I1516">
            <v>-222953</v>
          </cell>
          <cell r="J1516">
            <v>0</v>
          </cell>
          <cell r="K1516">
            <v>0</v>
          </cell>
          <cell r="L1516">
            <v>0</v>
          </cell>
        </row>
        <row r="1517">
          <cell r="A1517">
            <v>3</v>
          </cell>
          <cell r="B1517">
            <v>0</v>
          </cell>
          <cell r="C1517">
            <v>303</v>
          </cell>
          <cell r="D1517">
            <v>0</v>
          </cell>
          <cell r="E1517" t="str">
            <v xml:space="preserve">    </v>
          </cell>
          <cell r="F1517" t="str">
            <v xml:space="preserve">   </v>
          </cell>
          <cell r="G1517">
            <v>3030300</v>
          </cell>
          <cell r="H1517">
            <v>994335.87</v>
          </cell>
          <cell r="I1517">
            <v>994335.87</v>
          </cell>
          <cell r="J1517">
            <v>0</v>
          </cell>
          <cell r="K1517">
            <v>0</v>
          </cell>
          <cell r="L1517">
            <v>0</v>
          </cell>
        </row>
        <row r="1518">
          <cell r="A1518">
            <v>4</v>
          </cell>
          <cell r="B1518">
            <v>0</v>
          </cell>
          <cell r="C1518">
            <v>303</v>
          </cell>
          <cell r="D1518">
            <v>0</v>
          </cell>
          <cell r="E1518" t="str">
            <v xml:space="preserve">    </v>
          </cell>
          <cell r="F1518" t="str">
            <v xml:space="preserve">   </v>
          </cell>
          <cell r="G1518">
            <v>4030300</v>
          </cell>
          <cell r="H1518">
            <v>816799.17</v>
          </cell>
          <cell r="I1518">
            <v>816799.17</v>
          </cell>
          <cell r="J1518">
            <v>0</v>
          </cell>
          <cell r="K1518">
            <v>0</v>
          </cell>
          <cell r="L1518">
            <v>0</v>
          </cell>
        </row>
        <row r="1519">
          <cell r="A1519">
            <v>5</v>
          </cell>
          <cell r="B1519">
            <v>0</v>
          </cell>
          <cell r="C1519">
            <v>303</v>
          </cell>
          <cell r="D1519">
            <v>0</v>
          </cell>
          <cell r="E1519" t="str">
            <v xml:space="preserve">    </v>
          </cell>
          <cell r="F1519" t="str">
            <v xml:space="preserve">   </v>
          </cell>
          <cell r="G1519">
            <v>5030300</v>
          </cell>
          <cell r="H1519">
            <v>994335.86</v>
          </cell>
          <cell r="I1519">
            <v>994335.86</v>
          </cell>
          <cell r="J1519">
            <v>0</v>
          </cell>
          <cell r="K1519">
            <v>0</v>
          </cell>
          <cell r="L1519">
            <v>0</v>
          </cell>
        </row>
        <row r="1520">
          <cell r="A1520">
            <v>3</v>
          </cell>
          <cell r="B1520">
            <v>0</v>
          </cell>
          <cell r="C1520">
            <v>303</v>
          </cell>
          <cell r="D1520">
            <v>10</v>
          </cell>
          <cell r="E1520" t="str">
            <v xml:space="preserve">    </v>
          </cell>
          <cell r="F1520" t="str">
            <v xml:space="preserve">   </v>
          </cell>
          <cell r="G1520">
            <v>3030310</v>
          </cell>
          <cell r="H1520">
            <v>65989.48</v>
          </cell>
          <cell r="I1520">
            <v>-159020.63</v>
          </cell>
          <cell r="J1520">
            <v>225010.11</v>
          </cell>
          <cell r="K1520">
            <v>0</v>
          </cell>
          <cell r="L1520">
            <v>0</v>
          </cell>
        </row>
        <row r="1521">
          <cell r="A1521">
            <v>4</v>
          </cell>
          <cell r="B1521">
            <v>0</v>
          </cell>
          <cell r="C1521">
            <v>303</v>
          </cell>
          <cell r="D1521">
            <v>10</v>
          </cell>
          <cell r="E1521" t="str">
            <v xml:space="preserve">    </v>
          </cell>
          <cell r="F1521" t="str">
            <v xml:space="preserve">   </v>
          </cell>
          <cell r="G1521">
            <v>4030310</v>
          </cell>
          <cell r="H1521">
            <v>199725.94</v>
          </cell>
          <cell r="I1521">
            <v>-25283.78</v>
          </cell>
          <cell r="J1521">
            <v>225010.07</v>
          </cell>
          <cell r="K1521">
            <v>0</v>
          </cell>
          <cell r="L1521">
            <v>0</v>
          </cell>
        </row>
        <row r="1522">
          <cell r="A1522">
            <v>5</v>
          </cell>
          <cell r="B1522">
            <v>0</v>
          </cell>
          <cell r="C1522">
            <v>303</v>
          </cell>
          <cell r="D1522">
            <v>10</v>
          </cell>
          <cell r="E1522" t="str">
            <v xml:space="preserve">    </v>
          </cell>
          <cell r="F1522" t="str">
            <v xml:space="preserve">   </v>
          </cell>
          <cell r="G1522">
            <v>5030310</v>
          </cell>
          <cell r="H1522">
            <v>63405.49</v>
          </cell>
          <cell r="I1522">
            <v>-161604.57</v>
          </cell>
          <cell r="J1522">
            <v>225010.12</v>
          </cell>
          <cell r="K1522">
            <v>0</v>
          </cell>
          <cell r="L1522">
            <v>0</v>
          </cell>
        </row>
        <row r="1523">
          <cell r="A1523">
            <v>3</v>
          </cell>
          <cell r="B1523">
            <v>0</v>
          </cell>
          <cell r="C1523">
            <v>303</v>
          </cell>
          <cell r="D1523">
            <v>11</v>
          </cell>
          <cell r="E1523" t="str">
            <v xml:space="preserve">    </v>
          </cell>
          <cell r="F1523" t="str">
            <v xml:space="preserve">   </v>
          </cell>
          <cell r="G1523">
            <v>3030311</v>
          </cell>
          <cell r="H1523">
            <v>292433.09000000003</v>
          </cell>
          <cell r="I1523">
            <v>292433.09000000003</v>
          </cell>
          <cell r="J1523">
            <v>0</v>
          </cell>
          <cell r="K1523">
            <v>0</v>
          </cell>
          <cell r="L1523">
            <v>0</v>
          </cell>
        </row>
        <row r="1524">
          <cell r="A1524">
            <v>4</v>
          </cell>
          <cell r="B1524">
            <v>0</v>
          </cell>
          <cell r="C1524">
            <v>303</v>
          </cell>
          <cell r="D1524">
            <v>11</v>
          </cell>
          <cell r="E1524" t="str">
            <v xml:space="preserve">    </v>
          </cell>
          <cell r="F1524" t="str">
            <v xml:space="preserve">   </v>
          </cell>
          <cell r="G1524">
            <v>4030311</v>
          </cell>
          <cell r="H1524">
            <v>281675.27</v>
          </cell>
          <cell r="I1524">
            <v>281675.38</v>
          </cell>
          <cell r="J1524">
            <v>0</v>
          </cell>
          <cell r="K1524">
            <v>0</v>
          </cell>
          <cell r="L1524">
            <v>0</v>
          </cell>
        </row>
        <row r="1525">
          <cell r="A1525">
            <v>5</v>
          </cell>
          <cell r="B1525">
            <v>0</v>
          </cell>
          <cell r="C1525">
            <v>303</v>
          </cell>
          <cell r="D1525">
            <v>11</v>
          </cell>
          <cell r="E1525" t="str">
            <v xml:space="preserve">    </v>
          </cell>
          <cell r="F1525" t="str">
            <v xml:space="preserve">   </v>
          </cell>
          <cell r="G1525">
            <v>5030311</v>
          </cell>
          <cell r="H1525">
            <v>292433.05</v>
          </cell>
          <cell r="I1525">
            <v>292433.06</v>
          </cell>
          <cell r="J1525">
            <v>0</v>
          </cell>
          <cell r="K1525">
            <v>0</v>
          </cell>
          <cell r="L1525">
            <v>0</v>
          </cell>
        </row>
        <row r="1526">
          <cell r="A1526">
            <v>3</v>
          </cell>
          <cell r="B1526">
            <v>1</v>
          </cell>
          <cell r="C1526">
            <v>111</v>
          </cell>
          <cell r="D1526">
            <v>38</v>
          </cell>
          <cell r="E1526" t="str">
            <v xml:space="preserve">    </v>
          </cell>
          <cell r="F1526" t="str">
            <v xml:space="preserve">   </v>
          </cell>
          <cell r="G1526">
            <v>3111138</v>
          </cell>
          <cell r="H1526">
            <v>0</v>
          </cell>
          <cell r="I1526">
            <v>0</v>
          </cell>
          <cell r="J1526">
            <v>0</v>
          </cell>
          <cell r="K1526">
            <v>0</v>
          </cell>
          <cell r="L1526">
            <v>0</v>
          </cell>
        </row>
        <row r="1527">
          <cell r="A1527">
            <v>4</v>
          </cell>
          <cell r="B1527">
            <v>1</v>
          </cell>
          <cell r="C1527">
            <v>111</v>
          </cell>
          <cell r="D1527">
            <v>38</v>
          </cell>
          <cell r="E1527" t="str">
            <v xml:space="preserve">    </v>
          </cell>
          <cell r="F1527" t="str">
            <v xml:space="preserve">   </v>
          </cell>
          <cell r="G1527">
            <v>4111138</v>
          </cell>
          <cell r="H1527">
            <v>0</v>
          </cell>
          <cell r="I1527">
            <v>0</v>
          </cell>
          <cell r="J1527">
            <v>0</v>
          </cell>
          <cell r="K1527">
            <v>0</v>
          </cell>
          <cell r="L1527">
            <v>0</v>
          </cell>
        </row>
        <row r="1528">
          <cell r="A1528">
            <v>5</v>
          </cell>
          <cell r="B1528">
            <v>1</v>
          </cell>
          <cell r="C1528">
            <v>111</v>
          </cell>
          <cell r="D1528">
            <v>38</v>
          </cell>
          <cell r="E1528" t="str">
            <v xml:space="preserve">    </v>
          </cell>
          <cell r="F1528" t="str">
            <v xml:space="preserve">   </v>
          </cell>
          <cell r="G1528">
            <v>5111138</v>
          </cell>
          <cell r="H1528">
            <v>0</v>
          </cell>
          <cell r="I1528">
            <v>0</v>
          </cell>
          <cell r="J1528">
            <v>0</v>
          </cell>
          <cell r="K1528">
            <v>0</v>
          </cell>
          <cell r="L1528">
            <v>0</v>
          </cell>
        </row>
        <row r="1529">
          <cell r="A1529">
            <v>3</v>
          </cell>
          <cell r="B1529">
            <v>1</v>
          </cell>
          <cell r="C1529">
            <v>111</v>
          </cell>
          <cell r="D1529">
            <v>48</v>
          </cell>
          <cell r="E1529" t="str">
            <v xml:space="preserve">    </v>
          </cell>
          <cell r="F1529" t="str">
            <v xml:space="preserve">   </v>
          </cell>
          <cell r="G1529">
            <v>3111148</v>
          </cell>
          <cell r="H1529">
            <v>-1299580.33</v>
          </cell>
          <cell r="I1529">
            <v>-1299580.33</v>
          </cell>
          <cell r="J1529">
            <v>0</v>
          </cell>
          <cell r="K1529">
            <v>0</v>
          </cell>
          <cell r="L1529">
            <v>0</v>
          </cell>
        </row>
        <row r="1530">
          <cell r="A1530">
            <v>4</v>
          </cell>
          <cell r="B1530">
            <v>1</v>
          </cell>
          <cell r="C1530">
            <v>111</v>
          </cell>
          <cell r="D1530">
            <v>48</v>
          </cell>
          <cell r="E1530" t="str">
            <v xml:space="preserve">    </v>
          </cell>
          <cell r="F1530" t="str">
            <v xml:space="preserve">   </v>
          </cell>
          <cell r="G1530">
            <v>4111148</v>
          </cell>
          <cell r="H1530">
            <v>-1075074.94</v>
          </cell>
          <cell r="I1530">
            <v>-1075074.94</v>
          </cell>
          <cell r="J1530">
            <v>0</v>
          </cell>
          <cell r="K1530">
            <v>0</v>
          </cell>
          <cell r="L1530">
            <v>0</v>
          </cell>
        </row>
        <row r="1531">
          <cell r="A1531">
            <v>5</v>
          </cell>
          <cell r="B1531">
            <v>1</v>
          </cell>
          <cell r="C1531">
            <v>111</v>
          </cell>
          <cell r="D1531">
            <v>48</v>
          </cell>
          <cell r="E1531" t="str">
            <v xml:space="preserve">    </v>
          </cell>
          <cell r="F1531" t="str">
            <v xml:space="preserve">   </v>
          </cell>
          <cell r="G1531">
            <v>5111148</v>
          </cell>
          <cell r="H1531">
            <v>-1262049.32</v>
          </cell>
          <cell r="I1531">
            <v>-1262049.32</v>
          </cell>
          <cell r="J1531">
            <v>0</v>
          </cell>
          <cell r="K1531">
            <v>0</v>
          </cell>
          <cell r="L1531">
            <v>0</v>
          </cell>
        </row>
        <row r="1532">
          <cell r="A1532">
            <v>3</v>
          </cell>
          <cell r="B1532">
            <v>1</v>
          </cell>
          <cell r="C1532">
            <v>303</v>
          </cell>
          <cell r="D1532">
            <v>10</v>
          </cell>
          <cell r="E1532" t="str">
            <v xml:space="preserve">    </v>
          </cell>
          <cell r="F1532" t="str">
            <v xml:space="preserve">   </v>
          </cell>
          <cell r="G1532">
            <v>3130310</v>
          </cell>
          <cell r="H1532">
            <v>1767835.91</v>
          </cell>
          <cell r="I1532">
            <v>1767835.91</v>
          </cell>
          <cell r="J1532">
            <v>0</v>
          </cell>
          <cell r="K1532">
            <v>0</v>
          </cell>
          <cell r="L1532">
            <v>0</v>
          </cell>
        </row>
        <row r="1533">
          <cell r="A1533">
            <v>4</v>
          </cell>
          <cell r="B1533">
            <v>1</v>
          </cell>
          <cell r="C1533">
            <v>303</v>
          </cell>
          <cell r="D1533">
            <v>10</v>
          </cell>
          <cell r="E1533" t="str">
            <v xml:space="preserve">    </v>
          </cell>
          <cell r="F1533" t="str">
            <v xml:space="preserve">   </v>
          </cell>
          <cell r="G1533">
            <v>4130310</v>
          </cell>
          <cell r="H1533">
            <v>1581605.41</v>
          </cell>
          <cell r="I1533">
            <v>1581605.41</v>
          </cell>
          <cell r="J1533">
            <v>0</v>
          </cell>
          <cell r="K1533">
            <v>0</v>
          </cell>
          <cell r="L1533">
            <v>0</v>
          </cell>
        </row>
        <row r="1534">
          <cell r="A1534">
            <v>5</v>
          </cell>
          <cell r="B1534">
            <v>1</v>
          </cell>
          <cell r="C1534">
            <v>303</v>
          </cell>
          <cell r="D1534">
            <v>10</v>
          </cell>
          <cell r="E1534" t="str">
            <v xml:space="preserve">    </v>
          </cell>
          <cell r="F1534" t="str">
            <v xml:space="preserve">   </v>
          </cell>
          <cell r="G1534">
            <v>5130310</v>
          </cell>
          <cell r="H1534">
            <v>1767835.91</v>
          </cell>
          <cell r="I1534">
            <v>1767835.91</v>
          </cell>
          <cell r="J1534">
            <v>0</v>
          </cell>
          <cell r="K1534">
            <v>0</v>
          </cell>
          <cell r="L1534">
            <v>0</v>
          </cell>
        </row>
        <row r="1535">
          <cell r="A1535">
            <v>3</v>
          </cell>
          <cell r="B1535">
            <v>2</v>
          </cell>
          <cell r="C1535">
            <v>111</v>
          </cell>
          <cell r="D1535">
            <v>8</v>
          </cell>
          <cell r="E1535" t="str">
            <v xml:space="preserve">    </v>
          </cell>
          <cell r="F1535" t="str">
            <v xml:space="preserve">   </v>
          </cell>
          <cell r="G1535">
            <v>3211108</v>
          </cell>
          <cell r="H1535">
            <v>6780.35</v>
          </cell>
          <cell r="I1535">
            <v>0</v>
          </cell>
          <cell r="J1535">
            <v>0</v>
          </cell>
          <cell r="K1535">
            <v>6780.35</v>
          </cell>
          <cell r="L1535">
            <v>0</v>
          </cell>
        </row>
        <row r="1536">
          <cell r="A1536">
            <v>4</v>
          </cell>
          <cell r="B1536">
            <v>2</v>
          </cell>
          <cell r="C1536">
            <v>111</v>
          </cell>
          <cell r="D1536">
            <v>8</v>
          </cell>
          <cell r="E1536" t="str">
            <v xml:space="preserve">    </v>
          </cell>
          <cell r="F1536" t="str">
            <v xml:space="preserve">   </v>
          </cell>
          <cell r="G1536">
            <v>4211108</v>
          </cell>
          <cell r="H1536">
            <v>-5139.82</v>
          </cell>
          <cell r="I1536">
            <v>0</v>
          </cell>
          <cell r="J1536">
            <v>0</v>
          </cell>
          <cell r="K1536">
            <v>-5139.82</v>
          </cell>
          <cell r="L1536">
            <v>0</v>
          </cell>
        </row>
        <row r="1537">
          <cell r="A1537">
            <v>5</v>
          </cell>
          <cell r="B1537">
            <v>2</v>
          </cell>
          <cell r="C1537">
            <v>111</v>
          </cell>
          <cell r="D1537">
            <v>8</v>
          </cell>
          <cell r="E1537" t="str">
            <v xml:space="preserve">    </v>
          </cell>
          <cell r="F1537" t="str">
            <v xml:space="preserve">   </v>
          </cell>
          <cell r="G1537">
            <v>5211108</v>
          </cell>
          <cell r="H1537">
            <v>6780.34</v>
          </cell>
          <cell r="I1537">
            <v>0</v>
          </cell>
          <cell r="J1537">
            <v>0</v>
          </cell>
          <cell r="K1537">
            <v>6780.34</v>
          </cell>
          <cell r="L1537">
            <v>0</v>
          </cell>
        </row>
        <row r="1538">
          <cell r="A1538">
            <v>3</v>
          </cell>
          <cell r="B1538">
            <v>2</v>
          </cell>
          <cell r="C1538">
            <v>111</v>
          </cell>
          <cell r="D1538">
            <v>11</v>
          </cell>
          <cell r="E1538" t="str">
            <v xml:space="preserve">    </v>
          </cell>
          <cell r="F1538" t="str">
            <v xml:space="preserve">   </v>
          </cell>
          <cell r="G1538">
            <v>3211111</v>
          </cell>
          <cell r="H1538">
            <v>0</v>
          </cell>
          <cell r="I1538">
            <v>0</v>
          </cell>
          <cell r="J1538">
            <v>0</v>
          </cell>
          <cell r="K1538">
            <v>0</v>
          </cell>
          <cell r="L1538">
            <v>0</v>
          </cell>
        </row>
        <row r="1539">
          <cell r="A1539">
            <v>4</v>
          </cell>
          <cell r="B1539">
            <v>2</v>
          </cell>
          <cell r="C1539">
            <v>111</v>
          </cell>
          <cell r="D1539">
            <v>11</v>
          </cell>
          <cell r="E1539" t="str">
            <v xml:space="preserve">    </v>
          </cell>
          <cell r="F1539" t="str">
            <v xml:space="preserve">   </v>
          </cell>
          <cell r="G1539">
            <v>4211111</v>
          </cell>
          <cell r="H1539">
            <v>0</v>
          </cell>
          <cell r="I1539">
            <v>0</v>
          </cell>
          <cell r="J1539">
            <v>0</v>
          </cell>
          <cell r="K1539">
            <v>0</v>
          </cell>
          <cell r="L1539">
            <v>0</v>
          </cell>
        </row>
        <row r="1540">
          <cell r="A1540">
            <v>5</v>
          </cell>
          <cell r="B1540">
            <v>2</v>
          </cell>
          <cell r="C1540">
            <v>111</v>
          </cell>
          <cell r="D1540">
            <v>11</v>
          </cell>
          <cell r="E1540" t="str">
            <v xml:space="preserve">    </v>
          </cell>
          <cell r="F1540" t="str">
            <v xml:space="preserve">   </v>
          </cell>
          <cell r="G1540">
            <v>5211111</v>
          </cell>
          <cell r="H1540">
            <v>0</v>
          </cell>
          <cell r="I1540">
            <v>0</v>
          </cell>
          <cell r="J1540">
            <v>0</v>
          </cell>
          <cell r="K1540">
            <v>0</v>
          </cell>
          <cell r="L1540">
            <v>0</v>
          </cell>
        </row>
        <row r="1541">
          <cell r="A1541">
            <v>3</v>
          </cell>
          <cell r="B1541">
            <v>2</v>
          </cell>
          <cell r="C1541">
            <v>111</v>
          </cell>
          <cell r="D1541">
            <v>48</v>
          </cell>
          <cell r="E1541" t="str">
            <v xml:space="preserve">    </v>
          </cell>
          <cell r="F1541" t="str">
            <v xml:space="preserve">   </v>
          </cell>
          <cell r="G1541">
            <v>3211148</v>
          </cell>
          <cell r="H1541">
            <v>-1505352.26</v>
          </cell>
          <cell r="I1541">
            <v>-1505352.26</v>
          </cell>
          <cell r="J1541">
            <v>0</v>
          </cell>
          <cell r="K1541">
            <v>0</v>
          </cell>
          <cell r="L1541">
            <v>0</v>
          </cell>
        </row>
        <row r="1542">
          <cell r="A1542">
            <v>4</v>
          </cell>
          <cell r="B1542">
            <v>2</v>
          </cell>
          <cell r="C1542">
            <v>111</v>
          </cell>
          <cell r="D1542">
            <v>48</v>
          </cell>
          <cell r="E1542" t="str">
            <v xml:space="preserve">    </v>
          </cell>
          <cell r="F1542" t="str">
            <v xml:space="preserve">   </v>
          </cell>
          <cell r="G1542">
            <v>4211148</v>
          </cell>
          <cell r="H1542">
            <v>-1504852.15</v>
          </cell>
          <cell r="I1542">
            <v>-1504852.15</v>
          </cell>
          <cell r="J1542">
            <v>0</v>
          </cell>
          <cell r="K1542">
            <v>0</v>
          </cell>
          <cell r="L1542">
            <v>0</v>
          </cell>
        </row>
        <row r="1543">
          <cell r="A1543">
            <v>5</v>
          </cell>
          <cell r="B1543">
            <v>2</v>
          </cell>
          <cell r="C1543">
            <v>111</v>
          </cell>
          <cell r="D1543">
            <v>48</v>
          </cell>
          <cell r="E1543" t="str">
            <v xml:space="preserve">    </v>
          </cell>
          <cell r="F1543" t="str">
            <v xml:space="preserve">   </v>
          </cell>
          <cell r="G1543">
            <v>5211148</v>
          </cell>
          <cell r="H1543">
            <v>-1505310.6</v>
          </cell>
          <cell r="I1543">
            <v>-1505310.6</v>
          </cell>
          <cell r="J1543">
            <v>0</v>
          </cell>
          <cell r="K1543">
            <v>0</v>
          </cell>
          <cell r="L1543">
            <v>0</v>
          </cell>
        </row>
        <row r="1544">
          <cell r="A1544">
            <v>3</v>
          </cell>
          <cell r="B1544">
            <v>2</v>
          </cell>
          <cell r="C1544">
            <v>114</v>
          </cell>
          <cell r="D1544">
            <v>68</v>
          </cell>
          <cell r="E1544" t="str">
            <v xml:space="preserve">    </v>
          </cell>
          <cell r="F1544" t="str">
            <v xml:space="preserve">   </v>
          </cell>
          <cell r="G1544">
            <v>3211468</v>
          </cell>
          <cell r="H1544">
            <v>22456902.800000001</v>
          </cell>
          <cell r="I1544">
            <v>0</v>
          </cell>
          <cell r="J1544">
            <v>22456902.800000001</v>
          </cell>
          <cell r="K1544">
            <v>0</v>
          </cell>
          <cell r="L1544">
            <v>0</v>
          </cell>
        </row>
        <row r="1545">
          <cell r="A1545">
            <v>4</v>
          </cell>
          <cell r="B1545">
            <v>2</v>
          </cell>
          <cell r="C1545">
            <v>114</v>
          </cell>
          <cell r="D1545">
            <v>68</v>
          </cell>
          <cell r="E1545" t="str">
            <v xml:space="preserve">    </v>
          </cell>
          <cell r="F1545" t="str">
            <v xml:space="preserve">   </v>
          </cell>
          <cell r="G1545">
            <v>4211468</v>
          </cell>
          <cell r="H1545">
            <v>22456902.719999999</v>
          </cell>
          <cell r="I1545">
            <v>0</v>
          </cell>
          <cell r="J1545">
            <v>22456902.719999999</v>
          </cell>
          <cell r="K1545">
            <v>0</v>
          </cell>
          <cell r="L1545">
            <v>0</v>
          </cell>
        </row>
        <row r="1546">
          <cell r="A1546">
            <v>5</v>
          </cell>
          <cell r="B1546">
            <v>2</v>
          </cell>
          <cell r="C1546">
            <v>114</v>
          </cell>
          <cell r="D1546">
            <v>68</v>
          </cell>
          <cell r="E1546" t="str">
            <v xml:space="preserve">    </v>
          </cell>
          <cell r="F1546" t="str">
            <v xml:space="preserve">   </v>
          </cell>
          <cell r="G1546">
            <v>5211468</v>
          </cell>
          <cell r="H1546">
            <v>22456902.800000001</v>
          </cell>
          <cell r="I1546">
            <v>0</v>
          </cell>
          <cell r="J1546">
            <v>22456902.800000001</v>
          </cell>
          <cell r="K1546">
            <v>0</v>
          </cell>
          <cell r="L1546">
            <v>0</v>
          </cell>
        </row>
        <row r="1547">
          <cell r="A1547">
            <v>3</v>
          </cell>
          <cell r="B1547">
            <v>2</v>
          </cell>
          <cell r="C1547">
            <v>114</v>
          </cell>
          <cell r="D1547">
            <v>78</v>
          </cell>
          <cell r="E1547" t="str">
            <v xml:space="preserve">    </v>
          </cell>
          <cell r="F1547" t="str">
            <v xml:space="preserve">   </v>
          </cell>
          <cell r="G1547">
            <v>3211478</v>
          </cell>
          <cell r="H1547">
            <v>4123170.26</v>
          </cell>
          <cell r="I1547">
            <v>0</v>
          </cell>
          <cell r="J1547">
            <v>0</v>
          </cell>
          <cell r="K1547">
            <v>4123170.26</v>
          </cell>
          <cell r="L1547">
            <v>0</v>
          </cell>
        </row>
        <row r="1548">
          <cell r="A1548">
            <v>4</v>
          </cell>
          <cell r="B1548">
            <v>2</v>
          </cell>
          <cell r="C1548">
            <v>114</v>
          </cell>
          <cell r="D1548">
            <v>78</v>
          </cell>
          <cell r="E1548" t="str">
            <v xml:space="preserve">    </v>
          </cell>
          <cell r="F1548" t="str">
            <v xml:space="preserve">   </v>
          </cell>
          <cell r="G1548">
            <v>4211478</v>
          </cell>
          <cell r="H1548">
            <v>4123170.24</v>
          </cell>
          <cell r="I1548">
            <v>0</v>
          </cell>
          <cell r="J1548">
            <v>0</v>
          </cell>
          <cell r="K1548">
            <v>4123170.24</v>
          </cell>
          <cell r="L1548">
            <v>0</v>
          </cell>
        </row>
        <row r="1549">
          <cell r="A1549">
            <v>5</v>
          </cell>
          <cell r="B1549">
            <v>2</v>
          </cell>
          <cell r="C1549">
            <v>114</v>
          </cell>
          <cell r="D1549">
            <v>78</v>
          </cell>
          <cell r="E1549" t="str">
            <v xml:space="preserve">    </v>
          </cell>
          <cell r="F1549" t="str">
            <v xml:space="preserve">   </v>
          </cell>
          <cell r="G1549">
            <v>5211478</v>
          </cell>
          <cell r="H1549">
            <v>4123170.26</v>
          </cell>
          <cell r="I1549">
            <v>0</v>
          </cell>
          <cell r="J1549">
            <v>0</v>
          </cell>
          <cell r="K1549">
            <v>4123170.26</v>
          </cell>
          <cell r="L1549">
            <v>0</v>
          </cell>
        </row>
        <row r="1550">
          <cell r="A1550">
            <v>3</v>
          </cell>
          <cell r="B1550">
            <v>2</v>
          </cell>
          <cell r="C1550">
            <v>115</v>
          </cell>
          <cell r="D1550">
            <v>68</v>
          </cell>
          <cell r="E1550" t="str">
            <v xml:space="preserve">    </v>
          </cell>
          <cell r="F1550" t="str">
            <v xml:space="preserve">   </v>
          </cell>
          <cell r="G1550">
            <v>3211568</v>
          </cell>
          <cell r="H1550">
            <v>-8211889.3700000001</v>
          </cell>
          <cell r="I1550">
            <v>0</v>
          </cell>
          <cell r="J1550">
            <v>-8211889.3700000001</v>
          </cell>
          <cell r="K1550">
            <v>0</v>
          </cell>
          <cell r="L1550">
            <v>0</v>
          </cell>
        </row>
        <row r="1551">
          <cell r="A1551">
            <v>4</v>
          </cell>
          <cell r="B1551">
            <v>2</v>
          </cell>
          <cell r="C1551">
            <v>115</v>
          </cell>
          <cell r="D1551">
            <v>68</v>
          </cell>
          <cell r="E1551" t="str">
            <v xml:space="preserve">    </v>
          </cell>
          <cell r="F1551" t="str">
            <v xml:space="preserve">   </v>
          </cell>
          <cell r="G1551">
            <v>4211568</v>
          </cell>
          <cell r="H1551">
            <v>-7653261.2800000003</v>
          </cell>
          <cell r="I1551">
            <v>0</v>
          </cell>
          <cell r="J1551">
            <v>-7653261.2800000003</v>
          </cell>
          <cell r="K1551">
            <v>0</v>
          </cell>
          <cell r="L1551">
            <v>0</v>
          </cell>
        </row>
        <row r="1552">
          <cell r="A1552">
            <v>5</v>
          </cell>
          <cell r="B1552">
            <v>2</v>
          </cell>
          <cell r="C1552">
            <v>115</v>
          </cell>
          <cell r="D1552">
            <v>68</v>
          </cell>
          <cell r="E1552" t="str">
            <v xml:space="preserve">    </v>
          </cell>
          <cell r="F1552" t="str">
            <v xml:space="preserve">   </v>
          </cell>
          <cell r="G1552">
            <v>5211568</v>
          </cell>
          <cell r="H1552">
            <v>-8165337.0300000003</v>
          </cell>
          <cell r="I1552">
            <v>0</v>
          </cell>
          <cell r="J1552">
            <v>-8165337.0300000003</v>
          </cell>
          <cell r="K1552">
            <v>0</v>
          </cell>
          <cell r="L1552">
            <v>0</v>
          </cell>
        </row>
        <row r="1553">
          <cell r="A1553">
            <v>3</v>
          </cell>
          <cell r="B1553">
            <v>2</v>
          </cell>
          <cell r="C1553">
            <v>115</v>
          </cell>
          <cell r="D1553">
            <v>78</v>
          </cell>
          <cell r="E1553" t="str">
            <v xml:space="preserve">    </v>
          </cell>
          <cell r="F1553" t="str">
            <v xml:space="preserve">   </v>
          </cell>
          <cell r="G1553">
            <v>3211578</v>
          </cell>
          <cell r="H1553">
            <v>-1494660</v>
          </cell>
          <cell r="I1553">
            <v>0</v>
          </cell>
          <cell r="J1553">
            <v>0</v>
          </cell>
          <cell r="K1553">
            <v>-1494660</v>
          </cell>
          <cell r="L1553">
            <v>0</v>
          </cell>
        </row>
        <row r="1554">
          <cell r="A1554">
            <v>4</v>
          </cell>
          <cell r="B1554">
            <v>2</v>
          </cell>
          <cell r="C1554">
            <v>115</v>
          </cell>
          <cell r="D1554">
            <v>78</v>
          </cell>
          <cell r="E1554" t="str">
            <v xml:space="preserve">    </v>
          </cell>
          <cell r="F1554" t="str">
            <v xml:space="preserve">   </v>
          </cell>
          <cell r="G1554">
            <v>4211578</v>
          </cell>
          <cell r="H1554">
            <v>-1391579.96</v>
          </cell>
          <cell r="I1554">
            <v>0</v>
          </cell>
          <cell r="J1554">
            <v>0</v>
          </cell>
          <cell r="K1554">
            <v>-1391579.96</v>
          </cell>
          <cell r="L1554">
            <v>0</v>
          </cell>
        </row>
        <row r="1555">
          <cell r="A1555">
            <v>5</v>
          </cell>
          <cell r="B1555">
            <v>2</v>
          </cell>
          <cell r="C1555">
            <v>115</v>
          </cell>
          <cell r="D1555">
            <v>78</v>
          </cell>
          <cell r="E1555" t="str">
            <v xml:space="preserve">    </v>
          </cell>
          <cell r="F1555" t="str">
            <v xml:space="preserve">   </v>
          </cell>
          <cell r="G1555">
            <v>5211578</v>
          </cell>
          <cell r="H1555">
            <v>-1486070</v>
          </cell>
          <cell r="I1555">
            <v>0</v>
          </cell>
          <cell r="J1555">
            <v>0</v>
          </cell>
          <cell r="K1555">
            <v>-1486070</v>
          </cell>
          <cell r="L1555">
            <v>0</v>
          </cell>
        </row>
        <row r="1556">
          <cell r="A1556">
            <v>3</v>
          </cell>
          <cell r="B1556">
            <v>2</v>
          </cell>
          <cell r="C1556">
            <v>303</v>
          </cell>
          <cell r="D1556">
            <v>10</v>
          </cell>
          <cell r="E1556" t="str">
            <v xml:space="preserve">    </v>
          </cell>
          <cell r="F1556" t="str">
            <v xml:space="preserve">   </v>
          </cell>
          <cell r="G1556">
            <v>3230310</v>
          </cell>
          <cell r="H1556">
            <v>1506852.34</v>
          </cell>
          <cell r="I1556">
            <v>1501852.34</v>
          </cell>
          <cell r="J1556">
            <v>5000</v>
          </cell>
          <cell r="K1556">
            <v>0</v>
          </cell>
          <cell r="L1556">
            <v>0</v>
          </cell>
        </row>
        <row r="1557">
          <cell r="A1557">
            <v>4</v>
          </cell>
          <cell r="B1557">
            <v>2</v>
          </cell>
          <cell r="C1557">
            <v>303</v>
          </cell>
          <cell r="D1557">
            <v>10</v>
          </cell>
          <cell r="E1557" t="str">
            <v xml:space="preserve">    </v>
          </cell>
          <cell r="F1557" t="str">
            <v xml:space="preserve">   </v>
          </cell>
          <cell r="G1557">
            <v>4230310</v>
          </cell>
          <cell r="H1557">
            <v>1506852.24</v>
          </cell>
          <cell r="I1557">
            <v>1501852.32</v>
          </cell>
          <cell r="J1557">
            <v>4999.92</v>
          </cell>
          <cell r="K1557">
            <v>0</v>
          </cell>
          <cell r="L1557">
            <v>0</v>
          </cell>
        </row>
        <row r="1558">
          <cell r="A1558">
            <v>5</v>
          </cell>
          <cell r="B1558">
            <v>2</v>
          </cell>
          <cell r="C1558">
            <v>303</v>
          </cell>
          <cell r="D1558">
            <v>10</v>
          </cell>
          <cell r="E1558" t="str">
            <v xml:space="preserve">    </v>
          </cell>
          <cell r="F1558" t="str">
            <v xml:space="preserve">   </v>
          </cell>
          <cell r="G1558">
            <v>5230310</v>
          </cell>
          <cell r="H1558">
            <v>1506852.34</v>
          </cell>
          <cell r="I1558">
            <v>1501852.34</v>
          </cell>
          <cell r="J1558">
            <v>5000</v>
          </cell>
          <cell r="K1558">
            <v>0</v>
          </cell>
          <cell r="L1558">
            <v>0</v>
          </cell>
        </row>
        <row r="1559">
          <cell r="A1559">
            <v>3</v>
          </cell>
          <cell r="B1559">
            <v>2</v>
          </cell>
          <cell r="C1559">
            <v>303</v>
          </cell>
          <cell r="D1559">
            <v>12</v>
          </cell>
          <cell r="E1559" t="str">
            <v xml:space="preserve">    </v>
          </cell>
          <cell r="F1559" t="str">
            <v xml:space="preserve">   </v>
          </cell>
          <cell r="G1559">
            <v>3230312</v>
          </cell>
          <cell r="H1559">
            <v>0</v>
          </cell>
          <cell r="I1559">
            <v>0</v>
          </cell>
          <cell r="J1559">
            <v>0</v>
          </cell>
          <cell r="K1559">
            <v>0</v>
          </cell>
          <cell r="L1559">
            <v>0</v>
          </cell>
        </row>
        <row r="1560">
          <cell r="A1560">
            <v>4</v>
          </cell>
          <cell r="B1560">
            <v>2</v>
          </cell>
          <cell r="C1560">
            <v>303</v>
          </cell>
          <cell r="D1560">
            <v>12</v>
          </cell>
          <cell r="E1560" t="str">
            <v xml:space="preserve">    </v>
          </cell>
          <cell r="F1560" t="str">
            <v xml:space="preserve">   </v>
          </cell>
          <cell r="G1560">
            <v>4230312</v>
          </cell>
          <cell r="H1560">
            <v>0</v>
          </cell>
          <cell r="I1560">
            <v>0</v>
          </cell>
          <cell r="J1560">
            <v>0</v>
          </cell>
          <cell r="K1560">
            <v>0</v>
          </cell>
          <cell r="L1560">
            <v>0</v>
          </cell>
        </row>
        <row r="1561">
          <cell r="A1561">
            <v>5</v>
          </cell>
          <cell r="B1561">
            <v>2</v>
          </cell>
          <cell r="C1561">
            <v>303</v>
          </cell>
          <cell r="D1561">
            <v>12</v>
          </cell>
          <cell r="E1561" t="str">
            <v xml:space="preserve">    </v>
          </cell>
          <cell r="F1561" t="str">
            <v xml:space="preserve">   </v>
          </cell>
          <cell r="G1561">
            <v>5230312</v>
          </cell>
          <cell r="H1561">
            <v>0</v>
          </cell>
          <cell r="I1561">
            <v>0</v>
          </cell>
          <cell r="J1561">
            <v>0</v>
          </cell>
          <cell r="K1561">
            <v>0</v>
          </cell>
          <cell r="L1561">
            <v>0</v>
          </cell>
        </row>
        <row r="1562">
          <cell r="A1562">
            <v>3</v>
          </cell>
          <cell r="B1562">
            <v>7</v>
          </cell>
          <cell r="C1562">
            <v>111</v>
          </cell>
          <cell r="D1562">
            <v>16</v>
          </cell>
          <cell r="E1562" t="str">
            <v xml:space="preserve">    </v>
          </cell>
          <cell r="F1562" t="str">
            <v xml:space="preserve">   </v>
          </cell>
          <cell r="G1562">
            <v>3711116</v>
          </cell>
          <cell r="H1562">
            <v>3885.07</v>
          </cell>
          <cell r="I1562">
            <v>3885.07</v>
          </cell>
          <cell r="J1562">
            <v>0</v>
          </cell>
          <cell r="K1562">
            <v>0</v>
          </cell>
          <cell r="L1562">
            <v>0</v>
          </cell>
        </row>
        <row r="1563">
          <cell r="A1563">
            <v>4</v>
          </cell>
          <cell r="B1563">
            <v>7</v>
          </cell>
          <cell r="C1563">
            <v>111</v>
          </cell>
          <cell r="D1563">
            <v>16</v>
          </cell>
          <cell r="E1563" t="str">
            <v xml:space="preserve">    </v>
          </cell>
          <cell r="F1563" t="str">
            <v xml:space="preserve">   </v>
          </cell>
          <cell r="G1563">
            <v>4711116</v>
          </cell>
          <cell r="H1563">
            <v>3884.99</v>
          </cell>
          <cell r="I1563">
            <v>3884.99</v>
          </cell>
          <cell r="J1563">
            <v>0</v>
          </cell>
          <cell r="K1563">
            <v>0</v>
          </cell>
          <cell r="L1563">
            <v>0</v>
          </cell>
        </row>
        <row r="1564">
          <cell r="A1564">
            <v>5</v>
          </cell>
          <cell r="B1564">
            <v>7</v>
          </cell>
          <cell r="C1564">
            <v>111</v>
          </cell>
          <cell r="D1564">
            <v>16</v>
          </cell>
          <cell r="E1564" t="str">
            <v xml:space="preserve">    </v>
          </cell>
          <cell r="F1564" t="str">
            <v xml:space="preserve">   </v>
          </cell>
          <cell r="G1564">
            <v>5711116</v>
          </cell>
          <cell r="H1564">
            <v>3885.06</v>
          </cell>
          <cell r="I1564">
            <v>3885.06</v>
          </cell>
          <cell r="J1564">
            <v>0</v>
          </cell>
          <cell r="K1564">
            <v>0</v>
          </cell>
          <cell r="L1564">
            <v>0</v>
          </cell>
        </row>
        <row r="1565">
          <cell r="A1565">
            <v>3</v>
          </cell>
          <cell r="B1565">
            <v>7</v>
          </cell>
          <cell r="C1565">
            <v>111</v>
          </cell>
          <cell r="D1565">
            <v>36</v>
          </cell>
          <cell r="E1565" t="str">
            <v xml:space="preserve">    </v>
          </cell>
          <cell r="F1565" t="str">
            <v xml:space="preserve">   </v>
          </cell>
          <cell r="G1565">
            <v>3711136</v>
          </cell>
          <cell r="H1565">
            <v>14650.42</v>
          </cell>
          <cell r="I1565">
            <v>14650.42</v>
          </cell>
          <cell r="J1565">
            <v>0</v>
          </cell>
          <cell r="K1565">
            <v>0</v>
          </cell>
          <cell r="L1565">
            <v>0</v>
          </cell>
        </row>
        <row r="1566">
          <cell r="A1566">
            <v>4</v>
          </cell>
          <cell r="B1566">
            <v>7</v>
          </cell>
          <cell r="C1566">
            <v>111</v>
          </cell>
          <cell r="D1566">
            <v>36</v>
          </cell>
          <cell r="E1566" t="str">
            <v xml:space="preserve">    </v>
          </cell>
          <cell r="F1566" t="str">
            <v xml:space="preserve">   </v>
          </cell>
          <cell r="G1566">
            <v>4711136</v>
          </cell>
          <cell r="H1566">
            <v>13271.81</v>
          </cell>
          <cell r="I1566">
            <v>13271.81</v>
          </cell>
          <cell r="J1566">
            <v>0</v>
          </cell>
          <cell r="K1566">
            <v>0</v>
          </cell>
          <cell r="L1566">
            <v>0</v>
          </cell>
        </row>
        <row r="1567">
          <cell r="A1567">
            <v>5</v>
          </cell>
          <cell r="B1567">
            <v>7</v>
          </cell>
          <cell r="C1567">
            <v>111</v>
          </cell>
          <cell r="D1567">
            <v>36</v>
          </cell>
          <cell r="E1567" t="str">
            <v xml:space="preserve">    </v>
          </cell>
          <cell r="F1567" t="str">
            <v xml:space="preserve">   </v>
          </cell>
          <cell r="G1567">
            <v>5711136</v>
          </cell>
          <cell r="H1567">
            <v>13931.19</v>
          </cell>
          <cell r="I1567">
            <v>13931.19</v>
          </cell>
          <cell r="J1567">
            <v>0</v>
          </cell>
          <cell r="K1567">
            <v>0</v>
          </cell>
          <cell r="L1567">
            <v>0</v>
          </cell>
        </row>
        <row r="1568">
          <cell r="A1568">
            <v>3</v>
          </cell>
          <cell r="B1568">
            <v>7</v>
          </cell>
          <cell r="C1568">
            <v>111</v>
          </cell>
          <cell r="D1568">
            <v>38</v>
          </cell>
          <cell r="E1568" t="str">
            <v xml:space="preserve">    </v>
          </cell>
          <cell r="F1568" t="str">
            <v xml:space="preserve">   </v>
          </cell>
          <cell r="G1568">
            <v>3711138</v>
          </cell>
          <cell r="H1568">
            <v>7863032.7800000003</v>
          </cell>
          <cell r="I1568">
            <v>7863032.7800000003</v>
          </cell>
          <cell r="J1568">
            <v>0</v>
          </cell>
          <cell r="K1568">
            <v>0</v>
          </cell>
          <cell r="L1568">
            <v>0</v>
          </cell>
        </row>
        <row r="1569">
          <cell r="A1569">
            <v>4</v>
          </cell>
          <cell r="B1569">
            <v>7</v>
          </cell>
          <cell r="C1569">
            <v>111</v>
          </cell>
          <cell r="D1569">
            <v>38</v>
          </cell>
          <cell r="E1569" t="str">
            <v xml:space="preserve">    </v>
          </cell>
          <cell r="F1569" t="str">
            <v xml:space="preserve">   </v>
          </cell>
          <cell r="G1569">
            <v>4711138</v>
          </cell>
          <cell r="H1569">
            <v>7863032.6299999999</v>
          </cell>
          <cell r="I1569">
            <v>7863032.6299999999</v>
          </cell>
          <cell r="J1569">
            <v>0</v>
          </cell>
          <cell r="K1569">
            <v>0</v>
          </cell>
          <cell r="L1569">
            <v>0</v>
          </cell>
        </row>
        <row r="1570">
          <cell r="A1570">
            <v>5</v>
          </cell>
          <cell r="B1570">
            <v>7</v>
          </cell>
          <cell r="C1570">
            <v>111</v>
          </cell>
          <cell r="D1570">
            <v>38</v>
          </cell>
          <cell r="E1570" t="str">
            <v xml:space="preserve">    </v>
          </cell>
          <cell r="F1570" t="str">
            <v xml:space="preserve">   </v>
          </cell>
          <cell r="G1570">
            <v>5711138</v>
          </cell>
          <cell r="H1570">
            <v>7863032.7800000003</v>
          </cell>
          <cell r="I1570">
            <v>7863032.7800000003</v>
          </cell>
          <cell r="J1570">
            <v>0</v>
          </cell>
          <cell r="K1570">
            <v>0</v>
          </cell>
          <cell r="L1570">
            <v>0</v>
          </cell>
        </row>
        <row r="1571">
          <cell r="A1571">
            <v>3</v>
          </cell>
          <cell r="B1571">
            <v>7</v>
          </cell>
          <cell r="C1571">
            <v>111</v>
          </cell>
          <cell r="D1571">
            <v>46</v>
          </cell>
          <cell r="E1571" t="str">
            <v xml:space="preserve">    </v>
          </cell>
          <cell r="F1571" t="str">
            <v xml:space="preserve">   </v>
          </cell>
          <cell r="G1571">
            <v>3711146</v>
          </cell>
          <cell r="H1571">
            <v>-2955706</v>
          </cell>
          <cell r="I1571">
            <v>-2955706</v>
          </cell>
          <cell r="J1571">
            <v>0</v>
          </cell>
          <cell r="K1571">
            <v>0</v>
          </cell>
          <cell r="L1571">
            <v>0</v>
          </cell>
        </row>
        <row r="1572">
          <cell r="A1572">
            <v>4</v>
          </cell>
          <cell r="B1572">
            <v>7</v>
          </cell>
          <cell r="C1572">
            <v>111</v>
          </cell>
          <cell r="D1572">
            <v>46</v>
          </cell>
          <cell r="E1572" t="str">
            <v xml:space="preserve">    </v>
          </cell>
          <cell r="F1572" t="str">
            <v xml:space="preserve">   </v>
          </cell>
          <cell r="G1572">
            <v>4711146</v>
          </cell>
          <cell r="H1572">
            <v>-2649344</v>
          </cell>
          <cell r="I1572">
            <v>-2649344</v>
          </cell>
          <cell r="J1572">
            <v>0</v>
          </cell>
          <cell r="K1572">
            <v>0</v>
          </cell>
          <cell r="L1572">
            <v>0</v>
          </cell>
        </row>
        <row r="1573">
          <cell r="A1573">
            <v>5</v>
          </cell>
          <cell r="B1573">
            <v>7</v>
          </cell>
          <cell r="C1573">
            <v>111</v>
          </cell>
          <cell r="D1573">
            <v>46</v>
          </cell>
          <cell r="E1573" t="str">
            <v xml:space="preserve">    </v>
          </cell>
          <cell r="F1573" t="str">
            <v xml:space="preserve">   </v>
          </cell>
          <cell r="G1573">
            <v>5711146</v>
          </cell>
          <cell r="H1573">
            <v>-2921671</v>
          </cell>
          <cell r="I1573">
            <v>-2921671</v>
          </cell>
          <cell r="J1573">
            <v>0</v>
          </cell>
          <cell r="K1573">
            <v>0</v>
          </cell>
          <cell r="L1573">
            <v>0</v>
          </cell>
        </row>
        <row r="1574">
          <cell r="A1574">
            <v>3</v>
          </cell>
          <cell r="B1574">
            <v>7</v>
          </cell>
          <cell r="C1574">
            <v>111</v>
          </cell>
          <cell r="D1574">
            <v>48</v>
          </cell>
          <cell r="E1574" t="str">
            <v xml:space="preserve">    </v>
          </cell>
          <cell r="F1574" t="str">
            <v xml:space="preserve">   </v>
          </cell>
          <cell r="G1574">
            <v>3711148</v>
          </cell>
          <cell r="H1574">
            <v>-10773833.140000001</v>
          </cell>
          <cell r="I1574">
            <v>-10773833.140000001</v>
          </cell>
          <cell r="J1574">
            <v>0</v>
          </cell>
          <cell r="K1574">
            <v>0</v>
          </cell>
          <cell r="L1574">
            <v>0</v>
          </cell>
        </row>
        <row r="1575">
          <cell r="A1575">
            <v>4</v>
          </cell>
          <cell r="B1575">
            <v>7</v>
          </cell>
          <cell r="C1575">
            <v>111</v>
          </cell>
          <cell r="D1575">
            <v>48</v>
          </cell>
          <cell r="E1575" t="str">
            <v xml:space="preserve">    </v>
          </cell>
          <cell r="F1575" t="str">
            <v xml:space="preserve">   </v>
          </cell>
          <cell r="G1575">
            <v>4711148</v>
          </cell>
          <cell r="H1575">
            <v>-10445227.369999999</v>
          </cell>
          <cell r="I1575">
            <v>-10445227.369999999</v>
          </cell>
          <cell r="J1575">
            <v>0</v>
          </cell>
          <cell r="K1575">
            <v>0</v>
          </cell>
          <cell r="L1575">
            <v>0</v>
          </cell>
        </row>
        <row r="1576">
          <cell r="A1576">
            <v>5</v>
          </cell>
          <cell r="B1576">
            <v>7</v>
          </cell>
          <cell r="C1576">
            <v>111</v>
          </cell>
          <cell r="D1576">
            <v>48</v>
          </cell>
          <cell r="E1576" t="str">
            <v xml:space="preserve">    </v>
          </cell>
          <cell r="F1576" t="str">
            <v xml:space="preserve">   </v>
          </cell>
          <cell r="G1576">
            <v>5711148</v>
          </cell>
          <cell r="H1576">
            <v>-10787679.140000001</v>
          </cell>
          <cell r="I1576">
            <v>-10787679.140000001</v>
          </cell>
          <cell r="J1576">
            <v>0</v>
          </cell>
          <cell r="K1576">
            <v>0</v>
          </cell>
          <cell r="L1576">
            <v>0</v>
          </cell>
        </row>
        <row r="1577">
          <cell r="A1577">
            <v>3</v>
          </cell>
          <cell r="B1577">
            <v>7</v>
          </cell>
          <cell r="C1577">
            <v>303</v>
          </cell>
          <cell r="D1577">
            <v>10</v>
          </cell>
          <cell r="E1577" t="str">
            <v xml:space="preserve">    </v>
          </cell>
          <cell r="F1577" t="str">
            <v xml:space="preserve">   </v>
          </cell>
          <cell r="G1577">
            <v>3730310</v>
          </cell>
          <cell r="H1577">
            <v>2131545.5</v>
          </cell>
          <cell r="I1577">
            <v>2131545.5</v>
          </cell>
          <cell r="J1577">
            <v>0</v>
          </cell>
          <cell r="K1577">
            <v>0</v>
          </cell>
          <cell r="L1577">
            <v>0</v>
          </cell>
        </row>
        <row r="1578">
          <cell r="A1578">
            <v>4</v>
          </cell>
          <cell r="B1578">
            <v>7</v>
          </cell>
          <cell r="C1578">
            <v>303</v>
          </cell>
          <cell r="D1578">
            <v>10</v>
          </cell>
          <cell r="E1578" t="str">
            <v xml:space="preserve">    </v>
          </cell>
          <cell r="F1578" t="str">
            <v xml:space="preserve">   </v>
          </cell>
          <cell r="G1578">
            <v>4730310</v>
          </cell>
          <cell r="H1578">
            <v>1948299.17</v>
          </cell>
          <cell r="I1578">
            <v>1948299.17</v>
          </cell>
          <cell r="J1578">
            <v>0</v>
          </cell>
          <cell r="K1578">
            <v>0</v>
          </cell>
          <cell r="L1578">
            <v>0</v>
          </cell>
        </row>
        <row r="1579">
          <cell r="A1579">
            <v>5</v>
          </cell>
          <cell r="B1579">
            <v>7</v>
          </cell>
          <cell r="C1579">
            <v>303</v>
          </cell>
          <cell r="D1579">
            <v>10</v>
          </cell>
          <cell r="E1579" t="str">
            <v xml:space="preserve">    </v>
          </cell>
          <cell r="F1579" t="str">
            <v xml:space="preserve">   </v>
          </cell>
          <cell r="G1579">
            <v>5730310</v>
          </cell>
          <cell r="H1579">
            <v>2124351.87</v>
          </cell>
          <cell r="I1579">
            <v>2124351.87</v>
          </cell>
          <cell r="J1579">
            <v>0</v>
          </cell>
          <cell r="K1579">
            <v>0</v>
          </cell>
          <cell r="L1579">
            <v>0</v>
          </cell>
        </row>
        <row r="1580">
          <cell r="A1580">
            <v>3</v>
          </cell>
          <cell r="B1580">
            <v>7</v>
          </cell>
          <cell r="C1580">
            <v>303</v>
          </cell>
          <cell r="D1580">
            <v>11</v>
          </cell>
          <cell r="E1580" t="str">
            <v xml:space="preserve">    </v>
          </cell>
          <cell r="F1580" t="str">
            <v xml:space="preserve">   </v>
          </cell>
          <cell r="G1580">
            <v>3730311</v>
          </cell>
          <cell r="H1580">
            <v>3751454.19</v>
          </cell>
          <cell r="I1580">
            <v>3751454.19</v>
          </cell>
          <cell r="J1580">
            <v>0</v>
          </cell>
          <cell r="K1580">
            <v>0</v>
          </cell>
          <cell r="L1580">
            <v>0</v>
          </cell>
        </row>
        <row r="1581">
          <cell r="A1581">
            <v>4</v>
          </cell>
          <cell r="B1581">
            <v>7</v>
          </cell>
          <cell r="C1581">
            <v>303</v>
          </cell>
          <cell r="D1581">
            <v>11</v>
          </cell>
          <cell r="E1581" t="str">
            <v xml:space="preserve">    </v>
          </cell>
          <cell r="F1581" t="str">
            <v xml:space="preserve">   </v>
          </cell>
          <cell r="G1581">
            <v>4730311</v>
          </cell>
          <cell r="H1581">
            <v>2597272.15</v>
          </cell>
          <cell r="I1581">
            <v>2597272.15</v>
          </cell>
          <cell r="J1581">
            <v>0</v>
          </cell>
          <cell r="K1581">
            <v>0</v>
          </cell>
          <cell r="L1581">
            <v>0</v>
          </cell>
        </row>
        <row r="1582">
          <cell r="A1582">
            <v>5</v>
          </cell>
          <cell r="B1582">
            <v>7</v>
          </cell>
          <cell r="C1582">
            <v>303</v>
          </cell>
          <cell r="D1582">
            <v>11</v>
          </cell>
          <cell r="E1582" t="str">
            <v xml:space="preserve">    </v>
          </cell>
          <cell r="F1582" t="str">
            <v xml:space="preserve">   </v>
          </cell>
          <cell r="G1582">
            <v>5730311</v>
          </cell>
          <cell r="H1582">
            <v>3213457.64</v>
          </cell>
          <cell r="I1582">
            <v>3213457.64</v>
          </cell>
          <cell r="J1582">
            <v>0</v>
          </cell>
          <cell r="K1582">
            <v>0</v>
          </cell>
          <cell r="L1582">
            <v>0</v>
          </cell>
        </row>
        <row r="1583">
          <cell r="A1583">
            <v>3</v>
          </cell>
          <cell r="B1583">
            <v>8</v>
          </cell>
          <cell r="C1583">
            <v>111</v>
          </cell>
          <cell r="D1583">
            <v>48</v>
          </cell>
          <cell r="E1583" t="str">
            <v xml:space="preserve">    </v>
          </cell>
          <cell r="F1583" t="str">
            <v xml:space="preserve">   </v>
          </cell>
          <cell r="G1583">
            <v>3811148</v>
          </cell>
          <cell r="H1583">
            <v>-81000</v>
          </cell>
          <cell r="I1583">
            <v>-81000</v>
          </cell>
          <cell r="J1583">
            <v>0</v>
          </cell>
          <cell r="K1583">
            <v>0</v>
          </cell>
          <cell r="L1583">
            <v>0</v>
          </cell>
        </row>
        <row r="1584">
          <cell r="A1584">
            <v>4</v>
          </cell>
          <cell r="B1584">
            <v>8</v>
          </cell>
          <cell r="C1584">
            <v>111</v>
          </cell>
          <cell r="D1584">
            <v>48</v>
          </cell>
          <cell r="E1584" t="str">
            <v xml:space="preserve">    </v>
          </cell>
          <cell r="F1584" t="str">
            <v xml:space="preserve">   </v>
          </cell>
          <cell r="G1584">
            <v>4811148</v>
          </cell>
          <cell r="H1584">
            <v>-81000</v>
          </cell>
          <cell r="I1584">
            <v>-81000</v>
          </cell>
          <cell r="J1584">
            <v>0</v>
          </cell>
          <cell r="K1584">
            <v>0</v>
          </cell>
          <cell r="L1584">
            <v>0</v>
          </cell>
        </row>
        <row r="1585">
          <cell r="A1585">
            <v>5</v>
          </cell>
          <cell r="B1585">
            <v>8</v>
          </cell>
          <cell r="C1585">
            <v>111</v>
          </cell>
          <cell r="D1585">
            <v>48</v>
          </cell>
          <cell r="E1585" t="str">
            <v xml:space="preserve">    </v>
          </cell>
          <cell r="F1585" t="str">
            <v xml:space="preserve">   </v>
          </cell>
          <cell r="G1585">
            <v>5811148</v>
          </cell>
          <cell r="H1585">
            <v>-81000</v>
          </cell>
          <cell r="I1585">
            <v>-81000</v>
          </cell>
          <cell r="J1585">
            <v>0</v>
          </cell>
          <cell r="K1585">
            <v>0</v>
          </cell>
          <cell r="L1585">
            <v>0</v>
          </cell>
        </row>
        <row r="1586">
          <cell r="A1586">
            <v>3</v>
          </cell>
          <cell r="B1586">
            <v>8</v>
          </cell>
          <cell r="C1586">
            <v>303</v>
          </cell>
          <cell r="D1586">
            <v>12</v>
          </cell>
          <cell r="E1586" t="str">
            <v xml:space="preserve">    </v>
          </cell>
          <cell r="F1586" t="str">
            <v xml:space="preserve">   </v>
          </cell>
          <cell r="G1586">
            <v>3830312</v>
          </cell>
          <cell r="H1586">
            <v>81000</v>
          </cell>
          <cell r="I1586">
            <v>81000</v>
          </cell>
          <cell r="J1586">
            <v>0</v>
          </cell>
          <cell r="K1586">
            <v>0</v>
          </cell>
          <cell r="L1586">
            <v>0</v>
          </cell>
        </row>
        <row r="1587">
          <cell r="A1587">
            <v>4</v>
          </cell>
          <cell r="B1587">
            <v>8</v>
          </cell>
          <cell r="C1587">
            <v>303</v>
          </cell>
          <cell r="D1587">
            <v>12</v>
          </cell>
          <cell r="E1587" t="str">
            <v xml:space="preserve">    </v>
          </cell>
          <cell r="F1587" t="str">
            <v xml:space="preserve">   </v>
          </cell>
          <cell r="G1587">
            <v>4830312</v>
          </cell>
          <cell r="H1587">
            <v>81000</v>
          </cell>
          <cell r="I1587">
            <v>81000</v>
          </cell>
          <cell r="J1587">
            <v>0</v>
          </cell>
          <cell r="K1587">
            <v>0</v>
          </cell>
          <cell r="L1587">
            <v>0</v>
          </cell>
        </row>
        <row r="1588">
          <cell r="A1588">
            <v>5</v>
          </cell>
          <cell r="B1588">
            <v>8</v>
          </cell>
          <cell r="C1588">
            <v>303</v>
          </cell>
          <cell r="D1588">
            <v>12</v>
          </cell>
          <cell r="E1588" t="str">
            <v xml:space="preserve">    </v>
          </cell>
          <cell r="F1588" t="str">
            <v xml:space="preserve">   </v>
          </cell>
          <cell r="G1588">
            <v>5830312</v>
          </cell>
          <cell r="H1588">
            <v>81000</v>
          </cell>
          <cell r="I1588">
            <v>81000</v>
          </cell>
          <cell r="J1588">
            <v>0</v>
          </cell>
          <cell r="K1588">
            <v>0</v>
          </cell>
          <cell r="L1588">
            <v>0</v>
          </cell>
        </row>
        <row r="1589">
          <cell r="A1589">
            <v>3</v>
          </cell>
          <cell r="B1589">
            <v>9</v>
          </cell>
          <cell r="C1589">
            <v>111</v>
          </cell>
          <cell r="D1589">
            <v>46</v>
          </cell>
          <cell r="E1589" t="str">
            <v xml:space="preserve">    </v>
          </cell>
          <cell r="F1589" t="str">
            <v xml:space="preserve">   </v>
          </cell>
          <cell r="G1589">
            <v>3911146</v>
          </cell>
          <cell r="H1589">
            <v>-160886</v>
          </cell>
          <cell r="I1589">
            <v>0</v>
          </cell>
          <cell r="J1589">
            <v>0</v>
          </cell>
          <cell r="K1589">
            <v>-160886</v>
          </cell>
          <cell r="L1589">
            <v>0</v>
          </cell>
        </row>
        <row r="1590">
          <cell r="A1590">
            <v>4</v>
          </cell>
          <cell r="B1590">
            <v>9</v>
          </cell>
          <cell r="C1590">
            <v>111</v>
          </cell>
          <cell r="D1590">
            <v>46</v>
          </cell>
          <cell r="E1590" t="str">
            <v xml:space="preserve">    </v>
          </cell>
          <cell r="F1590" t="str">
            <v xml:space="preserve">   </v>
          </cell>
          <cell r="G1590">
            <v>4911146</v>
          </cell>
          <cell r="H1590">
            <v>-133742.79</v>
          </cell>
          <cell r="I1590">
            <v>0</v>
          </cell>
          <cell r="J1590">
            <v>0</v>
          </cell>
          <cell r="K1590">
            <v>-133742.79</v>
          </cell>
          <cell r="L1590">
            <v>0</v>
          </cell>
        </row>
        <row r="1591">
          <cell r="A1591">
            <v>5</v>
          </cell>
          <cell r="B1591">
            <v>9</v>
          </cell>
          <cell r="C1591">
            <v>111</v>
          </cell>
          <cell r="D1591">
            <v>46</v>
          </cell>
          <cell r="E1591" t="str">
            <v xml:space="preserve">    </v>
          </cell>
          <cell r="F1591" t="str">
            <v xml:space="preserve">   </v>
          </cell>
          <cell r="G1591">
            <v>5911146</v>
          </cell>
          <cell r="H1591">
            <v>-157601.5</v>
          </cell>
          <cell r="I1591">
            <v>0</v>
          </cell>
          <cell r="J1591">
            <v>0</v>
          </cell>
          <cell r="K1591">
            <v>-157601.5</v>
          </cell>
          <cell r="L1591">
            <v>0</v>
          </cell>
        </row>
        <row r="1592">
          <cell r="A1592">
            <v>3</v>
          </cell>
          <cell r="B1592">
            <v>9</v>
          </cell>
          <cell r="C1592">
            <v>111</v>
          </cell>
          <cell r="D1592">
            <v>56</v>
          </cell>
          <cell r="E1592" t="str">
            <v xml:space="preserve">    </v>
          </cell>
          <cell r="F1592" t="str">
            <v xml:space="preserve">   </v>
          </cell>
          <cell r="G1592">
            <v>3911156</v>
          </cell>
          <cell r="H1592">
            <v>-79442.259999999995</v>
          </cell>
          <cell r="I1592">
            <v>0</v>
          </cell>
          <cell r="J1592">
            <v>0</v>
          </cell>
          <cell r="K1592">
            <v>-79442.259999999995</v>
          </cell>
          <cell r="L1592">
            <v>0</v>
          </cell>
        </row>
        <row r="1593">
          <cell r="A1593">
            <v>4</v>
          </cell>
          <cell r="B1593">
            <v>9</v>
          </cell>
          <cell r="C1593">
            <v>111</v>
          </cell>
          <cell r="D1593">
            <v>56</v>
          </cell>
          <cell r="E1593" t="str">
            <v xml:space="preserve">    </v>
          </cell>
          <cell r="F1593" t="str">
            <v xml:space="preserve">   </v>
          </cell>
          <cell r="G1593">
            <v>4911156</v>
          </cell>
          <cell r="H1593">
            <v>-79442.16</v>
          </cell>
          <cell r="I1593">
            <v>0</v>
          </cell>
          <cell r="J1593">
            <v>0</v>
          </cell>
          <cell r="K1593">
            <v>-79442.16</v>
          </cell>
          <cell r="L1593">
            <v>0</v>
          </cell>
        </row>
        <row r="1594">
          <cell r="A1594">
            <v>5</v>
          </cell>
          <cell r="B1594">
            <v>9</v>
          </cell>
          <cell r="C1594">
            <v>111</v>
          </cell>
          <cell r="D1594">
            <v>56</v>
          </cell>
          <cell r="E1594" t="str">
            <v xml:space="preserve">    </v>
          </cell>
          <cell r="F1594" t="str">
            <v xml:space="preserve">   </v>
          </cell>
          <cell r="G1594">
            <v>5911156</v>
          </cell>
          <cell r="H1594">
            <v>-79442.259999999995</v>
          </cell>
          <cell r="I1594">
            <v>0</v>
          </cell>
          <cell r="J1594">
            <v>0</v>
          </cell>
          <cell r="K1594">
            <v>-79442.259999999995</v>
          </cell>
          <cell r="L1594">
            <v>0</v>
          </cell>
        </row>
        <row r="1595">
          <cell r="A1595">
            <v>3</v>
          </cell>
          <cell r="B1595">
            <v>9</v>
          </cell>
          <cell r="C1595">
            <v>124</v>
          </cell>
          <cell r="D1595">
            <v>30</v>
          </cell>
          <cell r="E1595" t="str">
            <v xml:space="preserve">    </v>
          </cell>
          <cell r="F1595" t="str">
            <v xml:space="preserve">   </v>
          </cell>
          <cell r="G1595">
            <v>3912430</v>
          </cell>
          <cell r="H1595">
            <v>1332.92</v>
          </cell>
          <cell r="I1595">
            <v>1332.92</v>
          </cell>
          <cell r="J1595">
            <v>0</v>
          </cell>
          <cell r="K1595">
            <v>0</v>
          </cell>
          <cell r="L1595">
            <v>0</v>
          </cell>
        </row>
        <row r="1596">
          <cell r="A1596">
            <v>4</v>
          </cell>
          <cell r="B1596">
            <v>9</v>
          </cell>
          <cell r="C1596">
            <v>124</v>
          </cell>
          <cell r="D1596">
            <v>30</v>
          </cell>
          <cell r="E1596" t="str">
            <v xml:space="preserve">    </v>
          </cell>
          <cell r="F1596" t="str">
            <v xml:space="preserve">   </v>
          </cell>
          <cell r="G1596">
            <v>4912430</v>
          </cell>
          <cell r="H1596">
            <v>7803.51</v>
          </cell>
          <cell r="I1596">
            <v>7803.51</v>
          </cell>
          <cell r="J1596">
            <v>0</v>
          </cell>
          <cell r="K1596">
            <v>0</v>
          </cell>
          <cell r="L1596">
            <v>0</v>
          </cell>
        </row>
        <row r="1597">
          <cell r="A1597">
            <v>5</v>
          </cell>
          <cell r="B1597">
            <v>9</v>
          </cell>
          <cell r="C1597">
            <v>124</v>
          </cell>
          <cell r="D1597">
            <v>30</v>
          </cell>
          <cell r="E1597" t="str">
            <v xml:space="preserve">    </v>
          </cell>
          <cell r="F1597" t="str">
            <v xml:space="preserve">   </v>
          </cell>
          <cell r="G1597">
            <v>5912430</v>
          </cell>
          <cell r="H1597">
            <v>1332.9</v>
          </cell>
          <cell r="I1597">
            <v>1332.9</v>
          </cell>
          <cell r="J1597">
            <v>0</v>
          </cell>
          <cell r="K1597">
            <v>0</v>
          </cell>
          <cell r="L1597">
            <v>0</v>
          </cell>
        </row>
        <row r="1598">
          <cell r="A1598">
            <v>3</v>
          </cell>
          <cell r="B1598">
            <v>9</v>
          </cell>
          <cell r="C1598">
            <v>124</v>
          </cell>
          <cell r="D1598">
            <v>35</v>
          </cell>
          <cell r="E1598" t="str">
            <v xml:space="preserve">    </v>
          </cell>
          <cell r="F1598" t="str">
            <v xml:space="preserve">   </v>
          </cell>
          <cell r="G1598">
            <v>3912435</v>
          </cell>
          <cell r="H1598">
            <v>113081.43</v>
          </cell>
          <cell r="I1598">
            <v>0</v>
          </cell>
          <cell r="J1598">
            <v>0</v>
          </cell>
          <cell r="K1598">
            <v>113081.43</v>
          </cell>
          <cell r="L1598">
            <v>0</v>
          </cell>
        </row>
        <row r="1599">
          <cell r="A1599">
            <v>4</v>
          </cell>
          <cell r="B1599">
            <v>9</v>
          </cell>
          <cell r="C1599">
            <v>124</v>
          </cell>
          <cell r="D1599">
            <v>35</v>
          </cell>
          <cell r="E1599" t="str">
            <v xml:space="preserve">    </v>
          </cell>
          <cell r="F1599" t="str">
            <v xml:space="preserve">   </v>
          </cell>
          <cell r="G1599">
            <v>4912435</v>
          </cell>
          <cell r="H1599">
            <v>116759.91</v>
          </cell>
          <cell r="I1599">
            <v>0</v>
          </cell>
          <cell r="J1599">
            <v>0</v>
          </cell>
          <cell r="K1599">
            <v>116759.91</v>
          </cell>
          <cell r="L1599">
            <v>0</v>
          </cell>
        </row>
        <row r="1600">
          <cell r="A1600">
            <v>5</v>
          </cell>
          <cell r="B1600">
            <v>9</v>
          </cell>
          <cell r="C1600">
            <v>124</v>
          </cell>
          <cell r="D1600">
            <v>35</v>
          </cell>
          <cell r="E1600" t="str">
            <v xml:space="preserve">    </v>
          </cell>
          <cell r="F1600" t="str">
            <v xml:space="preserve">   </v>
          </cell>
          <cell r="G1600">
            <v>5912435</v>
          </cell>
          <cell r="H1600">
            <v>114200.82</v>
          </cell>
          <cell r="I1600">
            <v>0</v>
          </cell>
          <cell r="J1600">
            <v>0</v>
          </cell>
          <cell r="K1600">
            <v>114200.82</v>
          </cell>
          <cell r="L1600">
            <v>0</v>
          </cell>
        </row>
        <row r="1601">
          <cell r="A1601">
            <v>3</v>
          </cell>
          <cell r="B1601">
            <v>9</v>
          </cell>
          <cell r="C1601">
            <v>124</v>
          </cell>
          <cell r="D1601">
            <v>40</v>
          </cell>
          <cell r="E1601" t="str">
            <v xml:space="preserve">    </v>
          </cell>
          <cell r="F1601" t="str">
            <v xml:space="preserve">   </v>
          </cell>
          <cell r="G1601">
            <v>3912440</v>
          </cell>
          <cell r="H1601">
            <v>0</v>
          </cell>
          <cell r="I1601">
            <v>0</v>
          </cell>
          <cell r="J1601">
            <v>0</v>
          </cell>
          <cell r="K1601">
            <v>0</v>
          </cell>
          <cell r="L1601">
            <v>0</v>
          </cell>
        </row>
        <row r="1602">
          <cell r="A1602">
            <v>4</v>
          </cell>
          <cell r="B1602">
            <v>9</v>
          </cell>
          <cell r="C1602">
            <v>124</v>
          </cell>
          <cell r="D1602">
            <v>40</v>
          </cell>
          <cell r="E1602" t="str">
            <v xml:space="preserve">    </v>
          </cell>
          <cell r="F1602" t="str">
            <v xml:space="preserve">   </v>
          </cell>
          <cell r="G1602">
            <v>4912440</v>
          </cell>
          <cell r="H1602">
            <v>3704.82</v>
          </cell>
          <cell r="I1602">
            <v>3704.82</v>
          </cell>
          <cell r="J1602">
            <v>0</v>
          </cell>
          <cell r="K1602">
            <v>0</v>
          </cell>
          <cell r="L1602">
            <v>0</v>
          </cell>
        </row>
        <row r="1603">
          <cell r="A1603">
            <v>5</v>
          </cell>
          <cell r="B1603">
            <v>9</v>
          </cell>
          <cell r="C1603">
            <v>124</v>
          </cell>
          <cell r="D1603">
            <v>40</v>
          </cell>
          <cell r="E1603" t="str">
            <v xml:space="preserve">    </v>
          </cell>
          <cell r="F1603" t="str">
            <v xml:space="preserve">   </v>
          </cell>
          <cell r="G1603">
            <v>5912440</v>
          </cell>
          <cell r="H1603">
            <v>0</v>
          </cell>
          <cell r="I1603">
            <v>0</v>
          </cell>
          <cell r="J1603">
            <v>0</v>
          </cell>
          <cell r="K1603">
            <v>0</v>
          </cell>
          <cell r="L1603">
            <v>0</v>
          </cell>
        </row>
        <row r="1604">
          <cell r="A1604">
            <v>3</v>
          </cell>
          <cell r="B1604">
            <v>9</v>
          </cell>
          <cell r="C1604">
            <v>124</v>
          </cell>
          <cell r="D1604">
            <v>50</v>
          </cell>
          <cell r="E1604" t="str">
            <v xml:space="preserve">    </v>
          </cell>
          <cell r="F1604" t="str">
            <v xml:space="preserve">   </v>
          </cell>
          <cell r="G1604">
            <v>3912450</v>
          </cell>
          <cell r="H1604">
            <v>5898.49</v>
          </cell>
          <cell r="I1604">
            <v>5898.49</v>
          </cell>
          <cell r="J1604">
            <v>0</v>
          </cell>
          <cell r="K1604">
            <v>0</v>
          </cell>
          <cell r="L1604">
            <v>0</v>
          </cell>
        </row>
        <row r="1605">
          <cell r="A1605">
            <v>4</v>
          </cell>
          <cell r="B1605">
            <v>9</v>
          </cell>
          <cell r="C1605">
            <v>124</v>
          </cell>
          <cell r="D1605">
            <v>50</v>
          </cell>
          <cell r="E1605" t="str">
            <v xml:space="preserve">    </v>
          </cell>
          <cell r="F1605" t="str">
            <v xml:space="preserve">   </v>
          </cell>
          <cell r="G1605">
            <v>4912450</v>
          </cell>
          <cell r="H1605">
            <v>10016.69</v>
          </cell>
          <cell r="I1605">
            <v>10016.69</v>
          </cell>
          <cell r="J1605">
            <v>0</v>
          </cell>
          <cell r="K1605">
            <v>0</v>
          </cell>
          <cell r="L1605">
            <v>0</v>
          </cell>
        </row>
        <row r="1606">
          <cell r="A1606">
            <v>5</v>
          </cell>
          <cell r="B1606">
            <v>9</v>
          </cell>
          <cell r="C1606">
            <v>124</v>
          </cell>
          <cell r="D1606">
            <v>50</v>
          </cell>
          <cell r="E1606" t="str">
            <v xml:space="preserve">    </v>
          </cell>
          <cell r="F1606" t="str">
            <v xml:space="preserve">   </v>
          </cell>
          <cell r="G1606">
            <v>5912450</v>
          </cell>
          <cell r="H1606">
            <v>6209.95</v>
          </cell>
          <cell r="I1606">
            <v>6209.95</v>
          </cell>
          <cell r="J1606">
            <v>0</v>
          </cell>
          <cell r="K1606">
            <v>0</v>
          </cell>
          <cell r="L1606">
            <v>0</v>
          </cell>
        </row>
        <row r="1607">
          <cell r="A1607">
            <v>3</v>
          </cell>
          <cell r="B1607">
            <v>9</v>
          </cell>
          <cell r="C1607">
            <v>124</v>
          </cell>
          <cell r="D1607">
            <v>90</v>
          </cell>
          <cell r="E1607" t="str">
            <v xml:space="preserve">    </v>
          </cell>
          <cell r="F1607" t="str">
            <v xml:space="preserve">   </v>
          </cell>
          <cell r="G1607">
            <v>3912490</v>
          </cell>
          <cell r="H1607">
            <v>113340000</v>
          </cell>
          <cell r="I1607">
            <v>0</v>
          </cell>
          <cell r="J1607">
            <v>82378952</v>
          </cell>
          <cell r="K1607">
            <v>30961048</v>
          </cell>
          <cell r="L1607">
            <v>0</v>
          </cell>
        </row>
        <row r="1608">
          <cell r="A1608">
            <v>4</v>
          </cell>
          <cell r="B1608">
            <v>9</v>
          </cell>
          <cell r="C1608">
            <v>124</v>
          </cell>
          <cell r="D1608">
            <v>90</v>
          </cell>
          <cell r="E1608" t="str">
            <v xml:space="preserve">    </v>
          </cell>
          <cell r="F1608" t="str">
            <v xml:space="preserve">   </v>
          </cell>
          <cell r="G1608">
            <v>4912490</v>
          </cell>
          <cell r="H1608">
            <v>113339999.87</v>
          </cell>
          <cell r="I1608">
            <v>0</v>
          </cell>
          <cell r="J1608">
            <v>82378951.920000002</v>
          </cell>
          <cell r="K1608">
            <v>30961047.949999999</v>
          </cell>
          <cell r="L1608">
            <v>0</v>
          </cell>
        </row>
        <row r="1609">
          <cell r="A1609">
            <v>5</v>
          </cell>
          <cell r="B1609">
            <v>9</v>
          </cell>
          <cell r="C1609">
            <v>124</v>
          </cell>
          <cell r="D1609">
            <v>90</v>
          </cell>
          <cell r="E1609" t="str">
            <v xml:space="preserve">    </v>
          </cell>
          <cell r="F1609" t="str">
            <v xml:space="preserve">   </v>
          </cell>
          <cell r="G1609">
            <v>5912490</v>
          </cell>
          <cell r="H1609">
            <v>113340000</v>
          </cell>
          <cell r="I1609">
            <v>0</v>
          </cell>
          <cell r="J1609">
            <v>82378952</v>
          </cell>
          <cell r="K1609">
            <v>30961048</v>
          </cell>
          <cell r="L1609">
            <v>0</v>
          </cell>
        </row>
        <row r="1610">
          <cell r="A1610">
            <v>3</v>
          </cell>
          <cell r="B1610">
            <v>9</v>
          </cell>
          <cell r="C1610">
            <v>124</v>
          </cell>
          <cell r="D1610">
            <v>93</v>
          </cell>
          <cell r="E1610" t="str">
            <v xml:space="preserve">    </v>
          </cell>
          <cell r="F1610" t="str">
            <v xml:space="preserve">   </v>
          </cell>
          <cell r="G1610">
            <v>3912493</v>
          </cell>
          <cell r="H1610">
            <v>-29986302</v>
          </cell>
          <cell r="I1610">
            <v>0</v>
          </cell>
          <cell r="J1610">
            <v>-29986302</v>
          </cell>
          <cell r="K1610">
            <v>0</v>
          </cell>
          <cell r="L1610">
            <v>0</v>
          </cell>
        </row>
        <row r="1611">
          <cell r="A1611">
            <v>4</v>
          </cell>
          <cell r="B1611">
            <v>9</v>
          </cell>
          <cell r="C1611">
            <v>124</v>
          </cell>
          <cell r="D1611">
            <v>93</v>
          </cell>
          <cell r="E1611" t="str">
            <v xml:space="preserve">    </v>
          </cell>
          <cell r="F1611" t="str">
            <v xml:space="preserve">   </v>
          </cell>
          <cell r="G1611">
            <v>4912493</v>
          </cell>
          <cell r="H1611">
            <v>-28720337.960000001</v>
          </cell>
          <cell r="I1611">
            <v>0</v>
          </cell>
          <cell r="J1611">
            <v>-28720337.960000001</v>
          </cell>
          <cell r="K1611">
            <v>0</v>
          </cell>
          <cell r="L1611">
            <v>0</v>
          </cell>
        </row>
        <row r="1612">
          <cell r="A1612">
            <v>5</v>
          </cell>
          <cell r="B1612">
            <v>9</v>
          </cell>
          <cell r="C1612">
            <v>124</v>
          </cell>
          <cell r="D1612">
            <v>93</v>
          </cell>
          <cell r="E1612" t="str">
            <v xml:space="preserve">    </v>
          </cell>
          <cell r="F1612" t="str">
            <v xml:space="preserve">   </v>
          </cell>
          <cell r="G1612">
            <v>5912493</v>
          </cell>
          <cell r="H1612">
            <v>-29880805</v>
          </cell>
          <cell r="I1612">
            <v>0</v>
          </cell>
          <cell r="J1612">
            <v>-29880805</v>
          </cell>
          <cell r="K1612">
            <v>0</v>
          </cell>
          <cell r="L1612">
            <v>0</v>
          </cell>
        </row>
        <row r="1613">
          <cell r="A1613">
            <v>3</v>
          </cell>
          <cell r="B1613">
            <v>9</v>
          </cell>
          <cell r="C1613">
            <v>124</v>
          </cell>
          <cell r="D1613">
            <v>94</v>
          </cell>
          <cell r="E1613" t="str">
            <v xml:space="preserve">    </v>
          </cell>
          <cell r="F1613" t="str">
            <v xml:space="preserve">   </v>
          </cell>
          <cell r="G1613">
            <v>3912494</v>
          </cell>
          <cell r="H1613">
            <v>2739667</v>
          </cell>
          <cell r="I1613">
            <v>0</v>
          </cell>
          <cell r="J1613">
            <v>0</v>
          </cell>
          <cell r="K1613">
            <v>2739667</v>
          </cell>
          <cell r="L1613">
            <v>0</v>
          </cell>
        </row>
        <row r="1614">
          <cell r="A1614">
            <v>4</v>
          </cell>
          <cell r="B1614">
            <v>9</v>
          </cell>
          <cell r="C1614">
            <v>124</v>
          </cell>
          <cell r="D1614">
            <v>94</v>
          </cell>
          <cell r="E1614" t="str">
            <v xml:space="preserve">    </v>
          </cell>
          <cell r="F1614" t="str">
            <v xml:space="preserve">   </v>
          </cell>
          <cell r="G1614">
            <v>4912494</v>
          </cell>
          <cell r="H1614">
            <v>3129785.46</v>
          </cell>
          <cell r="I1614">
            <v>0</v>
          </cell>
          <cell r="J1614">
            <v>0</v>
          </cell>
          <cell r="K1614">
            <v>3129785.46</v>
          </cell>
          <cell r="L1614">
            <v>0</v>
          </cell>
        </row>
        <row r="1615">
          <cell r="A1615">
            <v>5</v>
          </cell>
          <cell r="B1615">
            <v>9</v>
          </cell>
          <cell r="C1615">
            <v>124</v>
          </cell>
          <cell r="D1615">
            <v>94</v>
          </cell>
          <cell r="E1615" t="str">
            <v xml:space="preserve">    </v>
          </cell>
          <cell r="F1615" t="str">
            <v xml:space="preserve">   </v>
          </cell>
          <cell r="G1615">
            <v>5912494</v>
          </cell>
          <cell r="H1615">
            <v>2775238.5</v>
          </cell>
          <cell r="I1615">
            <v>0</v>
          </cell>
          <cell r="J1615">
            <v>0</v>
          </cell>
          <cell r="K1615">
            <v>2775238.5</v>
          </cell>
          <cell r="L1615">
            <v>0</v>
          </cell>
        </row>
        <row r="1616">
          <cell r="A1616">
            <v>3</v>
          </cell>
          <cell r="B1616">
            <v>9</v>
          </cell>
          <cell r="C1616">
            <v>124</v>
          </cell>
          <cell r="D1616">
            <v>95</v>
          </cell>
          <cell r="E1616" t="str">
            <v xml:space="preserve">    </v>
          </cell>
          <cell r="F1616" t="str">
            <v xml:space="preserve">   </v>
          </cell>
          <cell r="G1616">
            <v>3912495</v>
          </cell>
          <cell r="H1616">
            <v>-25304049</v>
          </cell>
          <cell r="I1616">
            <v>0</v>
          </cell>
          <cell r="J1616">
            <v>0</v>
          </cell>
          <cell r="K1616">
            <v>-25304049</v>
          </cell>
          <cell r="L1616">
            <v>0</v>
          </cell>
        </row>
        <row r="1617">
          <cell r="A1617">
            <v>4</v>
          </cell>
          <cell r="B1617">
            <v>9</v>
          </cell>
          <cell r="C1617">
            <v>124</v>
          </cell>
          <cell r="D1617">
            <v>95</v>
          </cell>
          <cell r="E1617" t="str">
            <v xml:space="preserve">    </v>
          </cell>
          <cell r="F1617" t="str">
            <v xml:space="preserve">   </v>
          </cell>
          <cell r="G1617">
            <v>4912495</v>
          </cell>
          <cell r="H1617">
            <v>-24047594.989999998</v>
          </cell>
          <cell r="I1617">
            <v>0</v>
          </cell>
          <cell r="J1617">
            <v>0</v>
          </cell>
          <cell r="K1617">
            <v>-24047594.989999998</v>
          </cell>
          <cell r="L1617">
            <v>0</v>
          </cell>
        </row>
        <row r="1618">
          <cell r="A1618">
            <v>5</v>
          </cell>
          <cell r="B1618">
            <v>9</v>
          </cell>
          <cell r="C1618">
            <v>124</v>
          </cell>
          <cell r="D1618">
            <v>95</v>
          </cell>
          <cell r="E1618" t="str">
            <v xml:space="preserve">    </v>
          </cell>
          <cell r="F1618" t="str">
            <v xml:space="preserve">   </v>
          </cell>
          <cell r="G1618">
            <v>5912495</v>
          </cell>
          <cell r="H1618">
            <v>-25199344.5</v>
          </cell>
          <cell r="I1618">
            <v>0</v>
          </cell>
          <cell r="J1618">
            <v>0</v>
          </cell>
          <cell r="K1618">
            <v>-25199344.5</v>
          </cell>
          <cell r="L1618">
            <v>0</v>
          </cell>
        </row>
        <row r="1619">
          <cell r="A1619">
            <v>3</v>
          </cell>
          <cell r="B1619">
            <v>9</v>
          </cell>
          <cell r="C1619">
            <v>164</v>
          </cell>
          <cell r="D1619">
            <v>10</v>
          </cell>
          <cell r="E1619" t="str">
            <v xml:space="preserve">    </v>
          </cell>
          <cell r="F1619" t="str">
            <v xml:space="preserve">   </v>
          </cell>
          <cell r="G1619">
            <v>3916410</v>
          </cell>
          <cell r="H1619">
            <v>2385871.37</v>
          </cell>
          <cell r="I1619">
            <v>2385871.37</v>
          </cell>
          <cell r="J1619">
            <v>0</v>
          </cell>
          <cell r="K1619">
            <v>0</v>
          </cell>
          <cell r="L1619">
            <v>0</v>
          </cell>
        </row>
        <row r="1620">
          <cell r="A1620">
            <v>4</v>
          </cell>
          <cell r="B1620">
            <v>9</v>
          </cell>
          <cell r="C1620">
            <v>164</v>
          </cell>
          <cell r="D1620">
            <v>10</v>
          </cell>
          <cell r="E1620" t="str">
            <v xml:space="preserve">    </v>
          </cell>
          <cell r="F1620" t="str">
            <v xml:space="preserve">   </v>
          </cell>
          <cell r="G1620">
            <v>4916410</v>
          </cell>
          <cell r="H1620">
            <v>1745626.56</v>
          </cell>
          <cell r="I1620">
            <v>1745626.56</v>
          </cell>
          <cell r="J1620">
            <v>0</v>
          </cell>
          <cell r="K1620">
            <v>0</v>
          </cell>
          <cell r="L1620">
            <v>0</v>
          </cell>
        </row>
        <row r="1621">
          <cell r="A1621">
            <v>5</v>
          </cell>
          <cell r="B1621">
            <v>9</v>
          </cell>
          <cell r="C1621">
            <v>164</v>
          </cell>
          <cell r="D1621">
            <v>10</v>
          </cell>
          <cell r="E1621" t="str">
            <v xml:space="preserve">    </v>
          </cell>
          <cell r="F1621" t="str">
            <v xml:space="preserve">   </v>
          </cell>
          <cell r="G1621">
            <v>5916410</v>
          </cell>
          <cell r="H1621">
            <v>2987217.44</v>
          </cell>
          <cell r="I1621">
            <v>2987217.44</v>
          </cell>
          <cell r="J1621">
            <v>0</v>
          </cell>
          <cell r="K1621">
            <v>0</v>
          </cell>
          <cell r="L1621">
            <v>0</v>
          </cell>
        </row>
        <row r="1622">
          <cell r="A1622">
            <v>3</v>
          </cell>
          <cell r="B1622">
            <v>9</v>
          </cell>
          <cell r="C1622">
            <v>164</v>
          </cell>
          <cell r="D1622">
            <v>16</v>
          </cell>
          <cell r="E1622" t="str">
            <v xml:space="preserve">    </v>
          </cell>
          <cell r="F1622" t="str">
            <v xml:space="preserve">   </v>
          </cell>
          <cell r="G1622">
            <v>3916416</v>
          </cell>
          <cell r="H1622">
            <v>91265.23</v>
          </cell>
          <cell r="I1622">
            <v>0</v>
          </cell>
          <cell r="J1622">
            <v>91265.23</v>
          </cell>
          <cell r="K1622">
            <v>0</v>
          </cell>
          <cell r="L1622">
            <v>0</v>
          </cell>
        </row>
        <row r="1623">
          <cell r="A1623">
            <v>4</v>
          </cell>
          <cell r="B1623">
            <v>9</v>
          </cell>
          <cell r="C1623">
            <v>164</v>
          </cell>
          <cell r="D1623">
            <v>16</v>
          </cell>
          <cell r="E1623" t="str">
            <v xml:space="preserve">    </v>
          </cell>
          <cell r="F1623" t="str">
            <v xml:space="preserve">   </v>
          </cell>
          <cell r="G1623">
            <v>4916416</v>
          </cell>
          <cell r="H1623">
            <v>94941.41</v>
          </cell>
          <cell r="I1623">
            <v>0</v>
          </cell>
          <cell r="J1623">
            <v>94941.41</v>
          </cell>
          <cell r="K1623">
            <v>0</v>
          </cell>
          <cell r="L1623">
            <v>0</v>
          </cell>
        </row>
        <row r="1624">
          <cell r="A1624">
            <v>5</v>
          </cell>
          <cell r="B1624">
            <v>9</v>
          </cell>
          <cell r="C1624">
            <v>164</v>
          </cell>
          <cell r="D1624">
            <v>16</v>
          </cell>
          <cell r="E1624" t="str">
            <v xml:space="preserve">    </v>
          </cell>
          <cell r="F1624" t="str">
            <v xml:space="preserve">   </v>
          </cell>
          <cell r="G1624">
            <v>5916416</v>
          </cell>
          <cell r="H1624">
            <v>112340.16</v>
          </cell>
          <cell r="I1624">
            <v>0</v>
          </cell>
          <cell r="J1624">
            <v>112340.16</v>
          </cell>
          <cell r="K1624">
            <v>0</v>
          </cell>
          <cell r="L1624">
            <v>0</v>
          </cell>
        </row>
        <row r="1625">
          <cell r="A1625">
            <v>3</v>
          </cell>
          <cell r="B1625">
            <v>9</v>
          </cell>
          <cell r="C1625">
            <v>164</v>
          </cell>
          <cell r="D1625">
            <v>21</v>
          </cell>
          <cell r="E1625" t="str">
            <v xml:space="preserve">    </v>
          </cell>
          <cell r="F1625" t="str">
            <v xml:space="preserve">   </v>
          </cell>
          <cell r="G1625">
            <v>3916421</v>
          </cell>
          <cell r="H1625">
            <v>87242.15</v>
          </cell>
          <cell r="I1625">
            <v>87242.15</v>
          </cell>
          <cell r="J1625">
            <v>0</v>
          </cell>
          <cell r="K1625">
            <v>0</v>
          </cell>
          <cell r="L1625">
            <v>0</v>
          </cell>
        </row>
        <row r="1626">
          <cell r="A1626">
            <v>4</v>
          </cell>
          <cell r="B1626">
            <v>9</v>
          </cell>
          <cell r="C1626">
            <v>164</v>
          </cell>
          <cell r="D1626">
            <v>21</v>
          </cell>
          <cell r="E1626" t="str">
            <v xml:space="preserve">    </v>
          </cell>
          <cell r="F1626" t="str">
            <v xml:space="preserve">   </v>
          </cell>
          <cell r="G1626">
            <v>4916421</v>
          </cell>
          <cell r="H1626">
            <v>215290.33</v>
          </cell>
          <cell r="I1626">
            <v>215290.33</v>
          </cell>
          <cell r="J1626">
            <v>0</v>
          </cell>
          <cell r="K1626">
            <v>0</v>
          </cell>
          <cell r="L1626">
            <v>0</v>
          </cell>
        </row>
        <row r="1627">
          <cell r="A1627">
            <v>5</v>
          </cell>
          <cell r="B1627">
            <v>9</v>
          </cell>
          <cell r="C1627">
            <v>164</v>
          </cell>
          <cell r="D1627">
            <v>21</v>
          </cell>
          <cell r="E1627" t="str">
            <v xml:space="preserve">    </v>
          </cell>
          <cell r="F1627" t="str">
            <v xml:space="preserve">   </v>
          </cell>
          <cell r="G1627">
            <v>5916421</v>
          </cell>
          <cell r="H1627">
            <v>164524.94</v>
          </cell>
          <cell r="I1627">
            <v>164524.94</v>
          </cell>
          <cell r="J1627">
            <v>0</v>
          </cell>
          <cell r="K1627">
            <v>0</v>
          </cell>
          <cell r="L1627">
            <v>0</v>
          </cell>
        </row>
        <row r="1628">
          <cell r="A1628">
            <v>3</v>
          </cell>
          <cell r="B1628">
            <v>9</v>
          </cell>
          <cell r="C1628">
            <v>164</v>
          </cell>
          <cell r="D1628">
            <v>23</v>
          </cell>
          <cell r="E1628" t="str">
            <v xml:space="preserve">    </v>
          </cell>
          <cell r="F1628" t="str">
            <v xml:space="preserve">   </v>
          </cell>
          <cell r="G1628">
            <v>3916423</v>
          </cell>
          <cell r="H1628">
            <v>74712.94</v>
          </cell>
          <cell r="I1628">
            <v>0</v>
          </cell>
          <cell r="J1628">
            <v>0</v>
          </cell>
          <cell r="K1628">
            <v>74712.94</v>
          </cell>
          <cell r="L1628">
            <v>0</v>
          </cell>
        </row>
        <row r="1629">
          <cell r="A1629">
            <v>4</v>
          </cell>
          <cell r="B1629">
            <v>9</v>
          </cell>
          <cell r="C1629">
            <v>164</v>
          </cell>
          <cell r="D1629">
            <v>23</v>
          </cell>
          <cell r="E1629" t="str">
            <v xml:space="preserve">    </v>
          </cell>
          <cell r="F1629" t="str">
            <v xml:space="preserve">   </v>
          </cell>
          <cell r="G1629">
            <v>4916423</v>
          </cell>
          <cell r="H1629">
            <v>119694.93</v>
          </cell>
          <cell r="I1629">
            <v>0</v>
          </cell>
          <cell r="J1629">
            <v>0</v>
          </cell>
          <cell r="K1629">
            <v>119694.93</v>
          </cell>
          <cell r="L1629">
            <v>0</v>
          </cell>
        </row>
        <row r="1630">
          <cell r="A1630">
            <v>5</v>
          </cell>
          <cell r="B1630">
            <v>9</v>
          </cell>
          <cell r="C1630">
            <v>164</v>
          </cell>
          <cell r="D1630">
            <v>23</v>
          </cell>
          <cell r="E1630" t="str">
            <v xml:space="preserve">    </v>
          </cell>
          <cell r="F1630" t="str">
            <v xml:space="preserve">   </v>
          </cell>
          <cell r="G1630">
            <v>5916423</v>
          </cell>
          <cell r="H1630">
            <v>127432.19</v>
          </cell>
          <cell r="I1630">
            <v>0</v>
          </cell>
          <cell r="J1630">
            <v>0</v>
          </cell>
          <cell r="K1630">
            <v>127432.19</v>
          </cell>
          <cell r="L1630">
            <v>0</v>
          </cell>
        </row>
        <row r="1631">
          <cell r="A1631">
            <v>3</v>
          </cell>
          <cell r="B1631">
            <v>9</v>
          </cell>
          <cell r="C1631">
            <v>164</v>
          </cell>
          <cell r="D1631">
            <v>28</v>
          </cell>
          <cell r="E1631" t="str">
            <v xml:space="preserve">    </v>
          </cell>
          <cell r="F1631" t="str">
            <v xml:space="preserve">   </v>
          </cell>
          <cell r="G1631">
            <v>3916428</v>
          </cell>
          <cell r="H1631">
            <v>142743.47</v>
          </cell>
          <cell r="I1631">
            <v>0</v>
          </cell>
          <cell r="J1631">
            <v>142743.47</v>
          </cell>
          <cell r="K1631">
            <v>0</v>
          </cell>
          <cell r="L1631">
            <v>0</v>
          </cell>
        </row>
        <row r="1632">
          <cell r="A1632">
            <v>4</v>
          </cell>
          <cell r="B1632">
            <v>9</v>
          </cell>
          <cell r="C1632">
            <v>164</v>
          </cell>
          <cell r="D1632">
            <v>28</v>
          </cell>
          <cell r="E1632" t="str">
            <v xml:space="preserve">    </v>
          </cell>
          <cell r="F1632" t="str">
            <v xml:space="preserve">   </v>
          </cell>
          <cell r="G1632">
            <v>4916428</v>
          </cell>
          <cell r="H1632">
            <v>258302.81</v>
          </cell>
          <cell r="I1632">
            <v>0</v>
          </cell>
          <cell r="J1632">
            <v>258302.81</v>
          </cell>
          <cell r="K1632">
            <v>0</v>
          </cell>
          <cell r="L1632">
            <v>0</v>
          </cell>
        </row>
        <row r="1633">
          <cell r="A1633">
            <v>5</v>
          </cell>
          <cell r="B1633">
            <v>9</v>
          </cell>
          <cell r="C1633">
            <v>164</v>
          </cell>
          <cell r="D1633">
            <v>28</v>
          </cell>
          <cell r="E1633" t="str">
            <v xml:space="preserve">    </v>
          </cell>
          <cell r="F1633" t="str">
            <v xml:space="preserve">   </v>
          </cell>
          <cell r="G1633">
            <v>5916428</v>
          </cell>
          <cell r="H1633">
            <v>225952.58</v>
          </cell>
          <cell r="I1633">
            <v>0</v>
          </cell>
          <cell r="J1633">
            <v>225952.58</v>
          </cell>
          <cell r="K1633">
            <v>0</v>
          </cell>
          <cell r="L1633">
            <v>0</v>
          </cell>
        </row>
        <row r="1634">
          <cell r="A1634">
            <v>3</v>
          </cell>
          <cell r="B1634">
            <v>9</v>
          </cell>
          <cell r="C1634">
            <v>182</v>
          </cell>
          <cell r="D1634">
            <v>31</v>
          </cell>
          <cell r="E1634" t="str">
            <v xml:space="preserve">    </v>
          </cell>
          <cell r="F1634" t="str">
            <v xml:space="preserve">   </v>
          </cell>
          <cell r="G1634">
            <v>3918231</v>
          </cell>
          <cell r="H1634">
            <v>142137150</v>
          </cell>
          <cell r="I1634">
            <v>142137150</v>
          </cell>
          <cell r="J1634">
            <v>0</v>
          </cell>
          <cell r="K1634">
            <v>0</v>
          </cell>
          <cell r="L1634">
            <v>0</v>
          </cell>
        </row>
        <row r="1635">
          <cell r="A1635">
            <v>4</v>
          </cell>
          <cell r="B1635">
            <v>9</v>
          </cell>
          <cell r="C1635">
            <v>182</v>
          </cell>
          <cell r="D1635">
            <v>31</v>
          </cell>
          <cell r="E1635" t="str">
            <v xml:space="preserve">    </v>
          </cell>
          <cell r="F1635" t="str">
            <v xml:space="preserve">   </v>
          </cell>
          <cell r="G1635">
            <v>4918231</v>
          </cell>
          <cell r="H1635">
            <v>144358880.36000001</v>
          </cell>
          <cell r="I1635">
            <v>144358880.36000001</v>
          </cell>
          <cell r="J1635">
            <v>0</v>
          </cell>
          <cell r="K1635">
            <v>0</v>
          </cell>
          <cell r="L1635">
            <v>0</v>
          </cell>
        </row>
        <row r="1636">
          <cell r="A1636">
            <v>5</v>
          </cell>
          <cell r="B1636">
            <v>9</v>
          </cell>
          <cell r="C1636">
            <v>182</v>
          </cell>
          <cell r="D1636">
            <v>31</v>
          </cell>
          <cell r="E1636" t="str">
            <v xml:space="preserve">    </v>
          </cell>
          <cell r="F1636" t="str">
            <v xml:space="preserve">   </v>
          </cell>
          <cell r="G1636">
            <v>5918231</v>
          </cell>
          <cell r="H1636">
            <v>142483186</v>
          </cell>
          <cell r="I1636">
            <v>142483186</v>
          </cell>
          <cell r="J1636">
            <v>0</v>
          </cell>
          <cell r="K1636">
            <v>0</v>
          </cell>
          <cell r="L1636">
            <v>0</v>
          </cell>
        </row>
        <row r="1637">
          <cell r="A1637">
            <v>3</v>
          </cell>
          <cell r="B1637">
            <v>9</v>
          </cell>
          <cell r="C1637">
            <v>182</v>
          </cell>
          <cell r="D1637">
            <v>32</v>
          </cell>
          <cell r="E1637" t="str">
            <v xml:space="preserve">    </v>
          </cell>
          <cell r="F1637" t="str">
            <v xml:space="preserve">   </v>
          </cell>
          <cell r="G1637">
            <v>3918232</v>
          </cell>
          <cell r="H1637">
            <v>20230674</v>
          </cell>
          <cell r="I1637">
            <v>20230674</v>
          </cell>
          <cell r="J1637">
            <v>0</v>
          </cell>
          <cell r="K1637">
            <v>0</v>
          </cell>
          <cell r="L1637">
            <v>0</v>
          </cell>
        </row>
        <row r="1638">
          <cell r="A1638">
            <v>4</v>
          </cell>
          <cell r="B1638">
            <v>9</v>
          </cell>
          <cell r="C1638">
            <v>182</v>
          </cell>
          <cell r="D1638">
            <v>32</v>
          </cell>
          <cell r="E1638" t="str">
            <v xml:space="preserve">    </v>
          </cell>
          <cell r="F1638" t="str">
            <v xml:space="preserve">   </v>
          </cell>
          <cell r="G1638">
            <v>4918232</v>
          </cell>
          <cell r="H1638">
            <v>21415332.309999999</v>
          </cell>
          <cell r="I1638">
            <v>21415332.309999999</v>
          </cell>
          <cell r="J1638">
            <v>0</v>
          </cell>
          <cell r="K1638">
            <v>0</v>
          </cell>
          <cell r="L1638">
            <v>0</v>
          </cell>
        </row>
        <row r="1639">
          <cell r="A1639">
            <v>5</v>
          </cell>
          <cell r="B1639">
            <v>9</v>
          </cell>
          <cell r="C1639">
            <v>182</v>
          </cell>
          <cell r="D1639">
            <v>32</v>
          </cell>
          <cell r="E1639" t="str">
            <v xml:space="preserve">    </v>
          </cell>
          <cell r="F1639" t="str">
            <v xml:space="preserve">   </v>
          </cell>
          <cell r="G1639">
            <v>5918232</v>
          </cell>
          <cell r="H1639">
            <v>20545224.5</v>
          </cell>
          <cell r="I1639">
            <v>20545224.5</v>
          </cell>
          <cell r="J1639">
            <v>0</v>
          </cell>
          <cell r="K1639">
            <v>0</v>
          </cell>
          <cell r="L1639">
            <v>0</v>
          </cell>
        </row>
        <row r="1640">
          <cell r="A1640">
            <v>3</v>
          </cell>
          <cell r="B1640">
            <v>9</v>
          </cell>
          <cell r="C1640">
            <v>182</v>
          </cell>
          <cell r="D1640">
            <v>33</v>
          </cell>
          <cell r="E1640" t="str">
            <v xml:space="preserve">    </v>
          </cell>
          <cell r="F1640" t="str">
            <v xml:space="preserve">   </v>
          </cell>
          <cell r="G1640">
            <v>3918233</v>
          </cell>
          <cell r="H1640">
            <v>10485434</v>
          </cell>
          <cell r="I1640">
            <v>10485434</v>
          </cell>
          <cell r="J1640">
            <v>0</v>
          </cell>
          <cell r="K1640">
            <v>0</v>
          </cell>
          <cell r="L1640">
            <v>0</v>
          </cell>
        </row>
        <row r="1641">
          <cell r="A1641">
            <v>4</v>
          </cell>
          <cell r="B1641">
            <v>9</v>
          </cell>
          <cell r="C1641">
            <v>182</v>
          </cell>
          <cell r="D1641">
            <v>33</v>
          </cell>
          <cell r="E1641" t="str">
            <v xml:space="preserve">    </v>
          </cell>
          <cell r="F1641" t="str">
            <v xml:space="preserve">   </v>
          </cell>
          <cell r="G1641">
            <v>4918233</v>
          </cell>
          <cell r="H1641">
            <v>10485433.92</v>
          </cell>
          <cell r="I1641">
            <v>10485433.92</v>
          </cell>
          <cell r="J1641">
            <v>0</v>
          </cell>
          <cell r="K1641">
            <v>0</v>
          </cell>
          <cell r="L1641">
            <v>0</v>
          </cell>
        </row>
        <row r="1642">
          <cell r="A1642">
            <v>5</v>
          </cell>
          <cell r="B1642">
            <v>9</v>
          </cell>
          <cell r="C1642">
            <v>182</v>
          </cell>
          <cell r="D1642">
            <v>33</v>
          </cell>
          <cell r="E1642" t="str">
            <v xml:space="preserve">    </v>
          </cell>
          <cell r="F1642" t="str">
            <v xml:space="preserve">   </v>
          </cell>
          <cell r="G1642">
            <v>5918233</v>
          </cell>
          <cell r="H1642">
            <v>10485434</v>
          </cell>
          <cell r="I1642">
            <v>10485434</v>
          </cell>
          <cell r="J1642">
            <v>0</v>
          </cell>
          <cell r="K1642">
            <v>0</v>
          </cell>
          <cell r="L1642">
            <v>0</v>
          </cell>
        </row>
        <row r="1643">
          <cell r="A1643">
            <v>3</v>
          </cell>
          <cell r="B1643">
            <v>9</v>
          </cell>
          <cell r="C1643">
            <v>186</v>
          </cell>
          <cell r="D1643">
            <v>10</v>
          </cell>
          <cell r="E1643" t="str">
            <v xml:space="preserve">    </v>
          </cell>
          <cell r="F1643" t="str">
            <v xml:space="preserve">   </v>
          </cell>
          <cell r="G1643">
            <v>3918610</v>
          </cell>
          <cell r="H1643">
            <v>730020</v>
          </cell>
          <cell r="I1643">
            <v>0</v>
          </cell>
          <cell r="J1643">
            <v>730020</v>
          </cell>
          <cell r="K1643">
            <v>0</v>
          </cell>
          <cell r="L1643">
            <v>0</v>
          </cell>
        </row>
        <row r="1644">
          <cell r="A1644">
            <v>4</v>
          </cell>
          <cell r="B1644">
            <v>9</v>
          </cell>
          <cell r="C1644">
            <v>186</v>
          </cell>
          <cell r="D1644">
            <v>10</v>
          </cell>
          <cell r="E1644" t="str">
            <v xml:space="preserve">    </v>
          </cell>
          <cell r="F1644" t="str">
            <v xml:space="preserve">   </v>
          </cell>
          <cell r="G1644">
            <v>4918610</v>
          </cell>
          <cell r="H1644">
            <v>745889.96</v>
          </cell>
          <cell r="I1644">
            <v>0</v>
          </cell>
          <cell r="J1644">
            <v>745889.96</v>
          </cell>
          <cell r="K1644">
            <v>0</v>
          </cell>
          <cell r="L1644">
            <v>0</v>
          </cell>
        </row>
        <row r="1645">
          <cell r="A1645">
            <v>5</v>
          </cell>
          <cell r="B1645">
            <v>9</v>
          </cell>
          <cell r="C1645">
            <v>186</v>
          </cell>
          <cell r="D1645">
            <v>10</v>
          </cell>
          <cell r="E1645" t="str">
            <v xml:space="preserve">    </v>
          </cell>
          <cell r="F1645" t="str">
            <v xml:space="preserve">   </v>
          </cell>
          <cell r="G1645">
            <v>5918610</v>
          </cell>
          <cell r="H1645">
            <v>731342.5</v>
          </cell>
          <cell r="I1645">
            <v>0</v>
          </cell>
          <cell r="J1645">
            <v>731342.5</v>
          </cell>
          <cell r="K1645">
            <v>0</v>
          </cell>
          <cell r="L1645">
            <v>0</v>
          </cell>
        </row>
        <row r="1646">
          <cell r="A1646">
            <v>3</v>
          </cell>
          <cell r="B1646">
            <v>9</v>
          </cell>
          <cell r="C1646">
            <v>186</v>
          </cell>
          <cell r="D1646">
            <v>11</v>
          </cell>
          <cell r="E1646" t="str">
            <v xml:space="preserve">    </v>
          </cell>
          <cell r="F1646" t="str">
            <v xml:space="preserve">   </v>
          </cell>
          <cell r="G1646">
            <v>3918611</v>
          </cell>
          <cell r="H1646">
            <v>1548084</v>
          </cell>
          <cell r="I1646">
            <v>0</v>
          </cell>
          <cell r="J1646">
            <v>0</v>
          </cell>
          <cell r="K1646">
            <v>1548084</v>
          </cell>
          <cell r="L1646">
            <v>0</v>
          </cell>
        </row>
        <row r="1647">
          <cell r="A1647">
            <v>4</v>
          </cell>
          <cell r="B1647">
            <v>9</v>
          </cell>
          <cell r="C1647">
            <v>186</v>
          </cell>
          <cell r="D1647">
            <v>11</v>
          </cell>
          <cell r="E1647" t="str">
            <v xml:space="preserve">    </v>
          </cell>
          <cell r="F1647" t="str">
            <v xml:space="preserve">   </v>
          </cell>
          <cell r="G1647">
            <v>4918611</v>
          </cell>
          <cell r="H1647">
            <v>1581737.96</v>
          </cell>
          <cell r="I1647">
            <v>0</v>
          </cell>
          <cell r="J1647">
            <v>0</v>
          </cell>
          <cell r="K1647">
            <v>1581737.96</v>
          </cell>
          <cell r="L1647">
            <v>0</v>
          </cell>
        </row>
        <row r="1648">
          <cell r="A1648">
            <v>5</v>
          </cell>
          <cell r="B1648">
            <v>9</v>
          </cell>
          <cell r="C1648">
            <v>186</v>
          </cell>
          <cell r="D1648">
            <v>11</v>
          </cell>
          <cell r="E1648" t="str">
            <v xml:space="preserve">    </v>
          </cell>
          <cell r="F1648" t="str">
            <v xml:space="preserve">   </v>
          </cell>
          <cell r="G1648">
            <v>5918611</v>
          </cell>
          <cell r="H1648">
            <v>1550888.5</v>
          </cell>
          <cell r="I1648">
            <v>0</v>
          </cell>
          <cell r="J1648">
            <v>0</v>
          </cell>
          <cell r="K1648">
            <v>1550888.5</v>
          </cell>
          <cell r="L1648">
            <v>0</v>
          </cell>
        </row>
        <row r="1649">
          <cell r="A1649">
            <v>3</v>
          </cell>
          <cell r="B1649">
            <v>9</v>
          </cell>
          <cell r="C1649">
            <v>186</v>
          </cell>
          <cell r="D1649">
            <v>28</v>
          </cell>
          <cell r="E1649" t="str">
            <v xml:space="preserve">    </v>
          </cell>
          <cell r="F1649" t="str">
            <v xml:space="preserve">   </v>
          </cell>
          <cell r="G1649">
            <v>3918628</v>
          </cell>
          <cell r="H1649">
            <v>41400</v>
          </cell>
          <cell r="I1649">
            <v>0</v>
          </cell>
          <cell r="J1649">
            <v>41400</v>
          </cell>
          <cell r="K1649">
            <v>0</v>
          </cell>
          <cell r="L1649">
            <v>0</v>
          </cell>
        </row>
        <row r="1650">
          <cell r="A1650">
            <v>4</v>
          </cell>
          <cell r="B1650">
            <v>9</v>
          </cell>
          <cell r="C1650">
            <v>186</v>
          </cell>
          <cell r="D1650">
            <v>28</v>
          </cell>
          <cell r="E1650" t="str">
            <v xml:space="preserve">    </v>
          </cell>
          <cell r="F1650" t="str">
            <v xml:space="preserve">   </v>
          </cell>
          <cell r="G1650">
            <v>4918628</v>
          </cell>
          <cell r="H1650">
            <v>43124.91</v>
          </cell>
          <cell r="I1650">
            <v>0</v>
          </cell>
          <cell r="J1650">
            <v>43124.91</v>
          </cell>
          <cell r="K1650">
            <v>0</v>
          </cell>
          <cell r="L1650">
            <v>0</v>
          </cell>
        </row>
        <row r="1651">
          <cell r="A1651">
            <v>5</v>
          </cell>
          <cell r="B1651">
            <v>9</v>
          </cell>
          <cell r="C1651">
            <v>186</v>
          </cell>
          <cell r="D1651">
            <v>28</v>
          </cell>
          <cell r="E1651" t="str">
            <v xml:space="preserve">    </v>
          </cell>
          <cell r="F1651" t="str">
            <v xml:space="preserve">   </v>
          </cell>
          <cell r="G1651">
            <v>5918628</v>
          </cell>
          <cell r="H1651">
            <v>41400</v>
          </cell>
          <cell r="I1651">
            <v>0</v>
          </cell>
          <cell r="J1651">
            <v>41400</v>
          </cell>
          <cell r="K1651">
            <v>0</v>
          </cell>
          <cell r="L1651">
            <v>0</v>
          </cell>
        </row>
        <row r="1652">
          <cell r="A1652">
            <v>3</v>
          </cell>
          <cell r="B1652">
            <v>9</v>
          </cell>
          <cell r="C1652">
            <v>186</v>
          </cell>
          <cell r="D1652">
            <v>45</v>
          </cell>
          <cell r="E1652" t="str">
            <v xml:space="preserve">    </v>
          </cell>
          <cell r="F1652" t="str">
            <v xml:space="preserve">   </v>
          </cell>
          <cell r="G1652">
            <v>3918645</v>
          </cell>
          <cell r="H1652">
            <v>0</v>
          </cell>
          <cell r="I1652">
            <v>0</v>
          </cell>
          <cell r="J1652">
            <v>0</v>
          </cell>
          <cell r="K1652">
            <v>0</v>
          </cell>
          <cell r="L1652">
            <v>0</v>
          </cell>
        </row>
        <row r="1653">
          <cell r="A1653">
            <v>4</v>
          </cell>
          <cell r="B1653">
            <v>9</v>
          </cell>
          <cell r="C1653">
            <v>186</v>
          </cell>
          <cell r="D1653">
            <v>45</v>
          </cell>
          <cell r="E1653" t="str">
            <v xml:space="preserve">    </v>
          </cell>
          <cell r="F1653" t="str">
            <v xml:space="preserve">   </v>
          </cell>
          <cell r="G1653">
            <v>4918645</v>
          </cell>
          <cell r="H1653">
            <v>0</v>
          </cell>
          <cell r="I1653">
            <v>0</v>
          </cell>
          <cell r="J1653">
            <v>0</v>
          </cell>
          <cell r="K1653">
            <v>0</v>
          </cell>
          <cell r="L1653">
            <v>0</v>
          </cell>
        </row>
        <row r="1654">
          <cell r="A1654">
            <v>5</v>
          </cell>
          <cell r="B1654">
            <v>9</v>
          </cell>
          <cell r="C1654">
            <v>186</v>
          </cell>
          <cell r="D1654">
            <v>45</v>
          </cell>
          <cell r="E1654" t="str">
            <v xml:space="preserve">    </v>
          </cell>
          <cell r="F1654" t="str">
            <v xml:space="preserve">   </v>
          </cell>
          <cell r="G1654">
            <v>5918645</v>
          </cell>
          <cell r="H1654">
            <v>0</v>
          </cell>
          <cell r="I1654">
            <v>0</v>
          </cell>
          <cell r="J1654">
            <v>0</v>
          </cell>
          <cell r="K1654">
            <v>0</v>
          </cell>
          <cell r="L1654">
            <v>0</v>
          </cell>
        </row>
        <row r="1655">
          <cell r="A1655">
            <v>3</v>
          </cell>
          <cell r="B1655">
            <v>9</v>
          </cell>
          <cell r="C1655">
            <v>186</v>
          </cell>
          <cell r="D1655">
            <v>50</v>
          </cell>
          <cell r="E1655" t="str">
            <v xml:space="preserve">    </v>
          </cell>
          <cell r="F1655" t="str">
            <v xml:space="preserve">   </v>
          </cell>
          <cell r="G1655">
            <v>3918650</v>
          </cell>
          <cell r="H1655">
            <v>670535.43999999994</v>
          </cell>
          <cell r="I1655">
            <v>0</v>
          </cell>
          <cell r="J1655">
            <v>471313.39</v>
          </cell>
          <cell r="K1655">
            <v>199222.05</v>
          </cell>
          <cell r="L1655">
            <v>0</v>
          </cell>
        </row>
        <row r="1656">
          <cell r="A1656">
            <v>4</v>
          </cell>
          <cell r="B1656">
            <v>9</v>
          </cell>
          <cell r="C1656">
            <v>186</v>
          </cell>
          <cell r="D1656">
            <v>50</v>
          </cell>
          <cell r="E1656" t="str">
            <v xml:space="preserve">    </v>
          </cell>
          <cell r="F1656" t="str">
            <v xml:space="preserve">   </v>
          </cell>
          <cell r="G1656">
            <v>4918650</v>
          </cell>
          <cell r="H1656">
            <v>670534.52</v>
          </cell>
          <cell r="I1656">
            <v>0</v>
          </cell>
          <cell r="J1656">
            <v>471312.83</v>
          </cell>
          <cell r="K1656">
            <v>199221.69</v>
          </cell>
          <cell r="L1656">
            <v>0</v>
          </cell>
        </row>
        <row r="1657">
          <cell r="A1657">
            <v>5</v>
          </cell>
          <cell r="B1657">
            <v>9</v>
          </cell>
          <cell r="C1657">
            <v>186</v>
          </cell>
          <cell r="D1657">
            <v>50</v>
          </cell>
          <cell r="E1657" t="str">
            <v xml:space="preserve">    </v>
          </cell>
          <cell r="F1657" t="str">
            <v xml:space="preserve">   </v>
          </cell>
          <cell r="G1657">
            <v>5918650</v>
          </cell>
          <cell r="H1657">
            <v>670535.36</v>
          </cell>
          <cell r="I1657">
            <v>0</v>
          </cell>
          <cell r="J1657">
            <v>471313.34</v>
          </cell>
          <cell r="K1657">
            <v>199222.02</v>
          </cell>
          <cell r="L1657">
            <v>0</v>
          </cell>
        </row>
        <row r="1658">
          <cell r="A1658">
            <v>3</v>
          </cell>
          <cell r="B1658">
            <v>9</v>
          </cell>
          <cell r="C1658">
            <v>186</v>
          </cell>
          <cell r="D1658">
            <v>51</v>
          </cell>
          <cell r="E1658" t="str">
            <v xml:space="preserve">    </v>
          </cell>
          <cell r="F1658" t="str">
            <v xml:space="preserve">   </v>
          </cell>
          <cell r="G1658">
            <v>3918651</v>
          </cell>
          <cell r="H1658">
            <v>-279678.3</v>
          </cell>
          <cell r="I1658">
            <v>0</v>
          </cell>
          <cell r="J1658">
            <v>0</v>
          </cell>
          <cell r="K1658">
            <v>-279678.3</v>
          </cell>
          <cell r="L1658">
            <v>0</v>
          </cell>
        </row>
        <row r="1659">
          <cell r="A1659">
            <v>4</v>
          </cell>
          <cell r="B1659">
            <v>9</v>
          </cell>
          <cell r="C1659">
            <v>186</v>
          </cell>
          <cell r="D1659">
            <v>51</v>
          </cell>
          <cell r="E1659" t="str">
            <v xml:space="preserve">    </v>
          </cell>
          <cell r="F1659" t="str">
            <v xml:space="preserve">   </v>
          </cell>
          <cell r="G1659">
            <v>4918651</v>
          </cell>
          <cell r="H1659">
            <v>-279678.11</v>
          </cell>
          <cell r="I1659">
            <v>0</v>
          </cell>
          <cell r="J1659">
            <v>0</v>
          </cell>
          <cell r="K1659">
            <v>-279678.11</v>
          </cell>
          <cell r="L1659">
            <v>0</v>
          </cell>
        </row>
        <row r="1660">
          <cell r="A1660">
            <v>5</v>
          </cell>
          <cell r="B1660">
            <v>9</v>
          </cell>
          <cell r="C1660">
            <v>186</v>
          </cell>
          <cell r="D1660">
            <v>51</v>
          </cell>
          <cell r="E1660" t="str">
            <v xml:space="preserve">    </v>
          </cell>
          <cell r="F1660" t="str">
            <v xml:space="preserve">   </v>
          </cell>
          <cell r="G1660">
            <v>5918651</v>
          </cell>
          <cell r="H1660">
            <v>-279678.28000000003</v>
          </cell>
          <cell r="I1660">
            <v>0</v>
          </cell>
          <cell r="J1660">
            <v>0</v>
          </cell>
          <cell r="K1660">
            <v>-279678.28000000003</v>
          </cell>
          <cell r="L1660">
            <v>0</v>
          </cell>
        </row>
        <row r="1661">
          <cell r="A1661">
            <v>3</v>
          </cell>
          <cell r="B1661">
            <v>9</v>
          </cell>
          <cell r="C1661">
            <v>186</v>
          </cell>
          <cell r="D1661">
            <v>55</v>
          </cell>
          <cell r="E1661" t="str">
            <v xml:space="preserve">    </v>
          </cell>
          <cell r="F1661" t="str">
            <v xml:space="preserve">   </v>
          </cell>
          <cell r="G1661">
            <v>3918655</v>
          </cell>
          <cell r="H1661">
            <v>-37236.44</v>
          </cell>
          <cell r="I1661">
            <v>0</v>
          </cell>
          <cell r="J1661">
            <v>-23500.41</v>
          </cell>
          <cell r="K1661">
            <v>-13736.03</v>
          </cell>
          <cell r="L1661">
            <v>0</v>
          </cell>
        </row>
        <row r="1662">
          <cell r="A1662">
            <v>4</v>
          </cell>
          <cell r="B1662">
            <v>9</v>
          </cell>
          <cell r="C1662">
            <v>186</v>
          </cell>
          <cell r="D1662">
            <v>55</v>
          </cell>
          <cell r="E1662" t="str">
            <v xml:space="preserve">    </v>
          </cell>
          <cell r="F1662" t="str">
            <v xml:space="preserve">   </v>
          </cell>
          <cell r="G1662">
            <v>4918655</v>
          </cell>
          <cell r="H1662">
            <v>-37235.57</v>
          </cell>
          <cell r="I1662">
            <v>0</v>
          </cell>
          <cell r="J1662">
            <v>-23500.04</v>
          </cell>
          <cell r="K1662">
            <v>-13735.53</v>
          </cell>
          <cell r="L1662">
            <v>0</v>
          </cell>
        </row>
        <row r="1663">
          <cell r="A1663">
            <v>5</v>
          </cell>
          <cell r="B1663">
            <v>9</v>
          </cell>
          <cell r="C1663">
            <v>186</v>
          </cell>
          <cell r="D1663">
            <v>55</v>
          </cell>
          <cell r="E1663" t="str">
            <v xml:space="preserve">    </v>
          </cell>
          <cell r="F1663" t="str">
            <v xml:space="preserve">   </v>
          </cell>
          <cell r="G1663">
            <v>5918655</v>
          </cell>
          <cell r="H1663">
            <v>-37236.379999999997</v>
          </cell>
          <cell r="I1663">
            <v>0</v>
          </cell>
          <cell r="J1663">
            <v>-23500.38</v>
          </cell>
          <cell r="K1663">
            <v>-13736</v>
          </cell>
          <cell r="L1663">
            <v>0</v>
          </cell>
        </row>
        <row r="1664">
          <cell r="A1664">
            <v>3</v>
          </cell>
          <cell r="B1664">
            <v>9</v>
          </cell>
          <cell r="C1664">
            <v>186</v>
          </cell>
          <cell r="D1664">
            <v>57</v>
          </cell>
          <cell r="E1664" t="str">
            <v xml:space="preserve">    </v>
          </cell>
          <cell r="F1664" t="str">
            <v xml:space="preserve">   </v>
          </cell>
          <cell r="G1664">
            <v>3918657</v>
          </cell>
          <cell r="H1664">
            <v>37236.44</v>
          </cell>
          <cell r="I1664">
            <v>0</v>
          </cell>
          <cell r="J1664">
            <v>23500.41</v>
          </cell>
          <cell r="K1664">
            <v>13736.03</v>
          </cell>
          <cell r="L1664">
            <v>0</v>
          </cell>
        </row>
        <row r="1665">
          <cell r="A1665">
            <v>4</v>
          </cell>
          <cell r="B1665">
            <v>9</v>
          </cell>
          <cell r="C1665">
            <v>186</v>
          </cell>
          <cell r="D1665">
            <v>57</v>
          </cell>
          <cell r="E1665" t="str">
            <v xml:space="preserve">    </v>
          </cell>
          <cell r="F1665" t="str">
            <v xml:space="preserve">   </v>
          </cell>
          <cell r="G1665">
            <v>4918657</v>
          </cell>
          <cell r="H1665">
            <v>37235.57</v>
          </cell>
          <cell r="I1665">
            <v>0</v>
          </cell>
          <cell r="J1665">
            <v>23500.04</v>
          </cell>
          <cell r="K1665">
            <v>13735.53</v>
          </cell>
          <cell r="L1665">
            <v>0</v>
          </cell>
        </row>
        <row r="1666">
          <cell r="A1666">
            <v>5</v>
          </cell>
          <cell r="B1666">
            <v>9</v>
          </cell>
          <cell r="C1666">
            <v>186</v>
          </cell>
          <cell r="D1666">
            <v>57</v>
          </cell>
          <cell r="E1666" t="str">
            <v xml:space="preserve">    </v>
          </cell>
          <cell r="F1666" t="str">
            <v xml:space="preserve">   </v>
          </cell>
          <cell r="G1666">
            <v>5918657</v>
          </cell>
          <cell r="H1666">
            <v>37236.379999999997</v>
          </cell>
          <cell r="I1666">
            <v>0</v>
          </cell>
          <cell r="J1666">
            <v>23500.38</v>
          </cell>
          <cell r="K1666">
            <v>13736</v>
          </cell>
          <cell r="L1666">
            <v>0</v>
          </cell>
        </row>
        <row r="1667">
          <cell r="A1667">
            <v>3</v>
          </cell>
          <cell r="B1667">
            <v>9</v>
          </cell>
          <cell r="C1667">
            <v>186</v>
          </cell>
          <cell r="D1667">
            <v>59</v>
          </cell>
          <cell r="E1667" t="str">
            <v xml:space="preserve">    </v>
          </cell>
          <cell r="F1667" t="str">
            <v xml:space="preserve">   </v>
          </cell>
          <cell r="G1667">
            <v>3918659</v>
          </cell>
          <cell r="H1667">
            <v>-390857.14</v>
          </cell>
          <cell r="I1667">
            <v>0</v>
          </cell>
          <cell r="J1667">
            <v>-471313.39</v>
          </cell>
          <cell r="K1667">
            <v>80456.25</v>
          </cell>
          <cell r="L1667">
            <v>0</v>
          </cell>
        </row>
        <row r="1668">
          <cell r="A1668">
            <v>4</v>
          </cell>
          <cell r="B1668">
            <v>9</v>
          </cell>
          <cell r="C1668">
            <v>186</v>
          </cell>
          <cell r="D1668">
            <v>59</v>
          </cell>
          <cell r="E1668" t="str">
            <v xml:space="preserve">    </v>
          </cell>
          <cell r="F1668" t="str">
            <v xml:space="preserve">   </v>
          </cell>
          <cell r="G1668">
            <v>4918659</v>
          </cell>
          <cell r="H1668">
            <v>-390856.15</v>
          </cell>
          <cell r="I1668">
            <v>0</v>
          </cell>
          <cell r="J1668">
            <v>-471312.83</v>
          </cell>
          <cell r="K1668">
            <v>80455.63</v>
          </cell>
          <cell r="L1668">
            <v>0</v>
          </cell>
        </row>
        <row r="1669">
          <cell r="A1669">
            <v>5</v>
          </cell>
          <cell r="B1669">
            <v>9</v>
          </cell>
          <cell r="C1669">
            <v>186</v>
          </cell>
          <cell r="D1669">
            <v>59</v>
          </cell>
          <cell r="E1669" t="str">
            <v xml:space="preserve">    </v>
          </cell>
          <cell r="F1669" t="str">
            <v xml:space="preserve">   </v>
          </cell>
          <cell r="G1669">
            <v>5918659</v>
          </cell>
          <cell r="H1669">
            <v>-390857.04</v>
          </cell>
          <cell r="I1669">
            <v>0</v>
          </cell>
          <cell r="J1669">
            <v>-471313.34</v>
          </cell>
          <cell r="K1669">
            <v>80456.210000000006</v>
          </cell>
          <cell r="L1669">
            <v>0</v>
          </cell>
        </row>
        <row r="1670">
          <cell r="A1670">
            <v>3</v>
          </cell>
          <cell r="B1670">
            <v>9</v>
          </cell>
          <cell r="C1670">
            <v>186</v>
          </cell>
          <cell r="D1670">
            <v>71</v>
          </cell>
          <cell r="E1670" t="str">
            <v xml:space="preserve">    </v>
          </cell>
          <cell r="F1670" t="str">
            <v xml:space="preserve">   </v>
          </cell>
          <cell r="G1670">
            <v>3918671</v>
          </cell>
          <cell r="H1670">
            <v>180181.81</v>
          </cell>
          <cell r="I1670">
            <v>0</v>
          </cell>
          <cell r="J1670">
            <v>180181.81</v>
          </cell>
          <cell r="K1670">
            <v>0</v>
          </cell>
          <cell r="L1670">
            <v>0</v>
          </cell>
        </row>
        <row r="1671">
          <cell r="A1671">
            <v>4</v>
          </cell>
          <cell r="B1671">
            <v>9</v>
          </cell>
          <cell r="C1671">
            <v>186</v>
          </cell>
          <cell r="D1671">
            <v>71</v>
          </cell>
          <cell r="E1671" t="str">
            <v xml:space="preserve">    </v>
          </cell>
          <cell r="F1671" t="str">
            <v xml:space="preserve">   </v>
          </cell>
          <cell r="G1671">
            <v>4918671</v>
          </cell>
          <cell r="H1671">
            <v>180181.79</v>
          </cell>
          <cell r="I1671">
            <v>0</v>
          </cell>
          <cell r="J1671">
            <v>180181.79</v>
          </cell>
          <cell r="K1671">
            <v>0</v>
          </cell>
          <cell r="L1671">
            <v>0</v>
          </cell>
        </row>
        <row r="1672">
          <cell r="A1672">
            <v>5</v>
          </cell>
          <cell r="B1672">
            <v>9</v>
          </cell>
          <cell r="C1672">
            <v>186</v>
          </cell>
          <cell r="D1672">
            <v>71</v>
          </cell>
          <cell r="E1672" t="str">
            <v xml:space="preserve">    </v>
          </cell>
          <cell r="F1672" t="str">
            <v xml:space="preserve">   </v>
          </cell>
          <cell r="G1672">
            <v>5918671</v>
          </cell>
          <cell r="H1672">
            <v>180181.8</v>
          </cell>
          <cell r="I1672">
            <v>0</v>
          </cell>
          <cell r="J1672">
            <v>180181.8</v>
          </cell>
          <cell r="K1672">
            <v>0</v>
          </cell>
          <cell r="L1672">
            <v>0</v>
          </cell>
        </row>
        <row r="1673">
          <cell r="A1673">
            <v>3</v>
          </cell>
          <cell r="B1673">
            <v>9</v>
          </cell>
          <cell r="C1673">
            <v>186</v>
          </cell>
          <cell r="D1673">
            <v>72</v>
          </cell>
          <cell r="E1673" t="str">
            <v xml:space="preserve">    </v>
          </cell>
          <cell r="F1673" t="str">
            <v xml:space="preserve">   </v>
          </cell>
          <cell r="G1673">
            <v>3918672</v>
          </cell>
          <cell r="H1673">
            <v>25195.27</v>
          </cell>
          <cell r="I1673">
            <v>0</v>
          </cell>
          <cell r="J1673">
            <v>25195.27</v>
          </cell>
          <cell r="K1673">
            <v>0</v>
          </cell>
          <cell r="L1673">
            <v>0</v>
          </cell>
        </row>
        <row r="1674">
          <cell r="A1674">
            <v>4</v>
          </cell>
          <cell r="B1674">
            <v>9</v>
          </cell>
          <cell r="C1674">
            <v>186</v>
          </cell>
          <cell r="D1674">
            <v>72</v>
          </cell>
          <cell r="E1674" t="str">
            <v xml:space="preserve">    </v>
          </cell>
          <cell r="F1674" t="str">
            <v xml:space="preserve">   </v>
          </cell>
          <cell r="G1674">
            <v>4918672</v>
          </cell>
          <cell r="H1674">
            <v>25195.200000000001</v>
          </cell>
          <cell r="I1674">
            <v>0</v>
          </cell>
          <cell r="J1674">
            <v>25195.200000000001</v>
          </cell>
          <cell r="K1674">
            <v>0</v>
          </cell>
          <cell r="L1674">
            <v>0</v>
          </cell>
        </row>
        <row r="1675">
          <cell r="A1675">
            <v>5</v>
          </cell>
          <cell r="B1675">
            <v>9</v>
          </cell>
          <cell r="C1675">
            <v>186</v>
          </cell>
          <cell r="D1675">
            <v>72</v>
          </cell>
          <cell r="E1675" t="str">
            <v xml:space="preserve">    </v>
          </cell>
          <cell r="F1675" t="str">
            <v xml:space="preserve">   </v>
          </cell>
          <cell r="G1675">
            <v>5918672</v>
          </cell>
          <cell r="H1675">
            <v>25195.26</v>
          </cell>
          <cell r="I1675">
            <v>0</v>
          </cell>
          <cell r="J1675">
            <v>25195.26</v>
          </cell>
          <cell r="K1675">
            <v>0</v>
          </cell>
          <cell r="L1675">
            <v>0</v>
          </cell>
        </row>
        <row r="1676">
          <cell r="A1676">
            <v>3</v>
          </cell>
          <cell r="B1676">
            <v>9</v>
          </cell>
          <cell r="C1676">
            <v>186</v>
          </cell>
          <cell r="D1676">
            <v>75</v>
          </cell>
          <cell r="E1676" t="str">
            <v xml:space="preserve">    </v>
          </cell>
          <cell r="F1676" t="str">
            <v xml:space="preserve">   </v>
          </cell>
          <cell r="G1676">
            <v>3918675</v>
          </cell>
          <cell r="H1676">
            <v>-1212342.8700000001</v>
          </cell>
          <cell r="I1676">
            <v>0</v>
          </cell>
          <cell r="J1676">
            <v>-629716.4</v>
          </cell>
          <cell r="K1676">
            <v>-582626.47</v>
          </cell>
          <cell r="L1676">
            <v>0</v>
          </cell>
        </row>
        <row r="1677">
          <cell r="A1677">
            <v>4</v>
          </cell>
          <cell r="B1677">
            <v>9</v>
          </cell>
          <cell r="C1677">
            <v>186</v>
          </cell>
          <cell r="D1677">
            <v>75</v>
          </cell>
          <cell r="E1677" t="str">
            <v xml:space="preserve">    </v>
          </cell>
          <cell r="F1677" t="str">
            <v xml:space="preserve">   </v>
          </cell>
          <cell r="G1677">
            <v>4918675</v>
          </cell>
          <cell r="H1677">
            <v>-1068056.43</v>
          </cell>
          <cell r="I1677">
            <v>0</v>
          </cell>
          <cell r="J1677">
            <v>-553418.94999999995</v>
          </cell>
          <cell r="K1677">
            <v>-514637.48</v>
          </cell>
          <cell r="L1677">
            <v>0</v>
          </cell>
        </row>
        <row r="1678">
          <cell r="A1678">
            <v>5</v>
          </cell>
          <cell r="B1678">
            <v>9</v>
          </cell>
          <cell r="C1678">
            <v>186</v>
          </cell>
          <cell r="D1678">
            <v>75</v>
          </cell>
          <cell r="E1678" t="str">
            <v xml:space="preserve">    </v>
          </cell>
          <cell r="F1678" t="str">
            <v xml:space="preserve">   </v>
          </cell>
          <cell r="G1678">
            <v>5918675</v>
          </cell>
          <cell r="H1678">
            <v>-1200319.03</v>
          </cell>
          <cell r="I1678">
            <v>0</v>
          </cell>
          <cell r="J1678">
            <v>-623358.31000000006</v>
          </cell>
          <cell r="K1678">
            <v>-576960.72</v>
          </cell>
          <cell r="L1678">
            <v>0</v>
          </cell>
        </row>
        <row r="1679">
          <cell r="A1679">
            <v>3</v>
          </cell>
          <cell r="B1679">
            <v>9</v>
          </cell>
          <cell r="C1679">
            <v>186</v>
          </cell>
          <cell r="D1679">
            <v>76</v>
          </cell>
          <cell r="E1679" t="str">
            <v xml:space="preserve">    </v>
          </cell>
          <cell r="F1679" t="str">
            <v xml:space="preserve">   </v>
          </cell>
          <cell r="G1679">
            <v>3918676</v>
          </cell>
          <cell r="H1679">
            <v>62817510.560000002</v>
          </cell>
          <cell r="I1679">
            <v>0</v>
          </cell>
          <cell r="J1679">
            <v>44458249.310000002</v>
          </cell>
          <cell r="K1679">
            <v>18359261.25</v>
          </cell>
          <cell r="L1679">
            <v>0</v>
          </cell>
        </row>
        <row r="1680">
          <cell r="A1680">
            <v>4</v>
          </cell>
          <cell r="B1680">
            <v>9</v>
          </cell>
          <cell r="C1680">
            <v>186</v>
          </cell>
          <cell r="D1680">
            <v>76</v>
          </cell>
          <cell r="E1680" t="str">
            <v xml:space="preserve">    </v>
          </cell>
          <cell r="F1680" t="str">
            <v xml:space="preserve">   </v>
          </cell>
          <cell r="G1680">
            <v>4918676</v>
          </cell>
          <cell r="H1680">
            <v>62817508.469999999</v>
          </cell>
          <cell r="I1680">
            <v>0</v>
          </cell>
          <cell r="J1680">
            <v>44458248.270000003</v>
          </cell>
          <cell r="K1680">
            <v>18359260.199999999</v>
          </cell>
          <cell r="L1680">
            <v>0</v>
          </cell>
        </row>
        <row r="1681">
          <cell r="A1681">
            <v>5</v>
          </cell>
          <cell r="B1681">
            <v>9</v>
          </cell>
          <cell r="C1681">
            <v>186</v>
          </cell>
          <cell r="D1681">
            <v>76</v>
          </cell>
          <cell r="E1681" t="str">
            <v xml:space="preserve">    </v>
          </cell>
          <cell r="F1681" t="str">
            <v xml:space="preserve">   </v>
          </cell>
          <cell r="G1681">
            <v>5918676</v>
          </cell>
          <cell r="H1681">
            <v>62817510.399999999</v>
          </cell>
          <cell r="I1681">
            <v>0</v>
          </cell>
          <cell r="J1681">
            <v>44458249.200000003</v>
          </cell>
          <cell r="K1681">
            <v>18359261.199999999</v>
          </cell>
          <cell r="L1681">
            <v>0</v>
          </cell>
        </row>
        <row r="1682">
          <cell r="A1682">
            <v>3</v>
          </cell>
          <cell r="B1682">
            <v>9</v>
          </cell>
          <cell r="C1682">
            <v>186</v>
          </cell>
          <cell r="D1682">
            <v>77</v>
          </cell>
          <cell r="E1682" t="str">
            <v xml:space="preserve">    </v>
          </cell>
          <cell r="F1682" t="str">
            <v xml:space="preserve">   </v>
          </cell>
          <cell r="G1682">
            <v>3918677</v>
          </cell>
          <cell r="H1682">
            <v>4106316.87</v>
          </cell>
          <cell r="I1682">
            <v>0</v>
          </cell>
          <cell r="J1682">
            <v>2099081.73</v>
          </cell>
          <cell r="K1682">
            <v>2007235.14</v>
          </cell>
          <cell r="L1682">
            <v>0</v>
          </cell>
        </row>
        <row r="1683">
          <cell r="A1683">
            <v>4</v>
          </cell>
          <cell r="B1683">
            <v>9</v>
          </cell>
          <cell r="C1683">
            <v>186</v>
          </cell>
          <cell r="D1683">
            <v>77</v>
          </cell>
          <cell r="E1683" t="str">
            <v xml:space="preserve">    </v>
          </cell>
          <cell r="F1683" t="str">
            <v xml:space="preserve">   </v>
          </cell>
          <cell r="G1683">
            <v>4918677</v>
          </cell>
          <cell r="H1683">
            <v>4106314.99</v>
          </cell>
          <cell r="I1683">
            <v>0</v>
          </cell>
          <cell r="J1683">
            <v>2099080.83</v>
          </cell>
          <cell r="K1683">
            <v>2007234.16</v>
          </cell>
          <cell r="L1683">
            <v>0</v>
          </cell>
        </row>
        <row r="1684">
          <cell r="A1684">
            <v>5</v>
          </cell>
          <cell r="B1684">
            <v>9</v>
          </cell>
          <cell r="C1684">
            <v>186</v>
          </cell>
          <cell r="D1684">
            <v>77</v>
          </cell>
          <cell r="E1684" t="str">
            <v xml:space="preserve">    </v>
          </cell>
          <cell r="F1684" t="str">
            <v xml:space="preserve">   </v>
          </cell>
          <cell r="G1684">
            <v>5918677</v>
          </cell>
          <cell r="H1684">
            <v>4106316.68</v>
          </cell>
          <cell r="I1684">
            <v>0</v>
          </cell>
          <cell r="J1684">
            <v>2099081.64</v>
          </cell>
          <cell r="K1684">
            <v>2007235.04</v>
          </cell>
          <cell r="L1684">
            <v>0</v>
          </cell>
        </row>
        <row r="1685">
          <cell r="A1685">
            <v>3</v>
          </cell>
          <cell r="B1685">
            <v>9</v>
          </cell>
          <cell r="C1685">
            <v>186</v>
          </cell>
          <cell r="D1685">
            <v>79</v>
          </cell>
          <cell r="E1685" t="str">
            <v xml:space="preserve">    </v>
          </cell>
          <cell r="F1685" t="str">
            <v xml:space="preserve">   </v>
          </cell>
          <cell r="G1685">
            <v>3918679</v>
          </cell>
          <cell r="H1685">
            <v>-20625925.199999999</v>
          </cell>
          <cell r="I1685">
            <v>0</v>
          </cell>
          <cell r="J1685">
            <v>-15391459.880000001</v>
          </cell>
          <cell r="K1685">
            <v>-5234465.32</v>
          </cell>
          <cell r="L1685">
            <v>0</v>
          </cell>
        </row>
        <row r="1686">
          <cell r="A1686">
            <v>4</v>
          </cell>
          <cell r="B1686">
            <v>9</v>
          </cell>
          <cell r="C1686">
            <v>186</v>
          </cell>
          <cell r="D1686">
            <v>79</v>
          </cell>
          <cell r="E1686" t="str">
            <v xml:space="preserve">    </v>
          </cell>
          <cell r="F1686" t="str">
            <v xml:space="preserve">   </v>
          </cell>
          <cell r="G1686">
            <v>4918679</v>
          </cell>
          <cell r="H1686">
            <v>-18396729.859999999</v>
          </cell>
          <cell r="I1686">
            <v>0</v>
          </cell>
          <cell r="J1686">
            <v>-13781313.73</v>
          </cell>
          <cell r="K1686">
            <v>-4615416.13</v>
          </cell>
          <cell r="L1686">
            <v>0</v>
          </cell>
        </row>
        <row r="1687">
          <cell r="A1687">
            <v>5</v>
          </cell>
          <cell r="B1687">
            <v>9</v>
          </cell>
          <cell r="C1687">
            <v>186</v>
          </cell>
          <cell r="D1687">
            <v>79</v>
          </cell>
          <cell r="E1687" t="str">
            <v xml:space="preserve">    </v>
          </cell>
          <cell r="F1687" t="str">
            <v xml:space="preserve">   </v>
          </cell>
          <cell r="G1687">
            <v>5918679</v>
          </cell>
          <cell r="H1687">
            <v>-20440158.940000001</v>
          </cell>
          <cell r="I1687">
            <v>0</v>
          </cell>
          <cell r="J1687">
            <v>-15257281.060000001</v>
          </cell>
          <cell r="K1687">
            <v>-5182877.88</v>
          </cell>
          <cell r="L1687">
            <v>0</v>
          </cell>
        </row>
        <row r="1688">
          <cell r="A1688">
            <v>3</v>
          </cell>
          <cell r="B1688">
            <v>9</v>
          </cell>
          <cell r="C1688">
            <v>186</v>
          </cell>
          <cell r="D1688">
            <v>85</v>
          </cell>
          <cell r="E1688" t="str">
            <v xml:space="preserve">    </v>
          </cell>
          <cell r="F1688" t="str">
            <v xml:space="preserve">   </v>
          </cell>
          <cell r="G1688">
            <v>3918685</v>
          </cell>
          <cell r="H1688">
            <v>7124996</v>
          </cell>
          <cell r="I1688">
            <v>7124996</v>
          </cell>
          <cell r="J1688">
            <v>0</v>
          </cell>
          <cell r="K1688">
            <v>0</v>
          </cell>
          <cell r="L1688">
            <v>0</v>
          </cell>
        </row>
        <row r="1689">
          <cell r="A1689">
            <v>4</v>
          </cell>
          <cell r="B1689">
            <v>9</v>
          </cell>
          <cell r="C1689">
            <v>186</v>
          </cell>
          <cell r="D1689">
            <v>85</v>
          </cell>
          <cell r="E1689" t="str">
            <v xml:space="preserve">    </v>
          </cell>
          <cell r="F1689" t="str">
            <v xml:space="preserve">   </v>
          </cell>
          <cell r="G1689">
            <v>4918685</v>
          </cell>
          <cell r="H1689">
            <v>7718746.9500000002</v>
          </cell>
          <cell r="I1689">
            <v>7718746.9500000002</v>
          </cell>
          <cell r="J1689">
            <v>0</v>
          </cell>
          <cell r="K1689">
            <v>0</v>
          </cell>
          <cell r="L1689">
            <v>0</v>
          </cell>
        </row>
        <row r="1690">
          <cell r="A1690">
            <v>5</v>
          </cell>
          <cell r="B1690">
            <v>9</v>
          </cell>
          <cell r="C1690">
            <v>186</v>
          </cell>
          <cell r="D1690">
            <v>85</v>
          </cell>
          <cell r="E1690" t="str">
            <v xml:space="preserve">    </v>
          </cell>
          <cell r="F1690" t="str">
            <v xml:space="preserve">   </v>
          </cell>
          <cell r="G1690">
            <v>5918685</v>
          </cell>
          <cell r="H1690">
            <v>7174475.25</v>
          </cell>
          <cell r="I1690">
            <v>7174475.25</v>
          </cell>
          <cell r="J1690">
            <v>0</v>
          </cell>
          <cell r="K1690">
            <v>0</v>
          </cell>
          <cell r="L1690">
            <v>0</v>
          </cell>
        </row>
        <row r="1691">
          <cell r="A1691">
            <v>3</v>
          </cell>
          <cell r="B1691">
            <v>9</v>
          </cell>
          <cell r="C1691">
            <v>190</v>
          </cell>
          <cell r="D1691">
            <v>10</v>
          </cell>
          <cell r="E1691" t="str">
            <v xml:space="preserve">    </v>
          </cell>
          <cell r="F1691" t="str">
            <v xml:space="preserve">   </v>
          </cell>
          <cell r="G1691">
            <v>3919010</v>
          </cell>
          <cell r="H1691">
            <v>6840420</v>
          </cell>
          <cell r="I1691">
            <v>6840420</v>
          </cell>
          <cell r="J1691">
            <v>0</v>
          </cell>
          <cell r="K1691">
            <v>0</v>
          </cell>
          <cell r="L1691">
            <v>0</v>
          </cell>
        </row>
        <row r="1692">
          <cell r="A1692">
            <v>4</v>
          </cell>
          <cell r="B1692">
            <v>9</v>
          </cell>
          <cell r="C1692">
            <v>190</v>
          </cell>
          <cell r="D1692">
            <v>10</v>
          </cell>
          <cell r="E1692" t="str">
            <v xml:space="preserve">    </v>
          </cell>
          <cell r="F1692" t="str">
            <v xml:space="preserve">   </v>
          </cell>
          <cell r="G1692">
            <v>4919010</v>
          </cell>
          <cell r="H1692">
            <v>6581394.0599999996</v>
          </cell>
          <cell r="I1692">
            <v>6581394.0599999996</v>
          </cell>
          <cell r="J1692">
            <v>0</v>
          </cell>
          <cell r="K1692">
            <v>0</v>
          </cell>
          <cell r="L1692">
            <v>0</v>
          </cell>
        </row>
        <row r="1693">
          <cell r="A1693">
            <v>5</v>
          </cell>
          <cell r="B1693">
            <v>9</v>
          </cell>
          <cell r="C1693">
            <v>190</v>
          </cell>
          <cell r="D1693">
            <v>10</v>
          </cell>
          <cell r="E1693" t="str">
            <v xml:space="preserve">    </v>
          </cell>
          <cell r="F1693" t="str">
            <v xml:space="preserve">   </v>
          </cell>
          <cell r="G1693">
            <v>5919010</v>
          </cell>
          <cell r="H1693">
            <v>6766115</v>
          </cell>
          <cell r="I1693">
            <v>6766115</v>
          </cell>
          <cell r="J1693">
            <v>0</v>
          </cell>
          <cell r="K1693">
            <v>0</v>
          </cell>
          <cell r="L1693">
            <v>0</v>
          </cell>
        </row>
        <row r="1694">
          <cell r="A1694">
            <v>3</v>
          </cell>
          <cell r="B1694">
            <v>9</v>
          </cell>
          <cell r="C1694">
            <v>190</v>
          </cell>
          <cell r="D1694">
            <v>11</v>
          </cell>
          <cell r="E1694" t="str">
            <v xml:space="preserve">    </v>
          </cell>
          <cell r="F1694" t="str">
            <v xml:space="preserve">   </v>
          </cell>
          <cell r="G1694">
            <v>3919011</v>
          </cell>
          <cell r="H1694">
            <v>2325477</v>
          </cell>
          <cell r="I1694">
            <v>2325477</v>
          </cell>
          <cell r="J1694">
            <v>0</v>
          </cell>
          <cell r="K1694">
            <v>0</v>
          </cell>
          <cell r="L1694">
            <v>0</v>
          </cell>
        </row>
        <row r="1695">
          <cell r="A1695">
            <v>4</v>
          </cell>
          <cell r="B1695">
            <v>9</v>
          </cell>
          <cell r="C1695">
            <v>190</v>
          </cell>
          <cell r="D1695">
            <v>11</v>
          </cell>
          <cell r="E1695" t="str">
            <v xml:space="preserve">    </v>
          </cell>
          <cell r="F1695" t="str">
            <v xml:space="preserve">   </v>
          </cell>
          <cell r="G1695">
            <v>4919011</v>
          </cell>
          <cell r="H1695">
            <v>2420306.9500000002</v>
          </cell>
          <cell r="I1695">
            <v>2420306.9500000002</v>
          </cell>
          <cell r="J1695">
            <v>0</v>
          </cell>
          <cell r="K1695">
            <v>0</v>
          </cell>
          <cell r="L1695">
            <v>0</v>
          </cell>
        </row>
        <row r="1696">
          <cell r="A1696">
            <v>5</v>
          </cell>
          <cell r="B1696">
            <v>9</v>
          </cell>
          <cell r="C1696">
            <v>190</v>
          </cell>
          <cell r="D1696">
            <v>11</v>
          </cell>
          <cell r="E1696" t="str">
            <v xml:space="preserve">    </v>
          </cell>
          <cell r="F1696" t="str">
            <v xml:space="preserve">   </v>
          </cell>
          <cell r="G1696">
            <v>5919011</v>
          </cell>
          <cell r="H1696">
            <v>2333379.5</v>
          </cell>
          <cell r="I1696">
            <v>2333379.5</v>
          </cell>
          <cell r="J1696">
            <v>0</v>
          </cell>
          <cell r="K1696">
            <v>0</v>
          </cell>
          <cell r="L1696">
            <v>0</v>
          </cell>
        </row>
        <row r="1697">
          <cell r="A1697">
            <v>3</v>
          </cell>
          <cell r="B1697">
            <v>9</v>
          </cell>
          <cell r="C1697">
            <v>190</v>
          </cell>
          <cell r="D1697">
            <v>15</v>
          </cell>
          <cell r="E1697" t="str">
            <v xml:space="preserve">    </v>
          </cell>
          <cell r="F1697" t="str">
            <v xml:space="preserve">   </v>
          </cell>
          <cell r="G1697">
            <v>3919015</v>
          </cell>
          <cell r="H1697">
            <v>1554762</v>
          </cell>
          <cell r="I1697">
            <v>1554762</v>
          </cell>
          <cell r="J1697">
            <v>0</v>
          </cell>
          <cell r="K1697">
            <v>0</v>
          </cell>
          <cell r="L1697">
            <v>0</v>
          </cell>
        </row>
        <row r="1698">
          <cell r="A1698">
            <v>4</v>
          </cell>
          <cell r="B1698">
            <v>9</v>
          </cell>
          <cell r="C1698">
            <v>190</v>
          </cell>
          <cell r="D1698">
            <v>15</v>
          </cell>
          <cell r="E1698" t="str">
            <v xml:space="preserve">    </v>
          </cell>
          <cell r="F1698" t="str">
            <v xml:space="preserve">   </v>
          </cell>
          <cell r="G1698">
            <v>4919015</v>
          </cell>
          <cell r="H1698">
            <v>1442550.58</v>
          </cell>
          <cell r="I1698">
            <v>1442550.58</v>
          </cell>
          <cell r="J1698">
            <v>0</v>
          </cell>
          <cell r="K1698">
            <v>0</v>
          </cell>
          <cell r="L1698">
            <v>0</v>
          </cell>
        </row>
        <row r="1699">
          <cell r="A1699">
            <v>5</v>
          </cell>
          <cell r="B1699">
            <v>9</v>
          </cell>
          <cell r="C1699">
            <v>190</v>
          </cell>
          <cell r="D1699">
            <v>15</v>
          </cell>
          <cell r="E1699" t="str">
            <v xml:space="preserve">    </v>
          </cell>
          <cell r="F1699" t="str">
            <v xml:space="preserve">   </v>
          </cell>
          <cell r="G1699">
            <v>5919015</v>
          </cell>
          <cell r="H1699">
            <v>1547396</v>
          </cell>
          <cell r="I1699">
            <v>1547396</v>
          </cell>
          <cell r="J1699">
            <v>0</v>
          </cell>
          <cell r="K1699">
            <v>0</v>
          </cell>
          <cell r="L1699">
            <v>0</v>
          </cell>
        </row>
        <row r="1700">
          <cell r="A1700">
            <v>3</v>
          </cell>
          <cell r="B1700">
            <v>9</v>
          </cell>
          <cell r="C1700">
            <v>190</v>
          </cell>
          <cell r="D1700">
            <v>17</v>
          </cell>
          <cell r="E1700" t="str">
            <v xml:space="preserve">    </v>
          </cell>
          <cell r="F1700" t="str">
            <v xml:space="preserve">   </v>
          </cell>
          <cell r="G1700">
            <v>3919017</v>
          </cell>
          <cell r="H1700">
            <v>730489</v>
          </cell>
          <cell r="I1700">
            <v>730489</v>
          </cell>
          <cell r="J1700">
            <v>0</v>
          </cell>
          <cell r="K1700">
            <v>0</v>
          </cell>
          <cell r="L1700">
            <v>0</v>
          </cell>
        </row>
        <row r="1701">
          <cell r="A1701">
            <v>4</v>
          </cell>
          <cell r="B1701">
            <v>9</v>
          </cell>
          <cell r="C1701">
            <v>190</v>
          </cell>
          <cell r="D1701">
            <v>17</v>
          </cell>
          <cell r="E1701" t="str">
            <v xml:space="preserve">    </v>
          </cell>
          <cell r="F1701" t="str">
            <v xml:space="preserve">   </v>
          </cell>
          <cell r="G1701">
            <v>4919017</v>
          </cell>
          <cell r="H1701">
            <v>730488.96</v>
          </cell>
          <cell r="I1701">
            <v>730488.96</v>
          </cell>
          <cell r="J1701">
            <v>0</v>
          </cell>
          <cell r="K1701">
            <v>0</v>
          </cell>
          <cell r="L1701">
            <v>0</v>
          </cell>
        </row>
        <row r="1702">
          <cell r="A1702">
            <v>5</v>
          </cell>
          <cell r="B1702">
            <v>9</v>
          </cell>
          <cell r="C1702">
            <v>190</v>
          </cell>
          <cell r="D1702">
            <v>17</v>
          </cell>
          <cell r="E1702" t="str">
            <v xml:space="preserve">    </v>
          </cell>
          <cell r="F1702" t="str">
            <v xml:space="preserve">   </v>
          </cell>
          <cell r="G1702">
            <v>5919017</v>
          </cell>
          <cell r="H1702">
            <v>730489</v>
          </cell>
          <cell r="I1702">
            <v>730489</v>
          </cell>
          <cell r="J1702">
            <v>0</v>
          </cell>
          <cell r="K1702">
            <v>0</v>
          </cell>
          <cell r="L1702">
            <v>0</v>
          </cell>
        </row>
        <row r="1703">
          <cell r="A1703">
            <v>3</v>
          </cell>
          <cell r="B1703">
            <v>9</v>
          </cell>
          <cell r="C1703">
            <v>190</v>
          </cell>
          <cell r="D1703">
            <v>18</v>
          </cell>
          <cell r="E1703" t="str">
            <v xml:space="preserve">    </v>
          </cell>
          <cell r="F1703" t="str">
            <v xml:space="preserve">   </v>
          </cell>
          <cell r="G1703">
            <v>3919018</v>
          </cell>
          <cell r="H1703">
            <v>626272</v>
          </cell>
          <cell r="I1703">
            <v>626272</v>
          </cell>
          <cell r="J1703">
            <v>0</v>
          </cell>
          <cell r="K1703">
            <v>0</v>
          </cell>
          <cell r="L1703">
            <v>0</v>
          </cell>
        </row>
        <row r="1704">
          <cell r="A1704">
            <v>4</v>
          </cell>
          <cell r="B1704">
            <v>9</v>
          </cell>
          <cell r="C1704">
            <v>190</v>
          </cell>
          <cell r="D1704">
            <v>18</v>
          </cell>
          <cell r="E1704" t="str">
            <v xml:space="preserve">    </v>
          </cell>
          <cell r="F1704" t="str">
            <v xml:space="preserve">   </v>
          </cell>
          <cell r="G1704">
            <v>4919018</v>
          </cell>
          <cell r="H1704">
            <v>626271.94999999995</v>
          </cell>
          <cell r="I1704">
            <v>626271.94999999995</v>
          </cell>
          <cell r="J1704">
            <v>0</v>
          </cell>
          <cell r="K1704">
            <v>0</v>
          </cell>
          <cell r="L1704">
            <v>0</v>
          </cell>
        </row>
        <row r="1705">
          <cell r="A1705">
            <v>5</v>
          </cell>
          <cell r="B1705">
            <v>9</v>
          </cell>
          <cell r="C1705">
            <v>190</v>
          </cell>
          <cell r="D1705">
            <v>18</v>
          </cell>
          <cell r="E1705" t="str">
            <v xml:space="preserve">    </v>
          </cell>
          <cell r="F1705" t="str">
            <v xml:space="preserve">   </v>
          </cell>
          <cell r="G1705">
            <v>5919018</v>
          </cell>
          <cell r="H1705">
            <v>626272</v>
          </cell>
          <cell r="I1705">
            <v>626272</v>
          </cell>
          <cell r="J1705">
            <v>0</v>
          </cell>
          <cell r="K1705">
            <v>0</v>
          </cell>
          <cell r="L1705">
            <v>0</v>
          </cell>
        </row>
        <row r="1706">
          <cell r="A1706">
            <v>3</v>
          </cell>
          <cell r="B1706">
            <v>9</v>
          </cell>
          <cell r="C1706">
            <v>190</v>
          </cell>
          <cell r="D1706">
            <v>19</v>
          </cell>
          <cell r="E1706" t="str">
            <v xml:space="preserve">    </v>
          </cell>
          <cell r="F1706" t="str">
            <v xml:space="preserve">   </v>
          </cell>
          <cell r="G1706">
            <v>3919019</v>
          </cell>
          <cell r="H1706">
            <v>459674</v>
          </cell>
          <cell r="I1706">
            <v>459674</v>
          </cell>
          <cell r="J1706">
            <v>0</v>
          </cell>
          <cell r="K1706">
            <v>0</v>
          </cell>
          <cell r="L1706">
            <v>0</v>
          </cell>
        </row>
        <row r="1707">
          <cell r="A1707">
            <v>4</v>
          </cell>
          <cell r="B1707">
            <v>9</v>
          </cell>
          <cell r="C1707">
            <v>190</v>
          </cell>
          <cell r="D1707">
            <v>19</v>
          </cell>
          <cell r="E1707" t="str">
            <v xml:space="preserve">    </v>
          </cell>
          <cell r="F1707" t="str">
            <v xml:space="preserve">   </v>
          </cell>
          <cell r="G1707">
            <v>4919019</v>
          </cell>
          <cell r="H1707">
            <v>459673.92</v>
          </cell>
          <cell r="I1707">
            <v>459673.92</v>
          </cell>
          <cell r="J1707">
            <v>0</v>
          </cell>
          <cell r="K1707">
            <v>0</v>
          </cell>
          <cell r="L1707">
            <v>0</v>
          </cell>
        </row>
        <row r="1708">
          <cell r="A1708">
            <v>5</v>
          </cell>
          <cell r="B1708">
            <v>9</v>
          </cell>
          <cell r="C1708">
            <v>190</v>
          </cell>
          <cell r="D1708">
            <v>19</v>
          </cell>
          <cell r="E1708" t="str">
            <v xml:space="preserve">    </v>
          </cell>
          <cell r="F1708" t="str">
            <v xml:space="preserve">   </v>
          </cell>
          <cell r="G1708">
            <v>5919019</v>
          </cell>
          <cell r="H1708">
            <v>459674</v>
          </cell>
          <cell r="I1708">
            <v>459674</v>
          </cell>
          <cell r="J1708">
            <v>0</v>
          </cell>
          <cell r="K1708">
            <v>0</v>
          </cell>
          <cell r="L1708">
            <v>0</v>
          </cell>
        </row>
        <row r="1709">
          <cell r="A1709">
            <v>3</v>
          </cell>
          <cell r="B1709">
            <v>9</v>
          </cell>
          <cell r="C1709">
            <v>190</v>
          </cell>
          <cell r="D1709">
            <v>20</v>
          </cell>
          <cell r="E1709" t="str">
            <v xml:space="preserve">    </v>
          </cell>
          <cell r="F1709" t="str">
            <v xml:space="preserve">   </v>
          </cell>
          <cell r="G1709">
            <v>3919020</v>
          </cell>
          <cell r="H1709">
            <v>379694</v>
          </cell>
          <cell r="I1709">
            <v>379694</v>
          </cell>
          <cell r="J1709">
            <v>0</v>
          </cell>
          <cell r="K1709">
            <v>0</v>
          </cell>
          <cell r="L1709">
            <v>0</v>
          </cell>
        </row>
        <row r="1710">
          <cell r="A1710">
            <v>4</v>
          </cell>
          <cell r="B1710">
            <v>9</v>
          </cell>
          <cell r="C1710">
            <v>190</v>
          </cell>
          <cell r="D1710">
            <v>20</v>
          </cell>
          <cell r="E1710" t="str">
            <v xml:space="preserve">    </v>
          </cell>
          <cell r="F1710" t="str">
            <v xml:space="preserve">   </v>
          </cell>
          <cell r="G1710">
            <v>4919020</v>
          </cell>
          <cell r="H1710">
            <v>358924.17</v>
          </cell>
          <cell r="I1710">
            <v>358924.17</v>
          </cell>
          <cell r="J1710">
            <v>0</v>
          </cell>
          <cell r="K1710">
            <v>0</v>
          </cell>
          <cell r="L1710">
            <v>0</v>
          </cell>
        </row>
        <row r="1711">
          <cell r="A1711">
            <v>5</v>
          </cell>
          <cell r="B1711">
            <v>9</v>
          </cell>
          <cell r="C1711">
            <v>190</v>
          </cell>
          <cell r="D1711">
            <v>20</v>
          </cell>
          <cell r="E1711" t="str">
            <v xml:space="preserve">    </v>
          </cell>
          <cell r="F1711" t="str">
            <v xml:space="preserve">   </v>
          </cell>
          <cell r="G1711">
            <v>5919020</v>
          </cell>
          <cell r="H1711">
            <v>379478</v>
          </cell>
          <cell r="I1711">
            <v>379478</v>
          </cell>
          <cell r="J1711">
            <v>0</v>
          </cell>
          <cell r="K1711">
            <v>0</v>
          </cell>
          <cell r="L1711">
            <v>0</v>
          </cell>
        </row>
        <row r="1712">
          <cell r="A1712">
            <v>3</v>
          </cell>
          <cell r="B1712">
            <v>9</v>
          </cell>
          <cell r="C1712">
            <v>190</v>
          </cell>
          <cell r="D1712">
            <v>21</v>
          </cell>
          <cell r="E1712" t="str">
            <v xml:space="preserve">    </v>
          </cell>
          <cell r="F1712" t="str">
            <v xml:space="preserve">   </v>
          </cell>
          <cell r="G1712">
            <v>3919021</v>
          </cell>
          <cell r="H1712">
            <v>66937</v>
          </cell>
          <cell r="I1712">
            <v>66937</v>
          </cell>
          <cell r="J1712">
            <v>0</v>
          </cell>
          <cell r="K1712">
            <v>0</v>
          </cell>
          <cell r="L1712">
            <v>0</v>
          </cell>
        </row>
        <row r="1713">
          <cell r="A1713">
            <v>4</v>
          </cell>
          <cell r="B1713">
            <v>9</v>
          </cell>
          <cell r="C1713">
            <v>190</v>
          </cell>
          <cell r="D1713">
            <v>21</v>
          </cell>
          <cell r="E1713" t="str">
            <v xml:space="preserve">    </v>
          </cell>
          <cell r="F1713" t="str">
            <v xml:space="preserve">   </v>
          </cell>
          <cell r="G1713">
            <v>4919021</v>
          </cell>
          <cell r="H1713">
            <v>75096.88</v>
          </cell>
          <cell r="I1713">
            <v>75096.88</v>
          </cell>
          <cell r="J1713">
            <v>0</v>
          </cell>
          <cell r="K1713">
            <v>0</v>
          </cell>
          <cell r="L1713">
            <v>0</v>
          </cell>
        </row>
        <row r="1714">
          <cell r="A1714">
            <v>5</v>
          </cell>
          <cell r="B1714">
            <v>9</v>
          </cell>
          <cell r="C1714">
            <v>190</v>
          </cell>
          <cell r="D1714">
            <v>21</v>
          </cell>
          <cell r="E1714" t="str">
            <v xml:space="preserve">    </v>
          </cell>
          <cell r="F1714" t="str">
            <v xml:space="preserve">   </v>
          </cell>
          <cell r="G1714">
            <v>5919021</v>
          </cell>
          <cell r="H1714">
            <v>66724</v>
          </cell>
          <cell r="I1714">
            <v>66724</v>
          </cell>
          <cell r="J1714">
            <v>0</v>
          </cell>
          <cell r="K1714">
            <v>0</v>
          </cell>
          <cell r="L1714">
            <v>0</v>
          </cell>
        </row>
        <row r="1715">
          <cell r="A1715">
            <v>3</v>
          </cell>
          <cell r="B1715">
            <v>9</v>
          </cell>
          <cell r="C1715">
            <v>190</v>
          </cell>
          <cell r="D1715">
            <v>28</v>
          </cell>
          <cell r="E1715" t="str">
            <v xml:space="preserve">    </v>
          </cell>
          <cell r="F1715" t="str">
            <v xml:space="preserve">   </v>
          </cell>
          <cell r="G1715">
            <v>3919028</v>
          </cell>
          <cell r="H1715">
            <v>-22190</v>
          </cell>
          <cell r="I1715">
            <v>-22190</v>
          </cell>
          <cell r="J1715">
            <v>0</v>
          </cell>
          <cell r="K1715">
            <v>0</v>
          </cell>
          <cell r="L1715">
            <v>0</v>
          </cell>
        </row>
        <row r="1716">
          <cell r="A1716">
            <v>4</v>
          </cell>
          <cell r="B1716">
            <v>9</v>
          </cell>
          <cell r="C1716">
            <v>190</v>
          </cell>
          <cell r="D1716">
            <v>28</v>
          </cell>
          <cell r="E1716" t="str">
            <v xml:space="preserve">    </v>
          </cell>
          <cell r="F1716" t="str">
            <v xml:space="preserve">   </v>
          </cell>
          <cell r="G1716">
            <v>4919028</v>
          </cell>
          <cell r="H1716">
            <v>-20169.060000000001</v>
          </cell>
          <cell r="I1716">
            <v>-20169.060000000001</v>
          </cell>
          <cell r="J1716">
            <v>0</v>
          </cell>
          <cell r="K1716">
            <v>0</v>
          </cell>
          <cell r="L1716">
            <v>0</v>
          </cell>
        </row>
        <row r="1717">
          <cell r="A1717">
            <v>5</v>
          </cell>
          <cell r="B1717">
            <v>9</v>
          </cell>
          <cell r="C1717">
            <v>190</v>
          </cell>
          <cell r="D1717">
            <v>28</v>
          </cell>
          <cell r="E1717" t="str">
            <v xml:space="preserve">    </v>
          </cell>
          <cell r="F1717" t="str">
            <v xml:space="preserve">   </v>
          </cell>
          <cell r="G1717">
            <v>5919028</v>
          </cell>
          <cell r="H1717">
            <v>-22263</v>
          </cell>
          <cell r="I1717">
            <v>-22263</v>
          </cell>
          <cell r="J1717">
            <v>0</v>
          </cell>
          <cell r="K1717">
            <v>0</v>
          </cell>
          <cell r="L1717">
            <v>0</v>
          </cell>
        </row>
        <row r="1718">
          <cell r="A1718">
            <v>3</v>
          </cell>
          <cell r="B1718">
            <v>9</v>
          </cell>
          <cell r="C1718">
            <v>190</v>
          </cell>
          <cell r="D1718">
            <v>38</v>
          </cell>
          <cell r="E1718" t="str">
            <v xml:space="preserve">    </v>
          </cell>
          <cell r="F1718" t="str">
            <v xml:space="preserve">   </v>
          </cell>
          <cell r="G1718">
            <v>3919038</v>
          </cell>
          <cell r="H1718">
            <v>1669144</v>
          </cell>
          <cell r="I1718">
            <v>0</v>
          </cell>
          <cell r="J1718">
            <v>0</v>
          </cell>
          <cell r="K1718">
            <v>1669144</v>
          </cell>
          <cell r="L1718">
            <v>0</v>
          </cell>
        </row>
        <row r="1719">
          <cell r="A1719">
            <v>4</v>
          </cell>
          <cell r="B1719">
            <v>9</v>
          </cell>
          <cell r="C1719">
            <v>190</v>
          </cell>
          <cell r="D1719">
            <v>38</v>
          </cell>
          <cell r="E1719" t="str">
            <v xml:space="preserve">    </v>
          </cell>
          <cell r="F1719" t="str">
            <v xml:space="preserve">   </v>
          </cell>
          <cell r="G1719">
            <v>4919038</v>
          </cell>
          <cell r="H1719">
            <v>2107011.58</v>
          </cell>
          <cell r="I1719">
            <v>0</v>
          </cell>
          <cell r="J1719">
            <v>0</v>
          </cell>
          <cell r="K1719">
            <v>2107011.58</v>
          </cell>
          <cell r="L1719">
            <v>0</v>
          </cell>
        </row>
        <row r="1720">
          <cell r="A1720">
            <v>5</v>
          </cell>
          <cell r="B1720">
            <v>9</v>
          </cell>
          <cell r="C1720">
            <v>190</v>
          </cell>
          <cell r="D1720">
            <v>38</v>
          </cell>
          <cell r="E1720" t="str">
            <v xml:space="preserve">    </v>
          </cell>
          <cell r="F1720" t="str">
            <v xml:space="preserve">   </v>
          </cell>
          <cell r="G1720">
            <v>5919038</v>
          </cell>
          <cell r="H1720">
            <v>1789176</v>
          </cell>
          <cell r="I1720">
            <v>0</v>
          </cell>
          <cell r="J1720">
            <v>0</v>
          </cell>
          <cell r="K1720">
            <v>1789176</v>
          </cell>
          <cell r="L1720">
            <v>0</v>
          </cell>
        </row>
        <row r="1721">
          <cell r="A1721">
            <v>3</v>
          </cell>
          <cell r="B1721">
            <v>9</v>
          </cell>
          <cell r="C1721">
            <v>190</v>
          </cell>
          <cell r="D1721">
            <v>61</v>
          </cell>
          <cell r="E1721" t="str">
            <v xml:space="preserve">    </v>
          </cell>
          <cell r="F1721" t="str">
            <v xml:space="preserve">   </v>
          </cell>
          <cell r="G1721">
            <v>3919061</v>
          </cell>
          <cell r="H1721">
            <v>3938235</v>
          </cell>
          <cell r="I1721">
            <v>0</v>
          </cell>
          <cell r="J1721">
            <v>3938235</v>
          </cell>
          <cell r="K1721">
            <v>0</v>
          </cell>
          <cell r="L1721">
            <v>0</v>
          </cell>
        </row>
        <row r="1722">
          <cell r="A1722">
            <v>4</v>
          </cell>
          <cell r="B1722">
            <v>9</v>
          </cell>
          <cell r="C1722">
            <v>190</v>
          </cell>
          <cell r="D1722">
            <v>61</v>
          </cell>
          <cell r="E1722" t="str">
            <v xml:space="preserve">    </v>
          </cell>
          <cell r="F1722" t="str">
            <v xml:space="preserve">   </v>
          </cell>
          <cell r="G1722">
            <v>4919061</v>
          </cell>
          <cell r="H1722">
            <v>3780008.68</v>
          </cell>
          <cell r="I1722">
            <v>0</v>
          </cell>
          <cell r="J1722">
            <v>3780008.68</v>
          </cell>
          <cell r="K1722">
            <v>0</v>
          </cell>
          <cell r="L1722">
            <v>0</v>
          </cell>
        </row>
        <row r="1723">
          <cell r="A1723">
            <v>5</v>
          </cell>
          <cell r="B1723">
            <v>9</v>
          </cell>
          <cell r="C1723">
            <v>190</v>
          </cell>
          <cell r="D1723">
            <v>61</v>
          </cell>
          <cell r="E1723" t="str">
            <v xml:space="preserve">    </v>
          </cell>
          <cell r="F1723" t="str">
            <v xml:space="preserve">   </v>
          </cell>
          <cell r="G1723">
            <v>5919061</v>
          </cell>
          <cell r="H1723">
            <v>3937923</v>
          </cell>
          <cell r="I1723">
            <v>0</v>
          </cell>
          <cell r="J1723">
            <v>3937923</v>
          </cell>
          <cell r="K1723">
            <v>0</v>
          </cell>
          <cell r="L1723">
            <v>0</v>
          </cell>
        </row>
        <row r="1724">
          <cell r="A1724">
            <v>3</v>
          </cell>
          <cell r="B1724">
            <v>9</v>
          </cell>
          <cell r="C1724">
            <v>190</v>
          </cell>
          <cell r="D1724">
            <v>63</v>
          </cell>
          <cell r="E1724" t="str">
            <v xml:space="preserve">    </v>
          </cell>
          <cell r="F1724" t="str">
            <v xml:space="preserve">   </v>
          </cell>
          <cell r="G1724">
            <v>3919063</v>
          </cell>
          <cell r="H1724">
            <v>1915970</v>
          </cell>
          <cell r="I1724">
            <v>0</v>
          </cell>
          <cell r="J1724">
            <v>0</v>
          </cell>
          <cell r="K1724">
            <v>1915970</v>
          </cell>
          <cell r="L1724">
            <v>0</v>
          </cell>
        </row>
        <row r="1725">
          <cell r="A1725">
            <v>4</v>
          </cell>
          <cell r="B1725">
            <v>9</v>
          </cell>
          <cell r="C1725">
            <v>190</v>
          </cell>
          <cell r="D1725">
            <v>63</v>
          </cell>
          <cell r="E1725" t="str">
            <v xml:space="preserve">    </v>
          </cell>
          <cell r="F1725" t="str">
            <v xml:space="preserve">   </v>
          </cell>
          <cell r="G1725">
            <v>4919063</v>
          </cell>
          <cell r="H1725">
            <v>1716968.96</v>
          </cell>
          <cell r="I1725">
            <v>0</v>
          </cell>
          <cell r="J1725">
            <v>0</v>
          </cell>
          <cell r="K1725">
            <v>1716968.96</v>
          </cell>
          <cell r="L1725">
            <v>0</v>
          </cell>
        </row>
        <row r="1726">
          <cell r="A1726">
            <v>5</v>
          </cell>
          <cell r="B1726">
            <v>9</v>
          </cell>
          <cell r="C1726">
            <v>190</v>
          </cell>
          <cell r="D1726">
            <v>63</v>
          </cell>
          <cell r="E1726" t="str">
            <v xml:space="preserve">    </v>
          </cell>
          <cell r="F1726" t="str">
            <v xml:space="preserve">   </v>
          </cell>
          <cell r="G1726">
            <v>5919063</v>
          </cell>
          <cell r="H1726">
            <v>1908886</v>
          </cell>
          <cell r="I1726">
            <v>0</v>
          </cell>
          <cell r="J1726">
            <v>0</v>
          </cell>
          <cell r="K1726">
            <v>1908886</v>
          </cell>
          <cell r="L1726">
            <v>0</v>
          </cell>
        </row>
        <row r="1727">
          <cell r="A1727">
            <v>3</v>
          </cell>
          <cell r="B1727">
            <v>9</v>
          </cell>
          <cell r="C1727">
            <v>190</v>
          </cell>
          <cell r="D1727">
            <v>64</v>
          </cell>
          <cell r="E1727" t="str">
            <v xml:space="preserve">    </v>
          </cell>
          <cell r="F1727" t="str">
            <v xml:space="preserve">   </v>
          </cell>
          <cell r="G1727">
            <v>3919064</v>
          </cell>
          <cell r="H1727">
            <v>730305</v>
          </cell>
          <cell r="I1727">
            <v>0</v>
          </cell>
          <cell r="J1727">
            <v>730305</v>
          </cell>
          <cell r="K1727">
            <v>0</v>
          </cell>
          <cell r="L1727">
            <v>0</v>
          </cell>
        </row>
        <row r="1728">
          <cell r="A1728">
            <v>4</v>
          </cell>
          <cell r="B1728">
            <v>9</v>
          </cell>
          <cell r="C1728">
            <v>190</v>
          </cell>
          <cell r="D1728">
            <v>64</v>
          </cell>
          <cell r="E1728" t="str">
            <v xml:space="preserve">    </v>
          </cell>
          <cell r="F1728" t="str">
            <v xml:space="preserve">   </v>
          </cell>
          <cell r="G1728">
            <v>4919064</v>
          </cell>
          <cell r="H1728">
            <v>666381.66</v>
          </cell>
          <cell r="I1728">
            <v>0</v>
          </cell>
          <cell r="J1728">
            <v>666381.66</v>
          </cell>
          <cell r="K1728">
            <v>0</v>
          </cell>
          <cell r="L1728">
            <v>0</v>
          </cell>
        </row>
        <row r="1729">
          <cell r="A1729">
            <v>5</v>
          </cell>
          <cell r="B1729">
            <v>9</v>
          </cell>
          <cell r="C1729">
            <v>190</v>
          </cell>
          <cell r="D1729">
            <v>64</v>
          </cell>
          <cell r="E1729" t="str">
            <v xml:space="preserve">    </v>
          </cell>
          <cell r="F1729" t="str">
            <v xml:space="preserve">   </v>
          </cell>
          <cell r="G1729">
            <v>5919064</v>
          </cell>
          <cell r="H1729">
            <v>729958.5</v>
          </cell>
          <cell r="I1729">
            <v>0</v>
          </cell>
          <cell r="J1729">
            <v>729958.5</v>
          </cell>
          <cell r="K1729">
            <v>0</v>
          </cell>
          <cell r="L1729">
            <v>0</v>
          </cell>
        </row>
        <row r="1730">
          <cell r="A1730">
            <v>3</v>
          </cell>
          <cell r="B1730">
            <v>9</v>
          </cell>
          <cell r="C1730">
            <v>190</v>
          </cell>
          <cell r="D1730">
            <v>65</v>
          </cell>
          <cell r="E1730" t="str">
            <v xml:space="preserve">    </v>
          </cell>
          <cell r="F1730" t="str">
            <v xml:space="preserve">   </v>
          </cell>
          <cell r="G1730">
            <v>3919065</v>
          </cell>
          <cell r="H1730">
            <v>273159</v>
          </cell>
          <cell r="I1730">
            <v>0</v>
          </cell>
          <cell r="J1730">
            <v>0</v>
          </cell>
          <cell r="K1730">
            <v>273159</v>
          </cell>
          <cell r="L1730">
            <v>0</v>
          </cell>
        </row>
        <row r="1731">
          <cell r="A1731">
            <v>4</v>
          </cell>
          <cell r="B1731">
            <v>9</v>
          </cell>
          <cell r="C1731">
            <v>190</v>
          </cell>
          <cell r="D1731">
            <v>65</v>
          </cell>
          <cell r="E1731" t="str">
            <v xml:space="preserve">    </v>
          </cell>
          <cell r="F1731" t="str">
            <v xml:space="preserve">   </v>
          </cell>
          <cell r="G1731">
            <v>4919065</v>
          </cell>
          <cell r="H1731">
            <v>208340.12</v>
          </cell>
          <cell r="I1731">
            <v>0</v>
          </cell>
          <cell r="J1731">
            <v>0</v>
          </cell>
          <cell r="K1731">
            <v>208340.12</v>
          </cell>
          <cell r="L1731">
            <v>0</v>
          </cell>
        </row>
        <row r="1732">
          <cell r="A1732">
            <v>5</v>
          </cell>
          <cell r="B1732">
            <v>9</v>
          </cell>
          <cell r="C1732">
            <v>190</v>
          </cell>
          <cell r="D1732">
            <v>65</v>
          </cell>
          <cell r="E1732" t="str">
            <v xml:space="preserve">    </v>
          </cell>
          <cell r="F1732" t="str">
            <v xml:space="preserve">   </v>
          </cell>
          <cell r="G1732">
            <v>5919065</v>
          </cell>
          <cell r="H1732">
            <v>265183</v>
          </cell>
          <cell r="I1732">
            <v>0</v>
          </cell>
          <cell r="J1732">
            <v>0</v>
          </cell>
          <cell r="K1732">
            <v>265183</v>
          </cell>
          <cell r="L1732">
            <v>0</v>
          </cell>
        </row>
        <row r="1733">
          <cell r="A1733">
            <v>3</v>
          </cell>
          <cell r="B1733">
            <v>9</v>
          </cell>
          <cell r="C1733">
            <v>190</v>
          </cell>
          <cell r="D1733">
            <v>68</v>
          </cell>
          <cell r="E1733" t="str">
            <v xml:space="preserve">    </v>
          </cell>
          <cell r="F1733" t="str">
            <v xml:space="preserve">   </v>
          </cell>
          <cell r="G1733">
            <v>3919068</v>
          </cell>
          <cell r="H1733">
            <v>237622.49</v>
          </cell>
          <cell r="I1733">
            <v>0</v>
          </cell>
          <cell r="J1733">
            <v>237622.49</v>
          </cell>
          <cell r="K1733">
            <v>0</v>
          </cell>
          <cell r="L1733">
            <v>0</v>
          </cell>
        </row>
        <row r="1734">
          <cell r="A1734">
            <v>4</v>
          </cell>
          <cell r="B1734">
            <v>9</v>
          </cell>
          <cell r="C1734">
            <v>190</v>
          </cell>
          <cell r="D1734">
            <v>68</v>
          </cell>
          <cell r="E1734" t="str">
            <v xml:space="preserve">    </v>
          </cell>
          <cell r="F1734" t="str">
            <v xml:space="preserve">   </v>
          </cell>
          <cell r="G1734">
            <v>4919068</v>
          </cell>
          <cell r="H1734">
            <v>226392.1</v>
          </cell>
          <cell r="I1734">
            <v>0</v>
          </cell>
          <cell r="J1734">
            <v>226392.1</v>
          </cell>
          <cell r="K1734">
            <v>0</v>
          </cell>
          <cell r="L1734">
            <v>0</v>
          </cell>
        </row>
        <row r="1735">
          <cell r="A1735">
            <v>5</v>
          </cell>
          <cell r="B1735">
            <v>9</v>
          </cell>
          <cell r="C1735">
            <v>190</v>
          </cell>
          <cell r="D1735">
            <v>68</v>
          </cell>
          <cell r="E1735" t="str">
            <v xml:space="preserve">    </v>
          </cell>
          <cell r="F1735" t="str">
            <v xml:space="preserve">   </v>
          </cell>
          <cell r="G1735">
            <v>5919068</v>
          </cell>
          <cell r="H1735">
            <v>236668.98</v>
          </cell>
          <cell r="I1735">
            <v>0</v>
          </cell>
          <cell r="J1735">
            <v>236668.98</v>
          </cell>
          <cell r="K1735">
            <v>0</v>
          </cell>
          <cell r="L1735">
            <v>0</v>
          </cell>
        </row>
        <row r="1736">
          <cell r="A1736">
            <v>3</v>
          </cell>
          <cell r="B1736">
            <v>9</v>
          </cell>
          <cell r="C1736">
            <v>190</v>
          </cell>
          <cell r="D1736">
            <v>78</v>
          </cell>
          <cell r="E1736" t="str">
            <v xml:space="preserve">    </v>
          </cell>
          <cell r="F1736" t="str">
            <v xml:space="preserve">   </v>
          </cell>
          <cell r="G1736">
            <v>3919078</v>
          </cell>
          <cell r="H1736">
            <v>64079</v>
          </cell>
          <cell r="I1736">
            <v>0</v>
          </cell>
          <cell r="J1736">
            <v>0</v>
          </cell>
          <cell r="K1736">
            <v>64079</v>
          </cell>
          <cell r="L1736">
            <v>0</v>
          </cell>
        </row>
        <row r="1737">
          <cell r="A1737">
            <v>4</v>
          </cell>
          <cell r="B1737">
            <v>9</v>
          </cell>
          <cell r="C1737">
            <v>190</v>
          </cell>
          <cell r="D1737">
            <v>78</v>
          </cell>
          <cell r="E1737" t="str">
            <v xml:space="preserve">    </v>
          </cell>
          <cell r="F1737" t="str">
            <v xml:space="preserve">   </v>
          </cell>
          <cell r="G1737">
            <v>4919078</v>
          </cell>
          <cell r="H1737">
            <v>61355.58</v>
          </cell>
          <cell r="I1737">
            <v>0</v>
          </cell>
          <cell r="J1737">
            <v>0</v>
          </cell>
          <cell r="K1737">
            <v>61355.58</v>
          </cell>
          <cell r="L1737">
            <v>0</v>
          </cell>
        </row>
        <row r="1738">
          <cell r="A1738">
            <v>5</v>
          </cell>
          <cell r="B1738">
            <v>9</v>
          </cell>
          <cell r="C1738">
            <v>190</v>
          </cell>
          <cell r="D1738">
            <v>78</v>
          </cell>
          <cell r="E1738" t="str">
            <v xml:space="preserve">    </v>
          </cell>
          <cell r="F1738" t="str">
            <v xml:space="preserve">   </v>
          </cell>
          <cell r="G1738">
            <v>5919078</v>
          </cell>
          <cell r="H1738">
            <v>63095</v>
          </cell>
          <cell r="I1738">
            <v>0</v>
          </cell>
          <cell r="J1738">
            <v>0</v>
          </cell>
          <cell r="K1738">
            <v>63095</v>
          </cell>
          <cell r="L1738">
            <v>0</v>
          </cell>
        </row>
        <row r="1739">
          <cell r="A1739">
            <v>3</v>
          </cell>
          <cell r="B1739">
            <v>9</v>
          </cell>
          <cell r="C1739">
            <v>190</v>
          </cell>
          <cell r="D1739">
            <v>85</v>
          </cell>
          <cell r="E1739" t="str">
            <v xml:space="preserve">    </v>
          </cell>
          <cell r="F1739" t="str">
            <v xml:space="preserve">   </v>
          </cell>
          <cell r="G1739">
            <v>3919085</v>
          </cell>
          <cell r="H1739">
            <v>892219.65</v>
          </cell>
          <cell r="I1739">
            <v>892219.65</v>
          </cell>
          <cell r="J1739">
            <v>0</v>
          </cell>
          <cell r="K1739">
            <v>0</v>
          </cell>
          <cell r="L1739">
            <v>0</v>
          </cell>
        </row>
        <row r="1740">
          <cell r="A1740">
            <v>4</v>
          </cell>
          <cell r="B1740">
            <v>9</v>
          </cell>
          <cell r="C1740">
            <v>190</v>
          </cell>
          <cell r="D1740">
            <v>85</v>
          </cell>
          <cell r="E1740" t="str">
            <v xml:space="preserve">    </v>
          </cell>
          <cell r="F1740" t="str">
            <v xml:space="preserve">   </v>
          </cell>
          <cell r="G1740">
            <v>4919085</v>
          </cell>
          <cell r="H1740">
            <v>925550.25</v>
          </cell>
          <cell r="I1740">
            <v>925550.25</v>
          </cell>
          <cell r="J1740">
            <v>0</v>
          </cell>
          <cell r="K1740">
            <v>0</v>
          </cell>
          <cell r="L1740">
            <v>0</v>
          </cell>
        </row>
        <row r="1741">
          <cell r="A1741">
            <v>5</v>
          </cell>
          <cell r="B1741">
            <v>9</v>
          </cell>
          <cell r="C1741">
            <v>190</v>
          </cell>
          <cell r="D1741">
            <v>85</v>
          </cell>
          <cell r="E1741" t="str">
            <v xml:space="preserve">    </v>
          </cell>
          <cell r="F1741" t="str">
            <v xml:space="preserve">   </v>
          </cell>
          <cell r="G1741">
            <v>5919085</v>
          </cell>
          <cell r="H1741">
            <v>895079.14</v>
          </cell>
          <cell r="I1741">
            <v>895079.14</v>
          </cell>
          <cell r="J1741">
            <v>0</v>
          </cell>
          <cell r="K1741">
            <v>0</v>
          </cell>
          <cell r="L1741">
            <v>0</v>
          </cell>
        </row>
        <row r="1742">
          <cell r="A1742">
            <v>3</v>
          </cell>
          <cell r="B1742">
            <v>9</v>
          </cell>
          <cell r="C1742">
            <v>190</v>
          </cell>
          <cell r="D1742">
            <v>86</v>
          </cell>
          <cell r="E1742" t="str">
            <v xml:space="preserve">    </v>
          </cell>
          <cell r="F1742" t="str">
            <v xml:space="preserve">   </v>
          </cell>
          <cell r="G1742">
            <v>3919086</v>
          </cell>
          <cell r="H1742">
            <v>297404.55</v>
          </cell>
          <cell r="I1742">
            <v>297404.55</v>
          </cell>
          <cell r="J1742">
            <v>0</v>
          </cell>
          <cell r="K1742">
            <v>0</v>
          </cell>
          <cell r="L1742">
            <v>0</v>
          </cell>
        </row>
        <row r="1743">
          <cell r="A1743">
            <v>4</v>
          </cell>
          <cell r="B1743">
            <v>9</v>
          </cell>
          <cell r="C1743">
            <v>190</v>
          </cell>
          <cell r="D1743">
            <v>86</v>
          </cell>
          <cell r="E1743" t="str">
            <v xml:space="preserve">    </v>
          </cell>
          <cell r="F1743" t="str">
            <v xml:space="preserve">   </v>
          </cell>
          <cell r="G1743">
            <v>4919086</v>
          </cell>
          <cell r="H1743">
            <v>308516.84999999998</v>
          </cell>
          <cell r="I1743">
            <v>308516.84999999998</v>
          </cell>
          <cell r="J1743">
            <v>0</v>
          </cell>
          <cell r="K1743">
            <v>0</v>
          </cell>
          <cell r="L1743">
            <v>0</v>
          </cell>
        </row>
        <row r="1744">
          <cell r="A1744">
            <v>5</v>
          </cell>
          <cell r="B1744">
            <v>9</v>
          </cell>
          <cell r="C1744">
            <v>190</v>
          </cell>
          <cell r="D1744">
            <v>86</v>
          </cell>
          <cell r="E1744" t="str">
            <v xml:space="preserve">    </v>
          </cell>
          <cell r="F1744" t="str">
            <v xml:space="preserve">   </v>
          </cell>
          <cell r="G1744">
            <v>5919086</v>
          </cell>
          <cell r="H1744">
            <v>298358.03999999998</v>
          </cell>
          <cell r="I1744">
            <v>298358.03999999998</v>
          </cell>
          <cell r="J1744">
            <v>0</v>
          </cell>
          <cell r="K1744">
            <v>0</v>
          </cell>
          <cell r="L1744">
            <v>0</v>
          </cell>
        </row>
        <row r="1745">
          <cell r="A1745">
            <v>3</v>
          </cell>
          <cell r="B1745">
            <v>9</v>
          </cell>
          <cell r="C1745">
            <v>190</v>
          </cell>
          <cell r="D1745">
            <v>88</v>
          </cell>
          <cell r="E1745" t="str">
            <v xml:space="preserve">    </v>
          </cell>
          <cell r="F1745" t="str">
            <v xml:space="preserve">   </v>
          </cell>
          <cell r="G1745">
            <v>3919088</v>
          </cell>
          <cell r="H1745">
            <v>976511.3</v>
          </cell>
          <cell r="I1745">
            <v>0</v>
          </cell>
          <cell r="J1745">
            <v>976511.3</v>
          </cell>
          <cell r="K1745">
            <v>0</v>
          </cell>
          <cell r="L1745">
            <v>0</v>
          </cell>
        </row>
        <row r="1746">
          <cell r="A1746">
            <v>4</v>
          </cell>
          <cell r="B1746">
            <v>9</v>
          </cell>
          <cell r="C1746">
            <v>190</v>
          </cell>
          <cell r="D1746">
            <v>88</v>
          </cell>
          <cell r="E1746" t="str">
            <v xml:space="preserve">    </v>
          </cell>
          <cell r="F1746" t="str">
            <v xml:space="preserve">   </v>
          </cell>
          <cell r="G1746">
            <v>4919088</v>
          </cell>
          <cell r="H1746">
            <v>364181.02</v>
          </cell>
          <cell r="I1746">
            <v>0</v>
          </cell>
          <cell r="J1746">
            <v>364181.02</v>
          </cell>
          <cell r="K1746">
            <v>0</v>
          </cell>
          <cell r="L1746">
            <v>0</v>
          </cell>
        </row>
        <row r="1747">
          <cell r="A1747">
            <v>5</v>
          </cell>
          <cell r="B1747">
            <v>9</v>
          </cell>
          <cell r="C1747">
            <v>190</v>
          </cell>
          <cell r="D1747">
            <v>88</v>
          </cell>
          <cell r="E1747" t="str">
            <v xml:space="preserve">    </v>
          </cell>
          <cell r="F1747" t="str">
            <v xml:space="preserve">   </v>
          </cell>
          <cell r="G1747">
            <v>5919088</v>
          </cell>
          <cell r="H1747">
            <v>845593.8</v>
          </cell>
          <cell r="I1747">
            <v>0</v>
          </cell>
          <cell r="J1747">
            <v>845593.8</v>
          </cell>
          <cell r="K1747">
            <v>0</v>
          </cell>
          <cell r="L1747">
            <v>0</v>
          </cell>
        </row>
        <row r="1748">
          <cell r="A1748">
            <v>3</v>
          </cell>
          <cell r="B1748">
            <v>9</v>
          </cell>
          <cell r="C1748">
            <v>252</v>
          </cell>
          <cell r="D1748">
            <v>10</v>
          </cell>
          <cell r="E1748" t="str">
            <v xml:space="preserve">    </v>
          </cell>
          <cell r="F1748" t="str">
            <v xml:space="preserve">   </v>
          </cell>
          <cell r="G1748">
            <v>3925210</v>
          </cell>
          <cell r="H1748">
            <v>-32592.44</v>
          </cell>
          <cell r="I1748">
            <v>-32592.44</v>
          </cell>
          <cell r="J1748">
            <v>0</v>
          </cell>
          <cell r="K1748">
            <v>0</v>
          </cell>
          <cell r="L1748">
            <v>0</v>
          </cell>
        </row>
        <row r="1749">
          <cell r="A1749">
            <v>4</v>
          </cell>
          <cell r="B1749">
            <v>9</v>
          </cell>
          <cell r="C1749">
            <v>252</v>
          </cell>
          <cell r="D1749">
            <v>10</v>
          </cell>
          <cell r="E1749" t="str">
            <v xml:space="preserve">    </v>
          </cell>
          <cell r="F1749" t="str">
            <v xml:space="preserve">   </v>
          </cell>
          <cell r="G1749">
            <v>4925210</v>
          </cell>
          <cell r="H1749">
            <v>-27080.34</v>
          </cell>
          <cell r="I1749">
            <v>-27080.34</v>
          </cell>
          <cell r="J1749">
            <v>0</v>
          </cell>
          <cell r="K1749">
            <v>0</v>
          </cell>
          <cell r="L1749">
            <v>0</v>
          </cell>
        </row>
        <row r="1750">
          <cell r="A1750">
            <v>5</v>
          </cell>
          <cell r="B1750">
            <v>9</v>
          </cell>
          <cell r="C1750">
            <v>252</v>
          </cell>
          <cell r="D1750">
            <v>10</v>
          </cell>
          <cell r="E1750" t="str">
            <v xml:space="preserve">    </v>
          </cell>
          <cell r="F1750" t="str">
            <v xml:space="preserve">   </v>
          </cell>
          <cell r="G1750">
            <v>5925210</v>
          </cell>
          <cell r="H1750">
            <v>-32359.08</v>
          </cell>
          <cell r="I1750">
            <v>-32359.08</v>
          </cell>
          <cell r="J1750">
            <v>0</v>
          </cell>
          <cell r="K1750">
            <v>0</v>
          </cell>
          <cell r="L1750">
            <v>0</v>
          </cell>
        </row>
        <row r="1751">
          <cell r="A1751">
            <v>3</v>
          </cell>
          <cell r="B1751">
            <v>9</v>
          </cell>
          <cell r="C1751">
            <v>252</v>
          </cell>
          <cell r="D1751">
            <v>20</v>
          </cell>
          <cell r="E1751" t="str">
            <v xml:space="preserve">    </v>
          </cell>
          <cell r="F1751" t="str">
            <v xml:space="preserve">   </v>
          </cell>
          <cell r="G1751">
            <v>3925220</v>
          </cell>
          <cell r="H1751">
            <v>-113.7</v>
          </cell>
          <cell r="I1751">
            <v>-3932.2</v>
          </cell>
          <cell r="J1751">
            <v>-2536</v>
          </cell>
          <cell r="K1751">
            <v>6354.5</v>
          </cell>
          <cell r="L1751">
            <v>0</v>
          </cell>
        </row>
        <row r="1752">
          <cell r="A1752">
            <v>4</v>
          </cell>
          <cell r="B1752">
            <v>9</v>
          </cell>
          <cell r="C1752">
            <v>252</v>
          </cell>
          <cell r="D1752">
            <v>20</v>
          </cell>
          <cell r="E1752" t="str">
            <v xml:space="preserve">    </v>
          </cell>
          <cell r="F1752" t="str">
            <v xml:space="preserve">   </v>
          </cell>
          <cell r="G1752">
            <v>4925220</v>
          </cell>
          <cell r="H1752">
            <v>-113.63</v>
          </cell>
          <cell r="I1752">
            <v>-3932.16</v>
          </cell>
          <cell r="J1752">
            <v>-2535.9499999999998</v>
          </cell>
          <cell r="K1752">
            <v>6354.48</v>
          </cell>
          <cell r="L1752">
            <v>0</v>
          </cell>
        </row>
        <row r="1753">
          <cell r="A1753">
            <v>5</v>
          </cell>
          <cell r="B1753">
            <v>9</v>
          </cell>
          <cell r="C1753">
            <v>252</v>
          </cell>
          <cell r="D1753">
            <v>20</v>
          </cell>
          <cell r="E1753" t="str">
            <v xml:space="preserve">    </v>
          </cell>
          <cell r="F1753" t="str">
            <v xml:space="preserve">   </v>
          </cell>
          <cell r="G1753">
            <v>5925220</v>
          </cell>
          <cell r="H1753">
            <v>-113.7</v>
          </cell>
          <cell r="I1753">
            <v>-3932.2</v>
          </cell>
          <cell r="J1753">
            <v>-2536</v>
          </cell>
          <cell r="K1753">
            <v>6354.5</v>
          </cell>
          <cell r="L1753">
            <v>0</v>
          </cell>
        </row>
        <row r="1754">
          <cell r="A1754">
            <v>3</v>
          </cell>
          <cell r="B1754">
            <v>9</v>
          </cell>
          <cell r="C1754">
            <v>252</v>
          </cell>
          <cell r="D1754">
            <v>30</v>
          </cell>
          <cell r="E1754" t="str">
            <v xml:space="preserve">    </v>
          </cell>
          <cell r="F1754" t="str">
            <v xml:space="preserve">   </v>
          </cell>
          <cell r="G1754">
            <v>3925230</v>
          </cell>
          <cell r="H1754">
            <v>-1793373.39</v>
          </cell>
          <cell r="I1754">
            <v>0</v>
          </cell>
          <cell r="J1754">
            <v>-1323899.3799999999</v>
          </cell>
          <cell r="K1754">
            <v>-469474.01</v>
          </cell>
          <cell r="L1754">
            <v>0</v>
          </cell>
        </row>
        <row r="1755">
          <cell r="A1755">
            <v>4</v>
          </cell>
          <cell r="B1755">
            <v>9</v>
          </cell>
          <cell r="C1755">
            <v>252</v>
          </cell>
          <cell r="D1755">
            <v>30</v>
          </cell>
          <cell r="E1755" t="str">
            <v xml:space="preserve">    </v>
          </cell>
          <cell r="F1755" t="str">
            <v xml:space="preserve">   </v>
          </cell>
          <cell r="G1755">
            <v>4925230</v>
          </cell>
          <cell r="H1755">
            <v>-1862111.66</v>
          </cell>
          <cell r="I1755">
            <v>0</v>
          </cell>
          <cell r="J1755">
            <v>-1343479.6</v>
          </cell>
          <cell r="K1755">
            <v>-518632.06</v>
          </cell>
          <cell r="L1755">
            <v>0</v>
          </cell>
        </row>
        <row r="1756">
          <cell r="A1756">
            <v>5</v>
          </cell>
          <cell r="B1756">
            <v>9</v>
          </cell>
          <cell r="C1756">
            <v>252</v>
          </cell>
          <cell r="D1756">
            <v>30</v>
          </cell>
          <cell r="E1756" t="str">
            <v xml:space="preserve">    </v>
          </cell>
          <cell r="F1756" t="str">
            <v xml:space="preserve">   </v>
          </cell>
          <cell r="G1756">
            <v>5925230</v>
          </cell>
          <cell r="H1756">
            <v>-1811240.88</v>
          </cell>
          <cell r="I1756">
            <v>0</v>
          </cell>
          <cell r="J1756">
            <v>-1324164.8799999999</v>
          </cell>
          <cell r="K1756">
            <v>-487076</v>
          </cell>
          <cell r="L1756">
            <v>0</v>
          </cell>
        </row>
        <row r="1757">
          <cell r="A1757">
            <v>3</v>
          </cell>
          <cell r="B1757">
            <v>9</v>
          </cell>
          <cell r="C1757">
            <v>252</v>
          </cell>
          <cell r="D1757">
            <v>40</v>
          </cell>
          <cell r="E1757" t="str">
            <v xml:space="preserve">    </v>
          </cell>
          <cell r="F1757" t="str">
            <v xml:space="preserve">   </v>
          </cell>
          <cell r="G1757">
            <v>3925240</v>
          </cell>
          <cell r="H1757">
            <v>-467683.48</v>
          </cell>
          <cell r="I1757">
            <v>0</v>
          </cell>
          <cell r="J1757">
            <v>-353592.02</v>
          </cell>
          <cell r="K1757">
            <v>-114091.46</v>
          </cell>
          <cell r="L1757">
            <v>0</v>
          </cell>
        </row>
        <row r="1758">
          <cell r="A1758">
            <v>4</v>
          </cell>
          <cell r="B1758">
            <v>9</v>
          </cell>
          <cell r="C1758">
            <v>252</v>
          </cell>
          <cell r="D1758">
            <v>40</v>
          </cell>
          <cell r="E1758" t="str">
            <v xml:space="preserve">    </v>
          </cell>
          <cell r="F1758" t="str">
            <v xml:space="preserve">   </v>
          </cell>
          <cell r="G1758">
            <v>4925240</v>
          </cell>
          <cell r="H1758">
            <v>-467683.31</v>
          </cell>
          <cell r="I1758">
            <v>0</v>
          </cell>
          <cell r="J1758">
            <v>-353591.87</v>
          </cell>
          <cell r="K1758">
            <v>-114091.44</v>
          </cell>
          <cell r="L1758">
            <v>0</v>
          </cell>
        </row>
        <row r="1759">
          <cell r="A1759">
            <v>5</v>
          </cell>
          <cell r="B1759">
            <v>9</v>
          </cell>
          <cell r="C1759">
            <v>252</v>
          </cell>
          <cell r="D1759">
            <v>40</v>
          </cell>
          <cell r="E1759" t="str">
            <v xml:space="preserve">    </v>
          </cell>
          <cell r="F1759" t="str">
            <v xml:space="preserve">   </v>
          </cell>
          <cell r="G1759">
            <v>5925240</v>
          </cell>
          <cell r="H1759">
            <v>-467683.48</v>
          </cell>
          <cell r="I1759">
            <v>0</v>
          </cell>
          <cell r="J1759">
            <v>-353592.02</v>
          </cell>
          <cell r="K1759">
            <v>-114091.46</v>
          </cell>
          <cell r="L1759">
            <v>0</v>
          </cell>
        </row>
        <row r="1760">
          <cell r="A1760">
            <v>3</v>
          </cell>
          <cell r="B1760">
            <v>9</v>
          </cell>
          <cell r="C1760">
            <v>253</v>
          </cell>
          <cell r="D1760">
            <v>38</v>
          </cell>
          <cell r="E1760" t="str">
            <v xml:space="preserve">    </v>
          </cell>
          <cell r="F1760" t="str">
            <v xml:space="preserve">   </v>
          </cell>
          <cell r="G1760">
            <v>3925338</v>
          </cell>
          <cell r="H1760">
            <v>-118049</v>
          </cell>
          <cell r="I1760">
            <v>0</v>
          </cell>
          <cell r="J1760">
            <v>0</v>
          </cell>
          <cell r="K1760">
            <v>-118049</v>
          </cell>
          <cell r="L1760">
            <v>0</v>
          </cell>
        </row>
        <row r="1761">
          <cell r="A1761">
            <v>4</v>
          </cell>
          <cell r="B1761">
            <v>9</v>
          </cell>
          <cell r="C1761">
            <v>253</v>
          </cell>
          <cell r="D1761">
            <v>38</v>
          </cell>
          <cell r="E1761" t="str">
            <v xml:space="preserve">    </v>
          </cell>
          <cell r="F1761" t="str">
            <v xml:space="preserve">   </v>
          </cell>
          <cell r="G1761">
            <v>4925338</v>
          </cell>
          <cell r="H1761">
            <v>-3631226.67</v>
          </cell>
          <cell r="I1761">
            <v>0</v>
          </cell>
          <cell r="J1761">
            <v>0</v>
          </cell>
          <cell r="K1761">
            <v>-3631226.67</v>
          </cell>
          <cell r="L1761">
            <v>0</v>
          </cell>
        </row>
        <row r="1762">
          <cell r="A1762">
            <v>5</v>
          </cell>
          <cell r="B1762">
            <v>9</v>
          </cell>
          <cell r="C1762">
            <v>253</v>
          </cell>
          <cell r="D1762">
            <v>38</v>
          </cell>
          <cell r="E1762" t="str">
            <v xml:space="preserve">    </v>
          </cell>
          <cell r="F1762" t="str">
            <v xml:space="preserve">   </v>
          </cell>
          <cell r="G1762">
            <v>5925338</v>
          </cell>
          <cell r="H1762">
            <v>-1894390.5</v>
          </cell>
          <cell r="I1762">
            <v>0</v>
          </cell>
          <cell r="J1762">
            <v>0</v>
          </cell>
          <cell r="K1762">
            <v>-1894390.5</v>
          </cell>
          <cell r="L1762">
            <v>0</v>
          </cell>
        </row>
        <row r="1763">
          <cell r="A1763">
            <v>3</v>
          </cell>
          <cell r="B1763">
            <v>9</v>
          </cell>
          <cell r="C1763">
            <v>253</v>
          </cell>
          <cell r="D1763">
            <v>85</v>
          </cell>
          <cell r="E1763" t="str">
            <v xml:space="preserve">    </v>
          </cell>
          <cell r="F1763" t="str">
            <v xml:space="preserve">   </v>
          </cell>
          <cell r="G1763">
            <v>3925385</v>
          </cell>
          <cell r="H1763">
            <v>-2549196</v>
          </cell>
          <cell r="I1763">
            <v>-2549196</v>
          </cell>
          <cell r="J1763">
            <v>0</v>
          </cell>
          <cell r="K1763">
            <v>0</v>
          </cell>
          <cell r="L1763">
            <v>0</v>
          </cell>
        </row>
        <row r="1764">
          <cell r="A1764">
            <v>4</v>
          </cell>
          <cell r="B1764">
            <v>9</v>
          </cell>
          <cell r="C1764">
            <v>253</v>
          </cell>
          <cell r="D1764">
            <v>85</v>
          </cell>
          <cell r="E1764" t="str">
            <v xml:space="preserve">    </v>
          </cell>
          <cell r="F1764" t="str">
            <v xml:space="preserve">   </v>
          </cell>
          <cell r="G1764">
            <v>4925385</v>
          </cell>
          <cell r="H1764">
            <v>-2647242</v>
          </cell>
          <cell r="I1764">
            <v>-2647242</v>
          </cell>
          <cell r="J1764">
            <v>0</v>
          </cell>
          <cell r="K1764">
            <v>0</v>
          </cell>
          <cell r="L1764">
            <v>0</v>
          </cell>
        </row>
        <row r="1765">
          <cell r="A1765">
            <v>5</v>
          </cell>
          <cell r="B1765">
            <v>9</v>
          </cell>
          <cell r="C1765">
            <v>253</v>
          </cell>
          <cell r="D1765">
            <v>85</v>
          </cell>
          <cell r="E1765" t="str">
            <v xml:space="preserve">    </v>
          </cell>
          <cell r="F1765" t="str">
            <v xml:space="preserve">   </v>
          </cell>
          <cell r="G1765">
            <v>5925385</v>
          </cell>
          <cell r="H1765">
            <v>-2557366.5</v>
          </cell>
          <cell r="I1765">
            <v>-2557366.5</v>
          </cell>
          <cell r="J1765">
            <v>0</v>
          </cell>
          <cell r="K1765">
            <v>0</v>
          </cell>
          <cell r="L1765">
            <v>0</v>
          </cell>
        </row>
        <row r="1766">
          <cell r="A1766">
            <v>3</v>
          </cell>
          <cell r="B1766">
            <v>9</v>
          </cell>
          <cell r="C1766">
            <v>253</v>
          </cell>
          <cell r="D1766">
            <v>86</v>
          </cell>
          <cell r="E1766" t="str">
            <v xml:space="preserve">    </v>
          </cell>
          <cell r="F1766" t="str">
            <v xml:space="preserve">   </v>
          </cell>
          <cell r="G1766">
            <v>3925386</v>
          </cell>
          <cell r="H1766">
            <v>-849732</v>
          </cell>
          <cell r="I1766">
            <v>-849732</v>
          </cell>
          <cell r="J1766">
            <v>0</v>
          </cell>
          <cell r="K1766">
            <v>0</v>
          </cell>
          <cell r="L1766">
            <v>0</v>
          </cell>
        </row>
        <row r="1767">
          <cell r="A1767">
            <v>4</v>
          </cell>
          <cell r="B1767">
            <v>9</v>
          </cell>
          <cell r="C1767">
            <v>253</v>
          </cell>
          <cell r="D1767">
            <v>86</v>
          </cell>
          <cell r="E1767" t="str">
            <v xml:space="preserve">    </v>
          </cell>
          <cell r="F1767" t="str">
            <v xml:space="preserve">   </v>
          </cell>
          <cell r="G1767">
            <v>4925386</v>
          </cell>
          <cell r="H1767">
            <v>-882413.96</v>
          </cell>
          <cell r="I1767">
            <v>-882413.96</v>
          </cell>
          <cell r="J1767">
            <v>0</v>
          </cell>
          <cell r="K1767">
            <v>0</v>
          </cell>
          <cell r="L1767">
            <v>0</v>
          </cell>
        </row>
        <row r="1768">
          <cell r="A1768">
            <v>5</v>
          </cell>
          <cell r="B1768">
            <v>9</v>
          </cell>
          <cell r="C1768">
            <v>253</v>
          </cell>
          <cell r="D1768">
            <v>86</v>
          </cell>
          <cell r="E1768" t="str">
            <v xml:space="preserve">    </v>
          </cell>
          <cell r="F1768" t="str">
            <v xml:space="preserve">   </v>
          </cell>
          <cell r="G1768">
            <v>5925386</v>
          </cell>
          <cell r="H1768">
            <v>-852455.5</v>
          </cell>
          <cell r="I1768">
            <v>-852455.5</v>
          </cell>
          <cell r="J1768">
            <v>0</v>
          </cell>
          <cell r="K1768">
            <v>0</v>
          </cell>
          <cell r="L1768">
            <v>0</v>
          </cell>
        </row>
        <row r="1769">
          <cell r="A1769">
            <v>3</v>
          </cell>
          <cell r="B1769">
            <v>9</v>
          </cell>
          <cell r="C1769">
            <v>254</v>
          </cell>
          <cell r="D1769">
            <v>17</v>
          </cell>
          <cell r="E1769" t="str">
            <v xml:space="preserve">    </v>
          </cell>
          <cell r="F1769" t="str">
            <v xml:space="preserve">   </v>
          </cell>
          <cell r="G1769">
            <v>3925417</v>
          </cell>
          <cell r="H1769">
            <v>-730489</v>
          </cell>
          <cell r="I1769">
            <v>-730489</v>
          </cell>
          <cell r="J1769">
            <v>0</v>
          </cell>
          <cell r="K1769">
            <v>0</v>
          </cell>
          <cell r="L1769">
            <v>0</v>
          </cell>
        </row>
        <row r="1770">
          <cell r="A1770">
            <v>4</v>
          </cell>
          <cell r="B1770">
            <v>9</v>
          </cell>
          <cell r="C1770">
            <v>254</v>
          </cell>
          <cell r="D1770">
            <v>17</v>
          </cell>
          <cell r="E1770" t="str">
            <v xml:space="preserve">    </v>
          </cell>
          <cell r="F1770" t="str">
            <v xml:space="preserve">   </v>
          </cell>
          <cell r="G1770">
            <v>4925417</v>
          </cell>
          <cell r="H1770">
            <v>-730488.96</v>
          </cell>
          <cell r="I1770">
            <v>-730488.96</v>
          </cell>
          <cell r="J1770">
            <v>0</v>
          </cell>
          <cell r="K1770">
            <v>0</v>
          </cell>
          <cell r="L1770">
            <v>0</v>
          </cell>
        </row>
        <row r="1771">
          <cell r="A1771">
            <v>5</v>
          </cell>
          <cell r="B1771">
            <v>9</v>
          </cell>
          <cell r="C1771">
            <v>254</v>
          </cell>
          <cell r="D1771">
            <v>17</v>
          </cell>
          <cell r="E1771" t="str">
            <v xml:space="preserve">    </v>
          </cell>
          <cell r="F1771" t="str">
            <v xml:space="preserve">   </v>
          </cell>
          <cell r="G1771">
            <v>5925417</v>
          </cell>
          <cell r="H1771">
            <v>-730489</v>
          </cell>
          <cell r="I1771">
            <v>-730489</v>
          </cell>
          <cell r="J1771">
            <v>0</v>
          </cell>
          <cell r="K1771">
            <v>0</v>
          </cell>
          <cell r="L1771">
            <v>0</v>
          </cell>
        </row>
        <row r="1772">
          <cell r="A1772">
            <v>3</v>
          </cell>
          <cell r="B1772">
            <v>9</v>
          </cell>
          <cell r="C1772">
            <v>254</v>
          </cell>
          <cell r="D1772">
            <v>18</v>
          </cell>
          <cell r="E1772" t="str">
            <v xml:space="preserve">    </v>
          </cell>
          <cell r="F1772" t="str">
            <v xml:space="preserve">   </v>
          </cell>
          <cell r="G1772">
            <v>3925418</v>
          </cell>
          <cell r="H1772">
            <v>-626272</v>
          </cell>
          <cell r="I1772">
            <v>-626272</v>
          </cell>
          <cell r="J1772">
            <v>0</v>
          </cell>
          <cell r="K1772">
            <v>0</v>
          </cell>
          <cell r="L1772">
            <v>0</v>
          </cell>
        </row>
        <row r="1773">
          <cell r="A1773">
            <v>4</v>
          </cell>
          <cell r="B1773">
            <v>9</v>
          </cell>
          <cell r="C1773">
            <v>254</v>
          </cell>
          <cell r="D1773">
            <v>18</v>
          </cell>
          <cell r="E1773" t="str">
            <v xml:space="preserve">    </v>
          </cell>
          <cell r="F1773" t="str">
            <v xml:space="preserve">   </v>
          </cell>
          <cell r="G1773">
            <v>4925418</v>
          </cell>
          <cell r="H1773">
            <v>-626271.94999999995</v>
          </cell>
          <cell r="I1773">
            <v>-626271.94999999995</v>
          </cell>
          <cell r="J1773">
            <v>0</v>
          </cell>
          <cell r="K1773">
            <v>0</v>
          </cell>
          <cell r="L1773">
            <v>0</v>
          </cell>
        </row>
        <row r="1774">
          <cell r="A1774">
            <v>5</v>
          </cell>
          <cell r="B1774">
            <v>9</v>
          </cell>
          <cell r="C1774">
            <v>254</v>
          </cell>
          <cell r="D1774">
            <v>18</v>
          </cell>
          <cell r="E1774" t="str">
            <v xml:space="preserve">    </v>
          </cell>
          <cell r="F1774" t="str">
            <v xml:space="preserve">   </v>
          </cell>
          <cell r="G1774">
            <v>5925418</v>
          </cell>
          <cell r="H1774">
            <v>-626272</v>
          </cell>
          <cell r="I1774">
            <v>-626272</v>
          </cell>
          <cell r="J1774">
            <v>0</v>
          </cell>
          <cell r="K1774">
            <v>0</v>
          </cell>
          <cell r="L1774">
            <v>0</v>
          </cell>
        </row>
        <row r="1775">
          <cell r="A1775">
            <v>3</v>
          </cell>
          <cell r="B1775">
            <v>9</v>
          </cell>
          <cell r="C1775">
            <v>254</v>
          </cell>
          <cell r="D1775">
            <v>19</v>
          </cell>
          <cell r="E1775" t="str">
            <v xml:space="preserve">    </v>
          </cell>
          <cell r="F1775" t="str">
            <v xml:space="preserve">   </v>
          </cell>
          <cell r="G1775">
            <v>3925419</v>
          </cell>
          <cell r="H1775">
            <v>-459674</v>
          </cell>
          <cell r="I1775">
            <v>-459674</v>
          </cell>
          <cell r="J1775">
            <v>0</v>
          </cell>
          <cell r="K1775">
            <v>0</v>
          </cell>
          <cell r="L1775">
            <v>0</v>
          </cell>
        </row>
        <row r="1776">
          <cell r="A1776">
            <v>4</v>
          </cell>
          <cell r="B1776">
            <v>9</v>
          </cell>
          <cell r="C1776">
            <v>254</v>
          </cell>
          <cell r="D1776">
            <v>19</v>
          </cell>
          <cell r="E1776" t="str">
            <v xml:space="preserve">    </v>
          </cell>
          <cell r="F1776" t="str">
            <v xml:space="preserve">   </v>
          </cell>
          <cell r="G1776">
            <v>4925419</v>
          </cell>
          <cell r="H1776">
            <v>-459673.92</v>
          </cell>
          <cell r="I1776">
            <v>-459673.92</v>
          </cell>
          <cell r="J1776">
            <v>0</v>
          </cell>
          <cell r="K1776">
            <v>0</v>
          </cell>
          <cell r="L1776">
            <v>0</v>
          </cell>
        </row>
        <row r="1777">
          <cell r="A1777">
            <v>5</v>
          </cell>
          <cell r="B1777">
            <v>9</v>
          </cell>
          <cell r="C1777">
            <v>254</v>
          </cell>
          <cell r="D1777">
            <v>19</v>
          </cell>
          <cell r="E1777" t="str">
            <v xml:space="preserve">    </v>
          </cell>
          <cell r="F1777" t="str">
            <v xml:space="preserve">   </v>
          </cell>
          <cell r="G1777">
            <v>5925419</v>
          </cell>
          <cell r="H1777">
            <v>-459674</v>
          </cell>
          <cell r="I1777">
            <v>-459674</v>
          </cell>
          <cell r="J1777">
            <v>0</v>
          </cell>
          <cell r="K1777">
            <v>0</v>
          </cell>
          <cell r="L1777">
            <v>0</v>
          </cell>
        </row>
        <row r="1778">
          <cell r="A1778">
            <v>3</v>
          </cell>
          <cell r="B1778">
            <v>9</v>
          </cell>
          <cell r="C1778">
            <v>282</v>
          </cell>
          <cell r="D1778">
            <v>10</v>
          </cell>
          <cell r="E1778" t="str">
            <v xml:space="preserve">    </v>
          </cell>
          <cell r="F1778" t="str">
            <v xml:space="preserve">   </v>
          </cell>
          <cell r="G1778">
            <v>3928210</v>
          </cell>
          <cell r="H1778">
            <v>-159276</v>
          </cell>
          <cell r="I1778">
            <v>0</v>
          </cell>
          <cell r="J1778">
            <v>50569.47</v>
          </cell>
          <cell r="K1778">
            <v>-209845.47</v>
          </cell>
          <cell r="L1778">
            <v>0</v>
          </cell>
        </row>
        <row r="1779">
          <cell r="A1779">
            <v>4</v>
          </cell>
          <cell r="B1779">
            <v>9</v>
          </cell>
          <cell r="C1779">
            <v>282</v>
          </cell>
          <cell r="D1779">
            <v>10</v>
          </cell>
          <cell r="E1779" t="str">
            <v xml:space="preserve">    </v>
          </cell>
          <cell r="F1779" t="str">
            <v xml:space="preserve">   </v>
          </cell>
          <cell r="G1779">
            <v>4928210</v>
          </cell>
          <cell r="H1779">
            <v>-238913.84</v>
          </cell>
          <cell r="I1779">
            <v>0</v>
          </cell>
          <cell r="J1779">
            <v>50569.440000000002</v>
          </cell>
          <cell r="K1779">
            <v>-289483.40000000002</v>
          </cell>
          <cell r="L1779">
            <v>0</v>
          </cell>
        </row>
        <row r="1780">
          <cell r="A1780">
            <v>5</v>
          </cell>
          <cell r="B1780">
            <v>9</v>
          </cell>
          <cell r="C1780">
            <v>282</v>
          </cell>
          <cell r="D1780">
            <v>10</v>
          </cell>
          <cell r="E1780" t="str">
            <v xml:space="preserve">    </v>
          </cell>
          <cell r="F1780" t="str">
            <v xml:space="preserve">   </v>
          </cell>
          <cell r="G1780">
            <v>5928210</v>
          </cell>
          <cell r="H1780">
            <v>-165912.49</v>
          </cell>
          <cell r="I1780">
            <v>0</v>
          </cell>
          <cell r="J1780">
            <v>50569.46</v>
          </cell>
          <cell r="K1780">
            <v>-216481.96</v>
          </cell>
          <cell r="L1780">
            <v>0</v>
          </cell>
        </row>
        <row r="1781">
          <cell r="A1781">
            <v>3</v>
          </cell>
          <cell r="B1781">
            <v>9</v>
          </cell>
          <cell r="C1781">
            <v>282</v>
          </cell>
          <cell r="D1781">
            <v>40</v>
          </cell>
          <cell r="E1781" t="str">
            <v xml:space="preserve">    </v>
          </cell>
          <cell r="F1781" t="str">
            <v xml:space="preserve">   </v>
          </cell>
          <cell r="G1781">
            <v>3928240</v>
          </cell>
          <cell r="H1781">
            <v>-1777462.46</v>
          </cell>
          <cell r="I1781">
            <v>-1777462.46</v>
          </cell>
          <cell r="J1781">
            <v>0</v>
          </cell>
          <cell r="K1781">
            <v>0</v>
          </cell>
          <cell r="L1781">
            <v>0</v>
          </cell>
        </row>
        <row r="1782">
          <cell r="A1782">
            <v>4</v>
          </cell>
          <cell r="B1782">
            <v>9</v>
          </cell>
          <cell r="C1782">
            <v>282</v>
          </cell>
          <cell r="D1782">
            <v>40</v>
          </cell>
          <cell r="E1782" t="str">
            <v xml:space="preserve">    </v>
          </cell>
          <cell r="F1782" t="str">
            <v xml:space="preserve">   </v>
          </cell>
          <cell r="G1782">
            <v>4928240</v>
          </cell>
          <cell r="H1782">
            <v>-1576526.56</v>
          </cell>
          <cell r="I1782">
            <v>-1576526.56</v>
          </cell>
          <cell r="J1782">
            <v>0</v>
          </cell>
          <cell r="K1782">
            <v>0</v>
          </cell>
          <cell r="L1782">
            <v>0</v>
          </cell>
        </row>
        <row r="1783">
          <cell r="A1783">
            <v>5</v>
          </cell>
          <cell r="B1783">
            <v>9</v>
          </cell>
          <cell r="C1783">
            <v>282</v>
          </cell>
          <cell r="D1783">
            <v>40</v>
          </cell>
          <cell r="E1783" t="str">
            <v xml:space="preserve">    </v>
          </cell>
          <cell r="F1783" t="str">
            <v xml:space="preserve">   </v>
          </cell>
          <cell r="G1783">
            <v>5928240</v>
          </cell>
          <cell r="H1783">
            <v>-1764117.46</v>
          </cell>
          <cell r="I1783">
            <v>-1764117.46</v>
          </cell>
          <cell r="J1783">
            <v>0</v>
          </cell>
          <cell r="K1783">
            <v>0</v>
          </cell>
          <cell r="L1783">
            <v>0</v>
          </cell>
        </row>
        <row r="1784">
          <cell r="A1784">
            <v>3</v>
          </cell>
          <cell r="B1784">
            <v>9</v>
          </cell>
          <cell r="C1784">
            <v>282</v>
          </cell>
          <cell r="D1784">
            <v>41</v>
          </cell>
          <cell r="E1784" t="str">
            <v xml:space="preserve">    </v>
          </cell>
          <cell r="F1784" t="str">
            <v xml:space="preserve">   </v>
          </cell>
          <cell r="G1784">
            <v>3928241</v>
          </cell>
          <cell r="H1784">
            <v>-430395</v>
          </cell>
          <cell r="I1784">
            <v>-430395</v>
          </cell>
          <cell r="J1784">
            <v>0</v>
          </cell>
          <cell r="K1784">
            <v>0</v>
          </cell>
          <cell r="L1784">
            <v>0</v>
          </cell>
        </row>
        <row r="1785">
          <cell r="A1785">
            <v>4</v>
          </cell>
          <cell r="B1785">
            <v>9</v>
          </cell>
          <cell r="C1785">
            <v>282</v>
          </cell>
          <cell r="D1785">
            <v>41</v>
          </cell>
          <cell r="E1785" t="str">
            <v xml:space="preserve">    </v>
          </cell>
          <cell r="F1785" t="str">
            <v xml:space="preserve">   </v>
          </cell>
          <cell r="G1785">
            <v>4928241</v>
          </cell>
          <cell r="H1785">
            <v>-376458.23999999999</v>
          </cell>
          <cell r="I1785">
            <v>-376458.23999999999</v>
          </cell>
          <cell r="J1785">
            <v>0</v>
          </cell>
          <cell r="K1785">
            <v>0</v>
          </cell>
          <cell r="L1785">
            <v>0</v>
          </cell>
        </row>
        <row r="1786">
          <cell r="A1786">
            <v>5</v>
          </cell>
          <cell r="B1786">
            <v>9</v>
          </cell>
          <cell r="C1786">
            <v>282</v>
          </cell>
          <cell r="D1786">
            <v>41</v>
          </cell>
          <cell r="E1786" t="str">
            <v xml:space="preserve">    </v>
          </cell>
          <cell r="F1786" t="str">
            <v xml:space="preserve">   </v>
          </cell>
          <cell r="G1786">
            <v>5928241</v>
          </cell>
          <cell r="H1786">
            <v>-426285</v>
          </cell>
          <cell r="I1786">
            <v>-426285</v>
          </cell>
          <cell r="J1786">
            <v>0</v>
          </cell>
          <cell r="K1786">
            <v>0</v>
          </cell>
          <cell r="L1786">
            <v>0</v>
          </cell>
        </row>
        <row r="1787">
          <cell r="A1787">
            <v>3</v>
          </cell>
          <cell r="B1787">
            <v>9</v>
          </cell>
          <cell r="C1787">
            <v>282</v>
          </cell>
          <cell r="D1787">
            <v>42</v>
          </cell>
          <cell r="E1787" t="str">
            <v xml:space="preserve">    </v>
          </cell>
          <cell r="F1787" t="str">
            <v xml:space="preserve">   </v>
          </cell>
          <cell r="G1787">
            <v>3928242</v>
          </cell>
          <cell r="H1787">
            <v>-189332</v>
          </cell>
          <cell r="I1787">
            <v>-189332</v>
          </cell>
          <cell r="J1787">
            <v>0</v>
          </cell>
          <cell r="K1787">
            <v>0</v>
          </cell>
          <cell r="L1787">
            <v>0</v>
          </cell>
        </row>
        <row r="1788">
          <cell r="A1788">
            <v>4</v>
          </cell>
          <cell r="B1788">
            <v>9</v>
          </cell>
          <cell r="C1788">
            <v>282</v>
          </cell>
          <cell r="D1788">
            <v>42</v>
          </cell>
          <cell r="E1788" t="str">
            <v xml:space="preserve">    </v>
          </cell>
          <cell r="F1788" t="str">
            <v xml:space="preserve">   </v>
          </cell>
          <cell r="G1788">
            <v>4928242</v>
          </cell>
          <cell r="H1788">
            <v>-174690.28</v>
          </cell>
          <cell r="I1788">
            <v>-174690.28</v>
          </cell>
          <cell r="J1788">
            <v>0</v>
          </cell>
          <cell r="K1788">
            <v>0</v>
          </cell>
          <cell r="L1788">
            <v>0</v>
          </cell>
        </row>
        <row r="1789">
          <cell r="A1789">
            <v>5</v>
          </cell>
          <cell r="B1789">
            <v>9</v>
          </cell>
          <cell r="C1789">
            <v>282</v>
          </cell>
          <cell r="D1789">
            <v>42</v>
          </cell>
          <cell r="E1789" t="str">
            <v xml:space="preserve">    </v>
          </cell>
          <cell r="F1789" t="str">
            <v xml:space="preserve">   </v>
          </cell>
          <cell r="G1789">
            <v>5928242</v>
          </cell>
          <cell r="H1789">
            <v>-190607</v>
          </cell>
          <cell r="I1789">
            <v>-190607</v>
          </cell>
          <cell r="J1789">
            <v>0</v>
          </cell>
          <cell r="K1789">
            <v>0</v>
          </cell>
          <cell r="L1789">
            <v>0</v>
          </cell>
        </row>
        <row r="1790">
          <cell r="A1790">
            <v>3</v>
          </cell>
          <cell r="B1790">
            <v>9</v>
          </cell>
          <cell r="C1790">
            <v>282</v>
          </cell>
          <cell r="D1790">
            <v>47</v>
          </cell>
          <cell r="E1790" t="str">
            <v xml:space="preserve">    </v>
          </cell>
          <cell r="F1790" t="str">
            <v xml:space="preserve">   </v>
          </cell>
          <cell r="G1790">
            <v>3928247</v>
          </cell>
          <cell r="H1790">
            <v>-448853</v>
          </cell>
          <cell r="I1790">
            <v>-448853</v>
          </cell>
          <cell r="J1790">
            <v>0</v>
          </cell>
          <cell r="K1790">
            <v>0</v>
          </cell>
          <cell r="L1790">
            <v>0</v>
          </cell>
        </row>
        <row r="1791">
          <cell r="A1791">
            <v>4</v>
          </cell>
          <cell r="B1791">
            <v>9</v>
          </cell>
          <cell r="C1791">
            <v>282</v>
          </cell>
          <cell r="D1791">
            <v>47</v>
          </cell>
          <cell r="E1791" t="str">
            <v xml:space="preserve">    </v>
          </cell>
          <cell r="F1791" t="str">
            <v xml:space="preserve">   </v>
          </cell>
          <cell r="G1791">
            <v>4928247</v>
          </cell>
          <cell r="H1791">
            <v>-339251.41</v>
          </cell>
          <cell r="I1791">
            <v>-339251.41</v>
          </cell>
          <cell r="J1791">
            <v>0</v>
          </cell>
          <cell r="K1791">
            <v>0</v>
          </cell>
          <cell r="L1791">
            <v>0</v>
          </cell>
        </row>
        <row r="1792">
          <cell r="A1792">
            <v>5</v>
          </cell>
          <cell r="B1792">
            <v>9</v>
          </cell>
          <cell r="C1792">
            <v>282</v>
          </cell>
          <cell r="D1792">
            <v>47</v>
          </cell>
          <cell r="E1792" t="str">
            <v xml:space="preserve">    </v>
          </cell>
          <cell r="F1792" t="str">
            <v xml:space="preserve">   </v>
          </cell>
          <cell r="G1792">
            <v>5928247</v>
          </cell>
          <cell r="H1792">
            <v>-425531</v>
          </cell>
          <cell r="I1792">
            <v>-425531</v>
          </cell>
          <cell r="J1792">
            <v>0</v>
          </cell>
          <cell r="K1792">
            <v>0</v>
          </cell>
          <cell r="L1792">
            <v>0</v>
          </cell>
        </row>
        <row r="1793">
          <cell r="A1793">
            <v>3</v>
          </cell>
          <cell r="B1793">
            <v>9</v>
          </cell>
          <cell r="C1793">
            <v>282</v>
          </cell>
          <cell r="D1793">
            <v>48</v>
          </cell>
          <cell r="E1793" t="str">
            <v xml:space="preserve">    </v>
          </cell>
          <cell r="F1793" t="str">
            <v xml:space="preserve">   </v>
          </cell>
          <cell r="G1793">
            <v>3928248</v>
          </cell>
          <cell r="H1793">
            <v>-577</v>
          </cell>
          <cell r="I1793">
            <v>-577</v>
          </cell>
          <cell r="J1793">
            <v>0</v>
          </cell>
          <cell r="K1793">
            <v>0</v>
          </cell>
          <cell r="L1793">
            <v>0</v>
          </cell>
        </row>
        <row r="1794">
          <cell r="A1794">
            <v>4</v>
          </cell>
          <cell r="B1794">
            <v>9</v>
          </cell>
          <cell r="C1794">
            <v>282</v>
          </cell>
          <cell r="D1794">
            <v>48</v>
          </cell>
          <cell r="E1794" t="str">
            <v xml:space="preserve">    </v>
          </cell>
          <cell r="F1794" t="str">
            <v xml:space="preserve">   </v>
          </cell>
          <cell r="G1794">
            <v>4928248</v>
          </cell>
          <cell r="H1794">
            <v>1230.71</v>
          </cell>
          <cell r="I1794">
            <v>1230.71</v>
          </cell>
          <cell r="J1794">
            <v>0</v>
          </cell>
          <cell r="K1794">
            <v>0</v>
          </cell>
          <cell r="L1794">
            <v>0</v>
          </cell>
        </row>
        <row r="1795">
          <cell r="A1795">
            <v>5</v>
          </cell>
          <cell r="B1795">
            <v>9</v>
          </cell>
          <cell r="C1795">
            <v>282</v>
          </cell>
          <cell r="D1795">
            <v>48</v>
          </cell>
          <cell r="E1795" t="str">
            <v xml:space="preserve">    </v>
          </cell>
          <cell r="F1795" t="str">
            <v xml:space="preserve">   </v>
          </cell>
          <cell r="G1795">
            <v>5928248</v>
          </cell>
          <cell r="H1795">
            <v>-88.5</v>
          </cell>
          <cell r="I1795">
            <v>-88.5</v>
          </cell>
          <cell r="J1795">
            <v>0</v>
          </cell>
          <cell r="K1795">
            <v>0</v>
          </cell>
          <cell r="L1795">
            <v>0</v>
          </cell>
        </row>
        <row r="1796">
          <cell r="A1796">
            <v>3</v>
          </cell>
          <cell r="B1796">
            <v>9</v>
          </cell>
          <cell r="C1796">
            <v>282</v>
          </cell>
          <cell r="D1796">
            <v>49</v>
          </cell>
          <cell r="E1796" t="str">
            <v xml:space="preserve">    </v>
          </cell>
          <cell r="F1796" t="str">
            <v xml:space="preserve">   </v>
          </cell>
          <cell r="G1796">
            <v>3928249</v>
          </cell>
          <cell r="H1796">
            <v>-68614</v>
          </cell>
          <cell r="I1796">
            <v>-68614</v>
          </cell>
          <cell r="J1796">
            <v>0</v>
          </cell>
          <cell r="K1796">
            <v>0</v>
          </cell>
          <cell r="L1796">
            <v>0</v>
          </cell>
        </row>
        <row r="1797">
          <cell r="A1797">
            <v>4</v>
          </cell>
          <cell r="B1797">
            <v>9</v>
          </cell>
          <cell r="C1797">
            <v>282</v>
          </cell>
          <cell r="D1797">
            <v>49</v>
          </cell>
          <cell r="E1797" t="str">
            <v xml:space="preserve">    </v>
          </cell>
          <cell r="F1797" t="str">
            <v xml:space="preserve">   </v>
          </cell>
          <cell r="G1797">
            <v>4928249</v>
          </cell>
          <cell r="H1797">
            <v>-27759.07</v>
          </cell>
          <cell r="I1797">
            <v>-27759.07</v>
          </cell>
          <cell r="J1797">
            <v>0</v>
          </cell>
          <cell r="K1797">
            <v>0</v>
          </cell>
          <cell r="L1797">
            <v>0</v>
          </cell>
        </row>
        <row r="1798">
          <cell r="A1798">
            <v>5</v>
          </cell>
          <cell r="B1798">
            <v>9</v>
          </cell>
          <cell r="C1798">
            <v>282</v>
          </cell>
          <cell r="D1798">
            <v>49</v>
          </cell>
          <cell r="E1798" t="str">
            <v xml:space="preserve">    </v>
          </cell>
          <cell r="F1798" t="str">
            <v xml:space="preserve">   </v>
          </cell>
          <cell r="G1798">
            <v>5928249</v>
          </cell>
          <cell r="H1798">
            <v>-58782</v>
          </cell>
          <cell r="I1798">
            <v>-58782</v>
          </cell>
          <cell r="J1798">
            <v>0</v>
          </cell>
          <cell r="K1798">
            <v>0</v>
          </cell>
          <cell r="L1798">
            <v>0</v>
          </cell>
        </row>
        <row r="1799">
          <cell r="A1799">
            <v>3</v>
          </cell>
          <cell r="B1799">
            <v>9</v>
          </cell>
          <cell r="C1799">
            <v>282</v>
          </cell>
          <cell r="D1799">
            <v>68</v>
          </cell>
          <cell r="E1799" t="str">
            <v xml:space="preserve">    </v>
          </cell>
          <cell r="F1799" t="str">
            <v xml:space="preserve">   </v>
          </cell>
          <cell r="G1799">
            <v>3928268</v>
          </cell>
          <cell r="H1799">
            <v>-2085826.71</v>
          </cell>
          <cell r="I1799">
            <v>0</v>
          </cell>
          <cell r="J1799">
            <v>-2085826.71</v>
          </cell>
          <cell r="K1799">
            <v>0</v>
          </cell>
          <cell r="L1799">
            <v>0</v>
          </cell>
        </row>
        <row r="1800">
          <cell r="A1800">
            <v>4</v>
          </cell>
          <cell r="B1800">
            <v>9</v>
          </cell>
          <cell r="C1800">
            <v>282</v>
          </cell>
          <cell r="D1800">
            <v>68</v>
          </cell>
          <cell r="E1800" t="str">
            <v xml:space="preserve">    </v>
          </cell>
          <cell r="F1800" t="str">
            <v xml:space="preserve">   </v>
          </cell>
          <cell r="G1800">
            <v>4928268</v>
          </cell>
          <cell r="H1800">
            <v>-2145352.67</v>
          </cell>
          <cell r="I1800">
            <v>0</v>
          </cell>
          <cell r="J1800">
            <v>-2145352.67</v>
          </cell>
          <cell r="K1800">
            <v>0</v>
          </cell>
          <cell r="L1800">
            <v>0</v>
          </cell>
        </row>
        <row r="1801">
          <cell r="A1801">
            <v>5</v>
          </cell>
          <cell r="B1801">
            <v>9</v>
          </cell>
          <cell r="C1801">
            <v>282</v>
          </cell>
          <cell r="D1801">
            <v>68</v>
          </cell>
          <cell r="E1801" t="str">
            <v xml:space="preserve">    </v>
          </cell>
          <cell r="F1801" t="str">
            <v xml:space="preserve">   </v>
          </cell>
          <cell r="G1801">
            <v>5928268</v>
          </cell>
          <cell r="H1801">
            <v>-2090787.2</v>
          </cell>
          <cell r="I1801">
            <v>0</v>
          </cell>
          <cell r="J1801">
            <v>-2090787.2</v>
          </cell>
          <cell r="K1801">
            <v>0</v>
          </cell>
          <cell r="L1801">
            <v>0</v>
          </cell>
        </row>
        <row r="1802">
          <cell r="A1802">
            <v>3</v>
          </cell>
          <cell r="B1802">
            <v>9</v>
          </cell>
          <cell r="C1802">
            <v>282</v>
          </cell>
          <cell r="D1802">
            <v>78</v>
          </cell>
          <cell r="E1802" t="str">
            <v xml:space="preserve">    </v>
          </cell>
          <cell r="F1802" t="str">
            <v xml:space="preserve">   </v>
          </cell>
          <cell r="G1802">
            <v>3928278</v>
          </cell>
          <cell r="H1802">
            <v>-381303</v>
          </cell>
          <cell r="I1802">
            <v>0</v>
          </cell>
          <cell r="J1802">
            <v>0</v>
          </cell>
          <cell r="K1802">
            <v>-381303</v>
          </cell>
          <cell r="L1802">
            <v>0</v>
          </cell>
        </row>
        <row r="1803">
          <cell r="A1803">
            <v>4</v>
          </cell>
          <cell r="B1803">
            <v>9</v>
          </cell>
          <cell r="C1803">
            <v>282</v>
          </cell>
          <cell r="D1803">
            <v>78</v>
          </cell>
          <cell r="E1803" t="str">
            <v xml:space="preserve">    </v>
          </cell>
          <cell r="F1803" t="str">
            <v xml:space="preserve">   </v>
          </cell>
          <cell r="G1803">
            <v>4928278</v>
          </cell>
          <cell r="H1803">
            <v>-393143.25</v>
          </cell>
          <cell r="I1803">
            <v>0</v>
          </cell>
          <cell r="J1803">
            <v>0</v>
          </cell>
          <cell r="K1803">
            <v>-393143.25</v>
          </cell>
          <cell r="L1803">
            <v>0</v>
          </cell>
        </row>
        <row r="1804">
          <cell r="A1804">
            <v>5</v>
          </cell>
          <cell r="B1804">
            <v>9</v>
          </cell>
          <cell r="C1804">
            <v>282</v>
          </cell>
          <cell r="D1804">
            <v>78</v>
          </cell>
          <cell r="E1804" t="str">
            <v xml:space="preserve">    </v>
          </cell>
          <cell r="F1804" t="str">
            <v xml:space="preserve">   </v>
          </cell>
          <cell r="G1804">
            <v>5928278</v>
          </cell>
          <cell r="H1804">
            <v>-382289</v>
          </cell>
          <cell r="I1804">
            <v>0</v>
          </cell>
          <cell r="J1804">
            <v>0</v>
          </cell>
          <cell r="K1804">
            <v>-382289</v>
          </cell>
          <cell r="L1804">
            <v>0</v>
          </cell>
        </row>
        <row r="1805">
          <cell r="A1805">
            <v>3</v>
          </cell>
          <cell r="B1805">
            <v>9</v>
          </cell>
          <cell r="C1805">
            <v>282</v>
          </cell>
          <cell r="D1805">
            <v>90</v>
          </cell>
          <cell r="E1805" t="str">
            <v xml:space="preserve">    </v>
          </cell>
          <cell r="F1805" t="str">
            <v xml:space="preserve">   </v>
          </cell>
          <cell r="G1805">
            <v>3928290</v>
          </cell>
          <cell r="H1805">
            <v>-148989930.13999999</v>
          </cell>
          <cell r="I1805">
            <v>-148989930.13999999</v>
          </cell>
          <cell r="J1805">
            <v>0</v>
          </cell>
          <cell r="K1805">
            <v>0</v>
          </cell>
          <cell r="L1805">
            <v>0</v>
          </cell>
        </row>
        <row r="1806">
          <cell r="A1806">
            <v>4</v>
          </cell>
          <cell r="B1806">
            <v>9</v>
          </cell>
          <cell r="C1806">
            <v>282</v>
          </cell>
          <cell r="D1806">
            <v>90</v>
          </cell>
          <cell r="E1806" t="str">
            <v xml:space="preserve">    </v>
          </cell>
          <cell r="F1806" t="str">
            <v xml:space="preserve">   </v>
          </cell>
          <cell r="G1806">
            <v>4928290</v>
          </cell>
          <cell r="H1806">
            <v>-146157324.69999999</v>
          </cell>
          <cell r="I1806">
            <v>-146157324.69999999</v>
          </cell>
          <cell r="J1806">
            <v>0</v>
          </cell>
          <cell r="K1806">
            <v>0</v>
          </cell>
          <cell r="L1806">
            <v>0</v>
          </cell>
        </row>
        <row r="1807">
          <cell r="A1807">
            <v>5</v>
          </cell>
          <cell r="B1807">
            <v>9</v>
          </cell>
          <cell r="C1807">
            <v>282</v>
          </cell>
          <cell r="D1807">
            <v>90</v>
          </cell>
          <cell r="E1807" t="str">
            <v xml:space="preserve">    </v>
          </cell>
          <cell r="F1807" t="str">
            <v xml:space="preserve">   </v>
          </cell>
          <cell r="G1807">
            <v>5928290</v>
          </cell>
          <cell r="H1807">
            <v>-148712028.65000001</v>
          </cell>
          <cell r="I1807">
            <v>-148712028.65000001</v>
          </cell>
          <cell r="J1807">
            <v>0</v>
          </cell>
          <cell r="K1807">
            <v>0</v>
          </cell>
          <cell r="L1807">
            <v>0</v>
          </cell>
        </row>
        <row r="1808">
          <cell r="A1808">
            <v>3</v>
          </cell>
          <cell r="B1808">
            <v>9</v>
          </cell>
          <cell r="C1808">
            <v>282</v>
          </cell>
          <cell r="D1808">
            <v>91</v>
          </cell>
          <cell r="E1808" t="str">
            <v xml:space="preserve">    </v>
          </cell>
          <cell r="F1808" t="str">
            <v xml:space="preserve">   </v>
          </cell>
          <cell r="G1808">
            <v>3928291</v>
          </cell>
          <cell r="H1808">
            <v>-14205602.529999999</v>
          </cell>
          <cell r="I1808">
            <v>-14205602.529999999</v>
          </cell>
          <cell r="J1808">
            <v>0</v>
          </cell>
          <cell r="K1808">
            <v>0</v>
          </cell>
          <cell r="L1808">
            <v>0</v>
          </cell>
        </row>
        <row r="1809">
          <cell r="A1809">
            <v>4</v>
          </cell>
          <cell r="B1809">
            <v>9</v>
          </cell>
          <cell r="C1809">
            <v>282</v>
          </cell>
          <cell r="D1809">
            <v>91</v>
          </cell>
          <cell r="E1809" t="str">
            <v xml:space="preserve">    </v>
          </cell>
          <cell r="F1809" t="str">
            <v xml:space="preserve">   </v>
          </cell>
          <cell r="G1809">
            <v>4928291</v>
          </cell>
          <cell r="H1809">
            <v>-13216097.970000001</v>
          </cell>
          <cell r="I1809">
            <v>-13216097.970000001</v>
          </cell>
          <cell r="J1809">
            <v>0</v>
          </cell>
          <cell r="K1809">
            <v>0</v>
          </cell>
          <cell r="L1809">
            <v>0</v>
          </cell>
        </row>
        <row r="1810">
          <cell r="A1810">
            <v>5</v>
          </cell>
          <cell r="B1810">
            <v>9</v>
          </cell>
          <cell r="C1810">
            <v>282</v>
          </cell>
          <cell r="D1810">
            <v>91</v>
          </cell>
          <cell r="E1810" t="str">
            <v xml:space="preserve">    </v>
          </cell>
          <cell r="F1810" t="str">
            <v xml:space="preserve">   </v>
          </cell>
          <cell r="G1810">
            <v>5928291</v>
          </cell>
          <cell r="H1810">
            <v>-14127449.02</v>
          </cell>
          <cell r="I1810">
            <v>-14127449.02</v>
          </cell>
          <cell r="J1810">
            <v>0</v>
          </cell>
          <cell r="K1810">
            <v>0</v>
          </cell>
          <cell r="L1810">
            <v>0</v>
          </cell>
        </row>
        <row r="1811">
          <cell r="A1811">
            <v>3</v>
          </cell>
          <cell r="B1811">
            <v>9</v>
          </cell>
          <cell r="C1811">
            <v>282</v>
          </cell>
          <cell r="D1811">
            <v>92</v>
          </cell>
          <cell r="E1811" t="str">
            <v xml:space="preserve">    </v>
          </cell>
          <cell r="F1811" t="str">
            <v xml:space="preserve">   </v>
          </cell>
          <cell r="G1811">
            <v>3928292</v>
          </cell>
          <cell r="H1811">
            <v>-5788992.2800000003</v>
          </cell>
          <cell r="I1811">
            <v>-5788992.2800000003</v>
          </cell>
          <cell r="J1811">
            <v>0</v>
          </cell>
          <cell r="K1811">
            <v>0</v>
          </cell>
          <cell r="L1811">
            <v>0</v>
          </cell>
        </row>
        <row r="1812">
          <cell r="A1812">
            <v>4</v>
          </cell>
          <cell r="B1812">
            <v>9</v>
          </cell>
          <cell r="C1812">
            <v>282</v>
          </cell>
          <cell r="D1812">
            <v>92</v>
          </cell>
          <cell r="E1812" t="str">
            <v xml:space="preserve">    </v>
          </cell>
          <cell r="F1812" t="str">
            <v xml:space="preserve">   </v>
          </cell>
          <cell r="G1812">
            <v>4928292</v>
          </cell>
          <cell r="H1812">
            <v>-5177698.07</v>
          </cell>
          <cell r="I1812">
            <v>-5177698.07</v>
          </cell>
          <cell r="J1812">
            <v>0</v>
          </cell>
          <cell r="K1812">
            <v>0</v>
          </cell>
          <cell r="L1812">
            <v>0</v>
          </cell>
        </row>
        <row r="1813">
          <cell r="A1813">
            <v>5</v>
          </cell>
          <cell r="B1813">
            <v>9</v>
          </cell>
          <cell r="C1813">
            <v>282</v>
          </cell>
          <cell r="D1813">
            <v>92</v>
          </cell>
          <cell r="E1813" t="str">
            <v xml:space="preserve">    </v>
          </cell>
          <cell r="F1813" t="str">
            <v xml:space="preserve">   </v>
          </cell>
          <cell r="G1813">
            <v>5928292</v>
          </cell>
          <cell r="H1813">
            <v>-5732697.2800000003</v>
          </cell>
          <cell r="I1813">
            <v>-5732697.2800000003</v>
          </cell>
          <cell r="J1813">
            <v>0</v>
          </cell>
          <cell r="K1813">
            <v>0</v>
          </cell>
          <cell r="L1813">
            <v>0</v>
          </cell>
        </row>
        <row r="1814">
          <cell r="A1814">
            <v>3</v>
          </cell>
          <cell r="B1814">
            <v>9</v>
          </cell>
          <cell r="C1814">
            <v>282</v>
          </cell>
          <cell r="D1814">
            <v>97</v>
          </cell>
          <cell r="E1814" t="str">
            <v xml:space="preserve">    </v>
          </cell>
          <cell r="F1814" t="str">
            <v xml:space="preserve">   </v>
          </cell>
          <cell r="G1814">
            <v>3928297</v>
          </cell>
          <cell r="H1814">
            <v>-7270936.8399999999</v>
          </cell>
          <cell r="I1814">
            <v>-7270936.8399999999</v>
          </cell>
          <cell r="J1814">
            <v>0</v>
          </cell>
          <cell r="K1814">
            <v>0</v>
          </cell>
          <cell r="L1814">
            <v>0</v>
          </cell>
        </row>
        <row r="1815">
          <cell r="A1815">
            <v>4</v>
          </cell>
          <cell r="B1815">
            <v>9</v>
          </cell>
          <cell r="C1815">
            <v>282</v>
          </cell>
          <cell r="D1815">
            <v>97</v>
          </cell>
          <cell r="E1815" t="str">
            <v xml:space="preserve">    </v>
          </cell>
          <cell r="F1815" t="str">
            <v xml:space="preserve">   </v>
          </cell>
          <cell r="G1815">
            <v>4928297</v>
          </cell>
          <cell r="H1815">
            <v>-6973976.2800000003</v>
          </cell>
          <cell r="I1815">
            <v>-6973976.2800000003</v>
          </cell>
          <cell r="J1815">
            <v>0</v>
          </cell>
          <cell r="K1815">
            <v>0</v>
          </cell>
          <cell r="L1815">
            <v>0</v>
          </cell>
        </row>
        <row r="1816">
          <cell r="A1816">
            <v>5</v>
          </cell>
          <cell r="B1816">
            <v>9</v>
          </cell>
          <cell r="C1816">
            <v>282</v>
          </cell>
          <cell r="D1816">
            <v>97</v>
          </cell>
          <cell r="E1816" t="str">
            <v xml:space="preserve">    </v>
          </cell>
          <cell r="F1816" t="str">
            <v xml:space="preserve">   </v>
          </cell>
          <cell r="G1816">
            <v>5928297</v>
          </cell>
          <cell r="H1816">
            <v>-7268040.8399999999</v>
          </cell>
          <cell r="I1816">
            <v>-7268040.8399999999</v>
          </cell>
          <cell r="J1816">
            <v>0</v>
          </cell>
          <cell r="K1816">
            <v>0</v>
          </cell>
          <cell r="L1816">
            <v>0</v>
          </cell>
        </row>
        <row r="1817">
          <cell r="A1817">
            <v>3</v>
          </cell>
          <cell r="B1817">
            <v>9</v>
          </cell>
          <cell r="C1817">
            <v>282</v>
          </cell>
          <cell r="D1817">
            <v>98</v>
          </cell>
          <cell r="E1817" t="str">
            <v xml:space="preserve">    </v>
          </cell>
          <cell r="F1817" t="str">
            <v xml:space="preserve">   </v>
          </cell>
          <cell r="G1817">
            <v>3928298</v>
          </cell>
          <cell r="H1817">
            <v>-18350.21</v>
          </cell>
          <cell r="I1817">
            <v>-18350.21</v>
          </cell>
          <cell r="J1817">
            <v>0</v>
          </cell>
          <cell r="K1817">
            <v>0</v>
          </cell>
          <cell r="L1817">
            <v>0</v>
          </cell>
        </row>
        <row r="1818">
          <cell r="A1818">
            <v>4</v>
          </cell>
          <cell r="B1818">
            <v>9</v>
          </cell>
          <cell r="C1818">
            <v>282</v>
          </cell>
          <cell r="D1818">
            <v>98</v>
          </cell>
          <cell r="E1818" t="str">
            <v xml:space="preserve">    </v>
          </cell>
          <cell r="F1818" t="str">
            <v xml:space="preserve">   </v>
          </cell>
          <cell r="G1818">
            <v>4928298</v>
          </cell>
          <cell r="H1818">
            <v>-7569.72</v>
          </cell>
          <cell r="I1818">
            <v>-7569.72</v>
          </cell>
          <cell r="J1818">
            <v>0</v>
          </cell>
          <cell r="K1818">
            <v>0</v>
          </cell>
          <cell r="L1818">
            <v>0</v>
          </cell>
        </row>
        <row r="1819">
          <cell r="A1819">
            <v>5</v>
          </cell>
          <cell r="B1819">
            <v>9</v>
          </cell>
          <cell r="C1819">
            <v>282</v>
          </cell>
          <cell r="D1819">
            <v>98</v>
          </cell>
          <cell r="E1819" t="str">
            <v xml:space="preserve">    </v>
          </cell>
          <cell r="F1819" t="str">
            <v xml:space="preserve">   </v>
          </cell>
          <cell r="G1819">
            <v>5928298</v>
          </cell>
          <cell r="H1819">
            <v>-15431.7</v>
          </cell>
          <cell r="I1819">
            <v>-15431.7</v>
          </cell>
          <cell r="J1819">
            <v>0</v>
          </cell>
          <cell r="K1819">
            <v>0</v>
          </cell>
          <cell r="L1819">
            <v>0</v>
          </cell>
        </row>
        <row r="1820">
          <cell r="A1820">
            <v>3</v>
          </cell>
          <cell r="B1820">
            <v>9</v>
          </cell>
          <cell r="C1820">
            <v>282</v>
          </cell>
          <cell r="D1820">
            <v>99</v>
          </cell>
          <cell r="E1820" t="str">
            <v xml:space="preserve">    </v>
          </cell>
          <cell r="F1820" t="str">
            <v xml:space="preserve">   </v>
          </cell>
          <cell r="G1820">
            <v>3928299</v>
          </cell>
          <cell r="H1820">
            <v>-1693011.39</v>
          </cell>
          <cell r="I1820">
            <v>-1693011.39</v>
          </cell>
          <cell r="J1820">
            <v>0</v>
          </cell>
          <cell r="K1820">
            <v>0</v>
          </cell>
          <cell r="L1820">
            <v>0</v>
          </cell>
        </row>
        <row r="1821">
          <cell r="A1821">
            <v>4</v>
          </cell>
          <cell r="B1821">
            <v>9</v>
          </cell>
          <cell r="C1821">
            <v>282</v>
          </cell>
          <cell r="D1821">
            <v>99</v>
          </cell>
          <cell r="E1821" t="str">
            <v xml:space="preserve">    </v>
          </cell>
          <cell r="F1821" t="str">
            <v xml:space="preserve">   </v>
          </cell>
          <cell r="G1821">
            <v>4928299</v>
          </cell>
          <cell r="H1821">
            <v>-1423131.97</v>
          </cell>
          <cell r="I1821">
            <v>-1423131.97</v>
          </cell>
          <cell r="J1821">
            <v>0</v>
          </cell>
          <cell r="K1821">
            <v>0</v>
          </cell>
          <cell r="L1821">
            <v>0</v>
          </cell>
        </row>
        <row r="1822">
          <cell r="A1822">
            <v>5</v>
          </cell>
          <cell r="B1822">
            <v>9</v>
          </cell>
          <cell r="C1822">
            <v>282</v>
          </cell>
          <cell r="D1822">
            <v>99</v>
          </cell>
          <cell r="E1822" t="str">
            <v xml:space="preserve">    </v>
          </cell>
          <cell r="F1822" t="str">
            <v xml:space="preserve">   </v>
          </cell>
          <cell r="G1822">
            <v>5928299</v>
          </cell>
          <cell r="H1822">
            <v>-1631503.38</v>
          </cell>
          <cell r="I1822">
            <v>-1631503.38</v>
          </cell>
          <cell r="J1822">
            <v>0</v>
          </cell>
          <cell r="K1822">
            <v>0</v>
          </cell>
          <cell r="L1822">
            <v>0</v>
          </cell>
        </row>
        <row r="1823">
          <cell r="A1823">
            <v>3</v>
          </cell>
          <cell r="B1823">
            <v>9</v>
          </cell>
          <cell r="C1823">
            <v>283</v>
          </cell>
          <cell r="D1823">
            <v>10</v>
          </cell>
          <cell r="E1823" t="str">
            <v xml:space="preserve">    </v>
          </cell>
          <cell r="F1823" t="str">
            <v xml:space="preserve">   </v>
          </cell>
          <cell r="G1823">
            <v>3928310</v>
          </cell>
          <cell r="H1823">
            <v>122500</v>
          </cell>
          <cell r="I1823">
            <v>122500</v>
          </cell>
          <cell r="J1823">
            <v>0</v>
          </cell>
          <cell r="K1823">
            <v>0</v>
          </cell>
          <cell r="L1823">
            <v>0</v>
          </cell>
        </row>
        <row r="1824">
          <cell r="A1824">
            <v>4</v>
          </cell>
          <cell r="B1824">
            <v>9</v>
          </cell>
          <cell r="C1824">
            <v>283</v>
          </cell>
          <cell r="D1824">
            <v>10</v>
          </cell>
          <cell r="E1824" t="str">
            <v xml:space="preserve">    </v>
          </cell>
          <cell r="F1824" t="str">
            <v xml:space="preserve">   </v>
          </cell>
          <cell r="G1824">
            <v>4928310</v>
          </cell>
          <cell r="H1824">
            <v>122499.95</v>
          </cell>
          <cell r="I1824">
            <v>122499.95</v>
          </cell>
          <cell r="J1824">
            <v>0</v>
          </cell>
          <cell r="K1824">
            <v>0</v>
          </cell>
          <cell r="L1824">
            <v>0</v>
          </cell>
        </row>
        <row r="1825">
          <cell r="A1825">
            <v>5</v>
          </cell>
          <cell r="B1825">
            <v>9</v>
          </cell>
          <cell r="C1825">
            <v>283</v>
          </cell>
          <cell r="D1825">
            <v>10</v>
          </cell>
          <cell r="E1825" t="str">
            <v xml:space="preserve">    </v>
          </cell>
          <cell r="F1825" t="str">
            <v xml:space="preserve">   </v>
          </cell>
          <cell r="G1825">
            <v>5928310</v>
          </cell>
          <cell r="H1825">
            <v>122500</v>
          </cell>
          <cell r="I1825">
            <v>122500</v>
          </cell>
          <cell r="J1825">
            <v>0</v>
          </cell>
          <cell r="K1825">
            <v>0</v>
          </cell>
          <cell r="L1825">
            <v>0</v>
          </cell>
        </row>
        <row r="1826">
          <cell r="A1826">
            <v>3</v>
          </cell>
          <cell r="B1826">
            <v>9</v>
          </cell>
          <cell r="C1826">
            <v>283</v>
          </cell>
          <cell r="D1826">
            <v>15</v>
          </cell>
          <cell r="E1826" t="str">
            <v xml:space="preserve">    </v>
          </cell>
          <cell r="F1826" t="str">
            <v xml:space="preserve">   </v>
          </cell>
          <cell r="G1826">
            <v>3928315</v>
          </cell>
          <cell r="H1826">
            <v>-1015027</v>
          </cell>
          <cell r="I1826">
            <v>-1015027</v>
          </cell>
          <cell r="J1826">
            <v>0</v>
          </cell>
          <cell r="K1826">
            <v>0</v>
          </cell>
          <cell r="L1826">
            <v>0</v>
          </cell>
        </row>
        <row r="1827">
          <cell r="A1827">
            <v>4</v>
          </cell>
          <cell r="B1827">
            <v>9</v>
          </cell>
          <cell r="C1827">
            <v>283</v>
          </cell>
          <cell r="D1827">
            <v>15</v>
          </cell>
          <cell r="E1827" t="str">
            <v xml:space="preserve">    </v>
          </cell>
          <cell r="F1827" t="str">
            <v xml:space="preserve">   </v>
          </cell>
          <cell r="G1827">
            <v>4928315</v>
          </cell>
          <cell r="H1827">
            <v>-1137867.08</v>
          </cell>
          <cell r="I1827">
            <v>-1137867.08</v>
          </cell>
          <cell r="J1827">
            <v>0</v>
          </cell>
          <cell r="K1827">
            <v>0</v>
          </cell>
          <cell r="L1827">
            <v>0</v>
          </cell>
        </row>
        <row r="1828">
          <cell r="A1828">
            <v>5</v>
          </cell>
          <cell r="B1828">
            <v>9</v>
          </cell>
          <cell r="C1828">
            <v>283</v>
          </cell>
          <cell r="D1828">
            <v>15</v>
          </cell>
          <cell r="E1828" t="str">
            <v xml:space="preserve">    </v>
          </cell>
          <cell r="F1828" t="str">
            <v xml:space="preserve">   </v>
          </cell>
          <cell r="G1828">
            <v>5928315</v>
          </cell>
          <cell r="H1828">
            <v>-1025653</v>
          </cell>
          <cell r="I1828">
            <v>-1025653</v>
          </cell>
          <cell r="J1828">
            <v>0</v>
          </cell>
          <cell r="K1828">
            <v>0</v>
          </cell>
          <cell r="L1828">
            <v>0</v>
          </cell>
        </row>
        <row r="1829">
          <cell r="A1829">
            <v>3</v>
          </cell>
          <cell r="B1829">
            <v>9</v>
          </cell>
          <cell r="C1829">
            <v>283</v>
          </cell>
          <cell r="D1829">
            <v>17</v>
          </cell>
          <cell r="E1829" t="str">
            <v xml:space="preserve">    </v>
          </cell>
          <cell r="F1829" t="str">
            <v xml:space="preserve">   </v>
          </cell>
          <cell r="G1829">
            <v>3928317</v>
          </cell>
          <cell r="H1829">
            <v>-142137150</v>
          </cell>
          <cell r="I1829">
            <v>-142137150</v>
          </cell>
          <cell r="J1829">
            <v>0</v>
          </cell>
          <cell r="K1829">
            <v>0</v>
          </cell>
          <cell r="L1829">
            <v>0</v>
          </cell>
        </row>
        <row r="1830">
          <cell r="A1830">
            <v>4</v>
          </cell>
          <cell r="B1830">
            <v>9</v>
          </cell>
          <cell r="C1830">
            <v>283</v>
          </cell>
          <cell r="D1830">
            <v>17</v>
          </cell>
          <cell r="E1830" t="str">
            <v xml:space="preserve">    </v>
          </cell>
          <cell r="F1830" t="str">
            <v xml:space="preserve">   </v>
          </cell>
          <cell r="G1830">
            <v>4928317</v>
          </cell>
          <cell r="H1830">
            <v>-144125279.00999999</v>
          </cell>
          <cell r="I1830">
            <v>-144125279.00999999</v>
          </cell>
          <cell r="J1830">
            <v>0</v>
          </cell>
          <cell r="K1830">
            <v>0</v>
          </cell>
          <cell r="L1830">
            <v>0</v>
          </cell>
        </row>
        <row r="1831">
          <cell r="A1831">
            <v>5</v>
          </cell>
          <cell r="B1831">
            <v>9</v>
          </cell>
          <cell r="C1831">
            <v>283</v>
          </cell>
          <cell r="D1831">
            <v>17</v>
          </cell>
          <cell r="E1831" t="str">
            <v xml:space="preserve">    </v>
          </cell>
          <cell r="F1831" t="str">
            <v xml:space="preserve">   </v>
          </cell>
          <cell r="G1831">
            <v>5928317</v>
          </cell>
          <cell r="H1831">
            <v>-142483186</v>
          </cell>
          <cell r="I1831">
            <v>-142483186</v>
          </cell>
          <cell r="J1831">
            <v>0</v>
          </cell>
          <cell r="K1831">
            <v>0</v>
          </cell>
          <cell r="L1831">
            <v>0</v>
          </cell>
        </row>
        <row r="1832">
          <cell r="A1832">
            <v>3</v>
          </cell>
          <cell r="B1832">
            <v>9</v>
          </cell>
          <cell r="C1832">
            <v>283</v>
          </cell>
          <cell r="D1832">
            <v>18</v>
          </cell>
          <cell r="E1832" t="str">
            <v xml:space="preserve">    </v>
          </cell>
          <cell r="F1832" t="str">
            <v xml:space="preserve">   </v>
          </cell>
          <cell r="G1832">
            <v>3928318</v>
          </cell>
          <cell r="H1832">
            <v>-20230674</v>
          </cell>
          <cell r="I1832">
            <v>-20230674</v>
          </cell>
          <cell r="J1832">
            <v>0</v>
          </cell>
          <cell r="K1832">
            <v>0</v>
          </cell>
          <cell r="L1832">
            <v>0</v>
          </cell>
        </row>
        <row r="1833">
          <cell r="A1833">
            <v>4</v>
          </cell>
          <cell r="B1833">
            <v>9</v>
          </cell>
          <cell r="C1833">
            <v>283</v>
          </cell>
          <cell r="D1833">
            <v>18</v>
          </cell>
          <cell r="E1833" t="str">
            <v xml:space="preserve">    </v>
          </cell>
          <cell r="F1833" t="str">
            <v xml:space="preserve">   </v>
          </cell>
          <cell r="G1833">
            <v>4928318</v>
          </cell>
          <cell r="H1833">
            <v>-21648933.649999999</v>
          </cell>
          <cell r="I1833">
            <v>-21648933.649999999</v>
          </cell>
          <cell r="J1833">
            <v>0</v>
          </cell>
          <cell r="K1833">
            <v>0</v>
          </cell>
          <cell r="L1833">
            <v>0</v>
          </cell>
        </row>
        <row r="1834">
          <cell r="A1834">
            <v>5</v>
          </cell>
          <cell r="B1834">
            <v>9</v>
          </cell>
          <cell r="C1834">
            <v>283</v>
          </cell>
          <cell r="D1834">
            <v>18</v>
          </cell>
          <cell r="E1834" t="str">
            <v xml:space="preserve">    </v>
          </cell>
          <cell r="F1834" t="str">
            <v xml:space="preserve">   </v>
          </cell>
          <cell r="G1834">
            <v>5928318</v>
          </cell>
          <cell r="H1834">
            <v>-20545224.5</v>
          </cell>
          <cell r="I1834">
            <v>-20545224.5</v>
          </cell>
          <cell r="J1834">
            <v>0</v>
          </cell>
          <cell r="K1834">
            <v>0</v>
          </cell>
          <cell r="L1834">
            <v>0</v>
          </cell>
        </row>
        <row r="1835">
          <cell r="A1835">
            <v>3</v>
          </cell>
          <cell r="B1835">
            <v>9</v>
          </cell>
          <cell r="C1835">
            <v>283</v>
          </cell>
          <cell r="D1835">
            <v>19</v>
          </cell>
          <cell r="E1835" t="str">
            <v xml:space="preserve">    </v>
          </cell>
          <cell r="F1835" t="str">
            <v xml:space="preserve">   </v>
          </cell>
          <cell r="G1835">
            <v>3928319</v>
          </cell>
          <cell r="H1835">
            <v>-10485434</v>
          </cell>
          <cell r="I1835">
            <v>-10485434</v>
          </cell>
          <cell r="J1835">
            <v>0</v>
          </cell>
          <cell r="K1835">
            <v>0</v>
          </cell>
          <cell r="L1835">
            <v>0</v>
          </cell>
        </row>
        <row r="1836">
          <cell r="A1836">
            <v>4</v>
          </cell>
          <cell r="B1836">
            <v>9</v>
          </cell>
          <cell r="C1836">
            <v>283</v>
          </cell>
          <cell r="D1836">
            <v>19</v>
          </cell>
          <cell r="E1836" t="str">
            <v xml:space="preserve">    </v>
          </cell>
          <cell r="F1836" t="str">
            <v xml:space="preserve">   </v>
          </cell>
          <cell r="G1836">
            <v>4928319</v>
          </cell>
          <cell r="H1836">
            <v>-10485433.92</v>
          </cell>
          <cell r="I1836">
            <v>-10485433.92</v>
          </cell>
          <cell r="J1836">
            <v>0</v>
          </cell>
          <cell r="K1836">
            <v>0</v>
          </cell>
          <cell r="L1836">
            <v>0</v>
          </cell>
        </row>
        <row r="1837">
          <cell r="A1837">
            <v>5</v>
          </cell>
          <cell r="B1837">
            <v>9</v>
          </cell>
          <cell r="C1837">
            <v>283</v>
          </cell>
          <cell r="D1837">
            <v>19</v>
          </cell>
          <cell r="E1837" t="str">
            <v xml:space="preserve">    </v>
          </cell>
          <cell r="F1837" t="str">
            <v xml:space="preserve">   </v>
          </cell>
          <cell r="G1837">
            <v>5928319</v>
          </cell>
          <cell r="H1837">
            <v>-10485434</v>
          </cell>
          <cell r="I1837">
            <v>-10485434</v>
          </cell>
          <cell r="J1837">
            <v>0</v>
          </cell>
          <cell r="K1837">
            <v>0</v>
          </cell>
          <cell r="L1837">
            <v>0</v>
          </cell>
        </row>
        <row r="1838">
          <cell r="A1838">
            <v>3</v>
          </cell>
          <cell r="B1838">
            <v>9</v>
          </cell>
          <cell r="C1838">
            <v>283</v>
          </cell>
          <cell r="D1838">
            <v>20</v>
          </cell>
          <cell r="E1838" t="str">
            <v xml:space="preserve">    </v>
          </cell>
          <cell r="F1838" t="str">
            <v xml:space="preserve">   </v>
          </cell>
          <cell r="G1838">
            <v>3928320</v>
          </cell>
          <cell r="H1838">
            <v>-569663.72</v>
          </cell>
          <cell r="I1838">
            <v>-569663.72</v>
          </cell>
          <cell r="J1838">
            <v>0</v>
          </cell>
          <cell r="K1838">
            <v>0</v>
          </cell>
          <cell r="L1838">
            <v>0</v>
          </cell>
        </row>
        <row r="1839">
          <cell r="A1839">
            <v>4</v>
          </cell>
          <cell r="B1839">
            <v>9</v>
          </cell>
          <cell r="C1839">
            <v>283</v>
          </cell>
          <cell r="D1839">
            <v>20</v>
          </cell>
          <cell r="E1839" t="str">
            <v xml:space="preserve">    </v>
          </cell>
          <cell r="F1839" t="str">
            <v xml:space="preserve">   </v>
          </cell>
          <cell r="G1839">
            <v>4928320</v>
          </cell>
          <cell r="H1839">
            <v>-586681.16</v>
          </cell>
          <cell r="I1839">
            <v>-586681.16</v>
          </cell>
          <cell r="J1839">
            <v>0</v>
          </cell>
          <cell r="K1839">
            <v>0</v>
          </cell>
          <cell r="L1839">
            <v>0</v>
          </cell>
        </row>
        <row r="1840">
          <cell r="A1840">
            <v>5</v>
          </cell>
          <cell r="B1840">
            <v>9</v>
          </cell>
          <cell r="C1840">
            <v>283</v>
          </cell>
          <cell r="D1840">
            <v>20</v>
          </cell>
          <cell r="E1840" t="str">
            <v xml:space="preserve">    </v>
          </cell>
          <cell r="F1840" t="str">
            <v xml:space="preserve">   </v>
          </cell>
          <cell r="G1840">
            <v>5928320</v>
          </cell>
          <cell r="H1840">
            <v>-571081.84</v>
          </cell>
          <cell r="I1840">
            <v>-571081.84</v>
          </cell>
          <cell r="J1840">
            <v>0</v>
          </cell>
          <cell r="K1840">
            <v>0</v>
          </cell>
          <cell r="L1840">
            <v>0</v>
          </cell>
        </row>
        <row r="1841">
          <cell r="A1841">
            <v>3</v>
          </cell>
          <cell r="B1841">
            <v>9</v>
          </cell>
          <cell r="C1841">
            <v>283</v>
          </cell>
          <cell r="D1841">
            <v>28</v>
          </cell>
          <cell r="E1841" t="str">
            <v xml:space="preserve">    </v>
          </cell>
          <cell r="F1841" t="str">
            <v xml:space="preserve">   </v>
          </cell>
          <cell r="G1841">
            <v>3928328</v>
          </cell>
          <cell r="H1841">
            <v>-14491</v>
          </cell>
          <cell r="I1841">
            <v>0</v>
          </cell>
          <cell r="J1841">
            <v>-14491</v>
          </cell>
          <cell r="K1841">
            <v>0</v>
          </cell>
          <cell r="L1841">
            <v>0</v>
          </cell>
        </row>
        <row r="1842">
          <cell r="A1842">
            <v>4</v>
          </cell>
          <cell r="B1842">
            <v>9</v>
          </cell>
          <cell r="C1842">
            <v>283</v>
          </cell>
          <cell r="D1842">
            <v>28</v>
          </cell>
          <cell r="E1842" t="str">
            <v xml:space="preserve">    </v>
          </cell>
          <cell r="F1842" t="str">
            <v xml:space="preserve">   </v>
          </cell>
          <cell r="G1842">
            <v>4928328</v>
          </cell>
          <cell r="H1842">
            <v>-15094.67</v>
          </cell>
          <cell r="I1842">
            <v>0</v>
          </cell>
          <cell r="J1842">
            <v>-15094.67</v>
          </cell>
          <cell r="K1842">
            <v>0</v>
          </cell>
          <cell r="L1842">
            <v>0</v>
          </cell>
        </row>
        <row r="1843">
          <cell r="A1843">
            <v>5</v>
          </cell>
          <cell r="B1843">
            <v>9</v>
          </cell>
          <cell r="C1843">
            <v>283</v>
          </cell>
          <cell r="D1843">
            <v>28</v>
          </cell>
          <cell r="E1843" t="str">
            <v xml:space="preserve">    </v>
          </cell>
          <cell r="F1843" t="str">
            <v xml:space="preserve">   </v>
          </cell>
          <cell r="G1843">
            <v>5928328</v>
          </cell>
          <cell r="H1843">
            <v>-14491</v>
          </cell>
          <cell r="I1843">
            <v>0</v>
          </cell>
          <cell r="J1843">
            <v>-14491</v>
          </cell>
          <cell r="K1843">
            <v>0</v>
          </cell>
          <cell r="L1843">
            <v>0</v>
          </cell>
        </row>
        <row r="1844">
          <cell r="A1844">
            <v>3</v>
          </cell>
          <cell r="B1844">
            <v>9</v>
          </cell>
          <cell r="C1844">
            <v>283</v>
          </cell>
          <cell r="D1844">
            <v>33</v>
          </cell>
          <cell r="E1844" t="str">
            <v xml:space="preserve">    </v>
          </cell>
          <cell r="F1844" t="str">
            <v xml:space="preserve">   </v>
          </cell>
          <cell r="G1844">
            <v>3928333</v>
          </cell>
          <cell r="H1844">
            <v>1240255.44</v>
          </cell>
          <cell r="I1844">
            <v>0</v>
          </cell>
          <cell r="J1844">
            <v>1240255.44</v>
          </cell>
          <cell r="K1844">
            <v>0</v>
          </cell>
          <cell r="L1844">
            <v>0</v>
          </cell>
        </row>
        <row r="1845">
          <cell r="A1845">
            <v>4</v>
          </cell>
          <cell r="B1845">
            <v>9</v>
          </cell>
          <cell r="C1845">
            <v>283</v>
          </cell>
          <cell r="D1845">
            <v>33</v>
          </cell>
          <cell r="E1845" t="str">
            <v xml:space="preserve">    </v>
          </cell>
          <cell r="F1845" t="str">
            <v xml:space="preserve">   </v>
          </cell>
          <cell r="G1845">
            <v>4928333</v>
          </cell>
          <cell r="H1845">
            <v>1632646.02</v>
          </cell>
          <cell r="I1845">
            <v>0</v>
          </cell>
          <cell r="J1845">
            <v>1632646.02</v>
          </cell>
          <cell r="K1845">
            <v>0</v>
          </cell>
          <cell r="L1845">
            <v>0</v>
          </cell>
        </row>
        <row r="1846">
          <cell r="A1846">
            <v>5</v>
          </cell>
          <cell r="B1846">
            <v>9</v>
          </cell>
          <cell r="C1846">
            <v>283</v>
          </cell>
          <cell r="D1846">
            <v>33</v>
          </cell>
          <cell r="E1846" t="str">
            <v xml:space="preserve">    </v>
          </cell>
          <cell r="F1846" t="str">
            <v xml:space="preserve">   </v>
          </cell>
          <cell r="G1846">
            <v>5928333</v>
          </cell>
          <cell r="H1846">
            <v>1198471.94</v>
          </cell>
          <cell r="I1846">
            <v>0</v>
          </cell>
          <cell r="J1846">
            <v>1198471.94</v>
          </cell>
          <cell r="K1846">
            <v>0</v>
          </cell>
          <cell r="L1846">
            <v>0</v>
          </cell>
        </row>
        <row r="1847">
          <cell r="A1847">
            <v>3</v>
          </cell>
          <cell r="B1847">
            <v>9</v>
          </cell>
          <cell r="C1847">
            <v>283</v>
          </cell>
          <cell r="D1847">
            <v>41</v>
          </cell>
          <cell r="E1847" t="str">
            <v xml:space="preserve">    </v>
          </cell>
          <cell r="F1847" t="str">
            <v xml:space="preserve">   </v>
          </cell>
          <cell r="G1847">
            <v>3928341</v>
          </cell>
          <cell r="H1847">
            <v>-912516.91</v>
          </cell>
          <cell r="I1847">
            <v>0</v>
          </cell>
          <cell r="J1847">
            <v>0</v>
          </cell>
          <cell r="K1847">
            <v>-912516.91</v>
          </cell>
          <cell r="L1847">
            <v>0</v>
          </cell>
        </row>
        <row r="1848">
          <cell r="A1848">
            <v>4</v>
          </cell>
          <cell r="B1848">
            <v>9</v>
          </cell>
          <cell r="C1848">
            <v>283</v>
          </cell>
          <cell r="D1848">
            <v>41</v>
          </cell>
          <cell r="E1848" t="str">
            <v xml:space="preserve">    </v>
          </cell>
          <cell r="F1848" t="str">
            <v xml:space="preserve">   </v>
          </cell>
          <cell r="G1848">
            <v>4928341</v>
          </cell>
          <cell r="H1848">
            <v>-800104.05</v>
          </cell>
          <cell r="I1848">
            <v>0</v>
          </cell>
          <cell r="J1848">
            <v>0</v>
          </cell>
          <cell r="K1848">
            <v>-800104.05</v>
          </cell>
          <cell r="L1848">
            <v>0</v>
          </cell>
        </row>
        <row r="1849">
          <cell r="A1849">
            <v>5</v>
          </cell>
          <cell r="B1849">
            <v>9</v>
          </cell>
          <cell r="C1849">
            <v>283</v>
          </cell>
          <cell r="D1849">
            <v>41</v>
          </cell>
          <cell r="E1849" t="str">
            <v xml:space="preserve">    </v>
          </cell>
          <cell r="F1849" t="str">
            <v xml:space="preserve">   </v>
          </cell>
          <cell r="G1849">
            <v>5928341</v>
          </cell>
          <cell r="H1849">
            <v>-930563.9</v>
          </cell>
          <cell r="I1849">
            <v>0</v>
          </cell>
          <cell r="J1849">
            <v>0</v>
          </cell>
          <cell r="K1849">
            <v>-930563.9</v>
          </cell>
          <cell r="L1849">
            <v>0</v>
          </cell>
        </row>
        <row r="1850">
          <cell r="A1850">
            <v>3</v>
          </cell>
          <cell r="B1850">
            <v>9</v>
          </cell>
          <cell r="C1850">
            <v>283</v>
          </cell>
          <cell r="D1850">
            <v>72</v>
          </cell>
          <cell r="E1850" t="str">
            <v xml:space="preserve">    </v>
          </cell>
          <cell r="F1850" t="str">
            <v xml:space="preserve">   </v>
          </cell>
          <cell r="G1850">
            <v>3928372</v>
          </cell>
          <cell r="H1850">
            <v>-7610095.9400000004</v>
          </cell>
          <cell r="I1850">
            <v>-7610095.9400000004</v>
          </cell>
          <cell r="J1850">
            <v>0</v>
          </cell>
          <cell r="K1850">
            <v>0</v>
          </cell>
          <cell r="L1850">
            <v>0</v>
          </cell>
        </row>
        <row r="1851">
          <cell r="A1851">
            <v>4</v>
          </cell>
          <cell r="B1851">
            <v>9</v>
          </cell>
          <cell r="C1851">
            <v>283</v>
          </cell>
          <cell r="D1851">
            <v>72</v>
          </cell>
          <cell r="E1851" t="str">
            <v xml:space="preserve">    </v>
          </cell>
          <cell r="F1851" t="str">
            <v xml:space="preserve">   </v>
          </cell>
          <cell r="G1851">
            <v>4928372</v>
          </cell>
          <cell r="H1851">
            <v>-6864904.5700000003</v>
          </cell>
          <cell r="I1851">
            <v>-6864904.5700000003</v>
          </cell>
          <cell r="J1851">
            <v>0</v>
          </cell>
          <cell r="K1851">
            <v>0</v>
          </cell>
          <cell r="L1851">
            <v>0</v>
          </cell>
        </row>
        <row r="1852">
          <cell r="A1852">
            <v>5</v>
          </cell>
          <cell r="B1852">
            <v>9</v>
          </cell>
          <cell r="C1852">
            <v>283</v>
          </cell>
          <cell r="D1852">
            <v>72</v>
          </cell>
          <cell r="E1852" t="str">
            <v xml:space="preserve">    </v>
          </cell>
          <cell r="F1852" t="str">
            <v xml:space="preserve">   </v>
          </cell>
          <cell r="G1852">
            <v>5928372</v>
          </cell>
          <cell r="H1852">
            <v>-7547996.6600000001</v>
          </cell>
          <cell r="I1852">
            <v>-7547996.6600000001</v>
          </cell>
          <cell r="J1852">
            <v>0</v>
          </cell>
          <cell r="K1852">
            <v>0</v>
          </cell>
          <cell r="L1852">
            <v>0</v>
          </cell>
        </row>
        <row r="1853">
          <cell r="A1853">
            <v>3</v>
          </cell>
          <cell r="B1853">
            <v>9</v>
          </cell>
          <cell r="C1853">
            <v>283</v>
          </cell>
          <cell r="D1853">
            <v>73</v>
          </cell>
          <cell r="E1853" t="str">
            <v xml:space="preserve">    </v>
          </cell>
          <cell r="F1853" t="str">
            <v xml:space="preserve">   </v>
          </cell>
          <cell r="G1853">
            <v>3928373</v>
          </cell>
          <cell r="H1853">
            <v>-1128984.8999999999</v>
          </cell>
          <cell r="I1853">
            <v>-1128984.8999999999</v>
          </cell>
          <cell r="J1853">
            <v>0</v>
          </cell>
          <cell r="K1853">
            <v>0</v>
          </cell>
          <cell r="L1853">
            <v>0</v>
          </cell>
        </row>
        <row r="1854">
          <cell r="A1854">
            <v>4</v>
          </cell>
          <cell r="B1854">
            <v>9</v>
          </cell>
          <cell r="C1854">
            <v>283</v>
          </cell>
          <cell r="D1854">
            <v>73</v>
          </cell>
          <cell r="E1854" t="str">
            <v xml:space="preserve">    </v>
          </cell>
          <cell r="F1854" t="str">
            <v xml:space="preserve">   </v>
          </cell>
          <cell r="G1854">
            <v>4928373</v>
          </cell>
          <cell r="H1854">
            <v>-1037467.38</v>
          </cell>
          <cell r="I1854">
            <v>-1037467.38</v>
          </cell>
          <cell r="J1854">
            <v>0</v>
          </cell>
          <cell r="K1854">
            <v>0</v>
          </cell>
          <cell r="L1854">
            <v>0</v>
          </cell>
        </row>
        <row r="1855">
          <cell r="A1855">
            <v>5</v>
          </cell>
          <cell r="B1855">
            <v>9</v>
          </cell>
          <cell r="C1855">
            <v>283</v>
          </cell>
          <cell r="D1855">
            <v>73</v>
          </cell>
          <cell r="E1855" t="str">
            <v xml:space="preserve">    </v>
          </cell>
          <cell r="F1855" t="str">
            <v xml:space="preserve">   </v>
          </cell>
          <cell r="G1855">
            <v>5928373</v>
          </cell>
          <cell r="H1855">
            <v>-1121358.44</v>
          </cell>
          <cell r="I1855">
            <v>-1121358.44</v>
          </cell>
          <cell r="J1855">
            <v>0</v>
          </cell>
          <cell r="K1855">
            <v>0</v>
          </cell>
          <cell r="L1855">
            <v>0</v>
          </cell>
        </row>
        <row r="1856">
          <cell r="A1856">
            <v>3</v>
          </cell>
          <cell r="B1856">
            <v>9</v>
          </cell>
          <cell r="C1856">
            <v>283</v>
          </cell>
          <cell r="D1856">
            <v>74</v>
          </cell>
          <cell r="E1856" t="str">
            <v xml:space="preserve">    </v>
          </cell>
          <cell r="F1856" t="str">
            <v xml:space="preserve">   </v>
          </cell>
          <cell r="G1856">
            <v>3928374</v>
          </cell>
          <cell r="H1856">
            <v>365135</v>
          </cell>
          <cell r="I1856">
            <v>0</v>
          </cell>
          <cell r="J1856">
            <v>176063</v>
          </cell>
          <cell r="K1856">
            <v>189072</v>
          </cell>
          <cell r="L1856">
            <v>0</v>
          </cell>
        </row>
        <row r="1857">
          <cell r="A1857">
            <v>4</v>
          </cell>
          <cell r="B1857">
            <v>9</v>
          </cell>
          <cell r="C1857">
            <v>283</v>
          </cell>
          <cell r="D1857">
            <v>74</v>
          </cell>
          <cell r="E1857" t="str">
            <v xml:space="preserve">    </v>
          </cell>
          <cell r="F1857" t="str">
            <v xml:space="preserve">   </v>
          </cell>
          <cell r="G1857">
            <v>4928374</v>
          </cell>
          <cell r="H1857">
            <v>324952.95</v>
          </cell>
          <cell r="I1857">
            <v>0</v>
          </cell>
          <cell r="J1857">
            <v>156868.95000000001</v>
          </cell>
          <cell r="K1857">
            <v>168084</v>
          </cell>
          <cell r="L1857">
            <v>0</v>
          </cell>
        </row>
        <row r="1858">
          <cell r="A1858">
            <v>5</v>
          </cell>
          <cell r="B1858">
            <v>9</v>
          </cell>
          <cell r="C1858">
            <v>283</v>
          </cell>
          <cell r="D1858">
            <v>74</v>
          </cell>
          <cell r="E1858" t="str">
            <v xml:space="preserve">    </v>
          </cell>
          <cell r="F1858" t="str">
            <v xml:space="preserve">   </v>
          </cell>
          <cell r="G1858">
            <v>5928374</v>
          </cell>
          <cell r="H1858">
            <v>361786.5</v>
          </cell>
          <cell r="I1858">
            <v>0</v>
          </cell>
          <cell r="J1858">
            <v>174463.5</v>
          </cell>
          <cell r="K1858">
            <v>187323</v>
          </cell>
          <cell r="L1858">
            <v>0</v>
          </cell>
        </row>
        <row r="1859">
          <cell r="A1859">
            <v>3</v>
          </cell>
          <cell r="B1859">
            <v>9</v>
          </cell>
          <cell r="C1859">
            <v>283</v>
          </cell>
          <cell r="D1859">
            <v>75</v>
          </cell>
          <cell r="E1859" t="str">
            <v xml:space="preserve">    </v>
          </cell>
          <cell r="F1859" t="str">
            <v xml:space="preserve">   </v>
          </cell>
          <cell r="G1859">
            <v>3928375</v>
          </cell>
          <cell r="H1859">
            <v>72227.009999999995</v>
          </cell>
          <cell r="I1859">
            <v>35</v>
          </cell>
          <cell r="J1859">
            <v>52533.49</v>
          </cell>
          <cell r="K1859">
            <v>19658.52</v>
          </cell>
          <cell r="L1859">
            <v>0</v>
          </cell>
        </row>
        <row r="1860">
          <cell r="A1860">
            <v>4</v>
          </cell>
          <cell r="B1860">
            <v>9</v>
          </cell>
          <cell r="C1860">
            <v>283</v>
          </cell>
          <cell r="D1860">
            <v>75</v>
          </cell>
          <cell r="E1860" t="str">
            <v xml:space="preserve">    </v>
          </cell>
          <cell r="F1860" t="str">
            <v xml:space="preserve">   </v>
          </cell>
          <cell r="G1860">
            <v>4928375</v>
          </cell>
          <cell r="H1860">
            <v>61909.33</v>
          </cell>
          <cell r="I1860">
            <v>34.909999999999997</v>
          </cell>
          <cell r="J1860">
            <v>45023.91</v>
          </cell>
          <cell r="K1860">
            <v>16850.509999999998</v>
          </cell>
          <cell r="L1860">
            <v>0</v>
          </cell>
        </row>
        <row r="1861">
          <cell r="A1861">
            <v>5</v>
          </cell>
          <cell r="B1861">
            <v>9</v>
          </cell>
          <cell r="C1861">
            <v>283</v>
          </cell>
          <cell r="D1861">
            <v>75</v>
          </cell>
          <cell r="E1861" t="str">
            <v xml:space="preserve">    </v>
          </cell>
          <cell r="F1861" t="str">
            <v xml:space="preserve">   </v>
          </cell>
          <cell r="G1861">
            <v>5928375</v>
          </cell>
          <cell r="H1861">
            <v>71367.210000000006</v>
          </cell>
          <cell r="I1861">
            <v>35</v>
          </cell>
          <cell r="J1861">
            <v>51907.69</v>
          </cell>
          <cell r="K1861">
            <v>19424.52</v>
          </cell>
          <cell r="L1861">
            <v>0</v>
          </cell>
        </row>
        <row r="1862">
          <cell r="A1862">
            <v>3</v>
          </cell>
          <cell r="B1862">
            <v>9</v>
          </cell>
          <cell r="C1862">
            <v>283</v>
          </cell>
          <cell r="D1862">
            <v>85</v>
          </cell>
          <cell r="E1862" t="str">
            <v xml:space="preserve">    </v>
          </cell>
          <cell r="F1862" t="str">
            <v xml:space="preserve">   </v>
          </cell>
          <cell r="G1862">
            <v>3928385</v>
          </cell>
          <cell r="H1862">
            <v>-3553726.16</v>
          </cell>
          <cell r="I1862">
            <v>-3553726.16</v>
          </cell>
          <cell r="J1862">
            <v>0</v>
          </cell>
          <cell r="K1862">
            <v>0</v>
          </cell>
          <cell r="L1862">
            <v>0</v>
          </cell>
        </row>
        <row r="1863">
          <cell r="A1863">
            <v>4</v>
          </cell>
          <cell r="B1863">
            <v>9</v>
          </cell>
          <cell r="C1863">
            <v>283</v>
          </cell>
          <cell r="D1863">
            <v>85</v>
          </cell>
          <cell r="E1863" t="str">
            <v xml:space="preserve">    </v>
          </cell>
          <cell r="F1863" t="str">
            <v xml:space="preserve">   </v>
          </cell>
          <cell r="G1863">
            <v>4928385</v>
          </cell>
          <cell r="H1863">
            <v>-3944005.3</v>
          </cell>
          <cell r="I1863">
            <v>-3944005.3</v>
          </cell>
          <cell r="J1863">
            <v>0</v>
          </cell>
          <cell r="K1863">
            <v>0</v>
          </cell>
          <cell r="L1863">
            <v>0</v>
          </cell>
        </row>
        <row r="1864">
          <cell r="A1864">
            <v>5</v>
          </cell>
          <cell r="B1864">
            <v>9</v>
          </cell>
          <cell r="C1864">
            <v>283</v>
          </cell>
          <cell r="D1864">
            <v>85</v>
          </cell>
          <cell r="E1864" t="str">
            <v xml:space="preserve">    </v>
          </cell>
          <cell r="F1864" t="str">
            <v xml:space="preserve">   </v>
          </cell>
          <cell r="G1864">
            <v>5928385</v>
          </cell>
          <cell r="H1864">
            <v>-3579872.64</v>
          </cell>
          <cell r="I1864">
            <v>-3579872.64</v>
          </cell>
          <cell r="J1864">
            <v>0</v>
          </cell>
          <cell r="K1864">
            <v>0</v>
          </cell>
          <cell r="L1864">
            <v>0</v>
          </cell>
        </row>
        <row r="1865">
          <cell r="A1865">
            <v>3</v>
          </cell>
          <cell r="B1865">
            <v>9</v>
          </cell>
          <cell r="C1865">
            <v>283</v>
          </cell>
          <cell r="D1865">
            <v>86</v>
          </cell>
          <cell r="E1865" t="str">
            <v xml:space="preserve">    </v>
          </cell>
          <cell r="F1865" t="str">
            <v xml:space="preserve">   </v>
          </cell>
          <cell r="G1865">
            <v>3928386</v>
          </cell>
          <cell r="H1865">
            <v>-591766.31999999995</v>
          </cell>
          <cell r="I1865">
            <v>-591766.31999999995</v>
          </cell>
          <cell r="J1865">
            <v>0</v>
          </cell>
          <cell r="K1865">
            <v>0</v>
          </cell>
          <cell r="L1865">
            <v>0</v>
          </cell>
        </row>
        <row r="1866">
          <cell r="A1866">
            <v>4</v>
          </cell>
          <cell r="B1866">
            <v>9</v>
          </cell>
          <cell r="C1866">
            <v>283</v>
          </cell>
          <cell r="D1866">
            <v>86</v>
          </cell>
          <cell r="E1866" t="str">
            <v xml:space="preserve">    </v>
          </cell>
          <cell r="F1866" t="str">
            <v xml:space="preserve">   </v>
          </cell>
          <cell r="G1866">
            <v>4928386</v>
          </cell>
          <cell r="H1866">
            <v>-445008.59</v>
          </cell>
          <cell r="I1866">
            <v>-445008.59</v>
          </cell>
          <cell r="J1866">
            <v>0</v>
          </cell>
          <cell r="K1866">
            <v>0</v>
          </cell>
          <cell r="L1866">
            <v>0</v>
          </cell>
        </row>
        <row r="1867">
          <cell r="A1867">
            <v>5</v>
          </cell>
          <cell r="B1867">
            <v>9</v>
          </cell>
          <cell r="C1867">
            <v>283</v>
          </cell>
          <cell r="D1867">
            <v>86</v>
          </cell>
          <cell r="E1867" t="str">
            <v xml:space="preserve">    </v>
          </cell>
          <cell r="F1867" t="str">
            <v xml:space="preserve">   </v>
          </cell>
          <cell r="G1867">
            <v>5928386</v>
          </cell>
          <cell r="H1867">
            <v>-596060.65</v>
          </cell>
          <cell r="I1867">
            <v>-596060.65</v>
          </cell>
          <cell r="J1867">
            <v>0</v>
          </cell>
          <cell r="K1867">
            <v>0</v>
          </cell>
          <cell r="L1867">
            <v>0</v>
          </cell>
        </row>
        <row r="1868">
          <cell r="A1868">
            <v>3</v>
          </cell>
          <cell r="B1868">
            <v>9</v>
          </cell>
          <cell r="C1868">
            <v>283</v>
          </cell>
          <cell r="D1868">
            <v>87</v>
          </cell>
          <cell r="E1868" t="str">
            <v xml:space="preserve">    </v>
          </cell>
          <cell r="F1868" t="str">
            <v xml:space="preserve">   </v>
          </cell>
          <cell r="G1868">
            <v>3928387</v>
          </cell>
          <cell r="H1868">
            <v>-253214</v>
          </cell>
          <cell r="I1868">
            <v>-253214</v>
          </cell>
          <cell r="J1868">
            <v>0</v>
          </cell>
          <cell r="K1868">
            <v>0</v>
          </cell>
          <cell r="L1868">
            <v>0</v>
          </cell>
        </row>
        <row r="1869">
          <cell r="A1869">
            <v>4</v>
          </cell>
          <cell r="B1869">
            <v>9</v>
          </cell>
          <cell r="C1869">
            <v>283</v>
          </cell>
          <cell r="D1869">
            <v>87</v>
          </cell>
          <cell r="E1869" t="str">
            <v xml:space="preserve">    </v>
          </cell>
          <cell r="F1869" t="str">
            <v xml:space="preserve">   </v>
          </cell>
          <cell r="G1869">
            <v>4928387</v>
          </cell>
          <cell r="H1869">
            <v>-90738.27</v>
          </cell>
          <cell r="I1869">
            <v>-90738.27</v>
          </cell>
          <cell r="J1869">
            <v>0</v>
          </cell>
          <cell r="K1869">
            <v>0</v>
          </cell>
          <cell r="L1869">
            <v>0</v>
          </cell>
        </row>
        <row r="1870">
          <cell r="A1870">
            <v>5</v>
          </cell>
          <cell r="B1870">
            <v>9</v>
          </cell>
          <cell r="C1870">
            <v>283</v>
          </cell>
          <cell r="D1870">
            <v>87</v>
          </cell>
          <cell r="E1870" t="str">
            <v xml:space="preserve">    </v>
          </cell>
          <cell r="F1870" t="str">
            <v xml:space="preserve">   </v>
          </cell>
          <cell r="G1870">
            <v>5928387</v>
          </cell>
          <cell r="H1870">
            <v>-255014.5</v>
          </cell>
          <cell r="I1870">
            <v>-255014.5</v>
          </cell>
          <cell r="J1870">
            <v>0</v>
          </cell>
          <cell r="K1870">
            <v>0</v>
          </cell>
          <cell r="L1870">
            <v>0</v>
          </cell>
        </row>
        <row r="1871">
          <cell r="A1871">
            <v>3</v>
          </cell>
          <cell r="B1871">
            <v>9</v>
          </cell>
          <cell r="C1871">
            <v>186</v>
          </cell>
          <cell r="D1871" t="str">
            <v xml:space="preserve">  </v>
          </cell>
          <cell r="E1871">
            <v>1510</v>
          </cell>
          <cell r="F1871" t="str">
            <v xml:space="preserve">   </v>
          </cell>
          <cell r="G1871">
            <v>391861510</v>
          </cell>
          <cell r="H1871">
            <v>0</v>
          </cell>
          <cell r="I1871">
            <v>0</v>
          </cell>
          <cell r="J1871">
            <v>0</v>
          </cell>
          <cell r="K1871">
            <v>0</v>
          </cell>
          <cell r="L1871">
            <v>0</v>
          </cell>
        </row>
        <row r="1872">
          <cell r="A1872">
            <v>4</v>
          </cell>
          <cell r="B1872">
            <v>9</v>
          </cell>
          <cell r="C1872">
            <v>186</v>
          </cell>
          <cell r="D1872" t="str">
            <v xml:space="preserve">  </v>
          </cell>
          <cell r="E1872">
            <v>1510</v>
          </cell>
          <cell r="F1872" t="str">
            <v xml:space="preserve">   </v>
          </cell>
          <cell r="G1872">
            <v>491861510</v>
          </cell>
          <cell r="H1872">
            <v>-0.69</v>
          </cell>
          <cell r="I1872">
            <v>-0.69</v>
          </cell>
          <cell r="J1872">
            <v>0</v>
          </cell>
          <cell r="K1872">
            <v>0</v>
          </cell>
          <cell r="L1872">
            <v>0</v>
          </cell>
        </row>
        <row r="1873">
          <cell r="A1873">
            <v>5</v>
          </cell>
          <cell r="B1873">
            <v>9</v>
          </cell>
          <cell r="C1873">
            <v>186</v>
          </cell>
          <cell r="D1873" t="str">
            <v xml:space="preserve">  </v>
          </cell>
          <cell r="E1873">
            <v>1510</v>
          </cell>
          <cell r="F1873" t="str">
            <v xml:space="preserve">   </v>
          </cell>
          <cell r="G1873">
            <v>591861510</v>
          </cell>
          <cell r="H1873">
            <v>-0.02</v>
          </cell>
          <cell r="I1873">
            <v>-0.02</v>
          </cell>
          <cell r="J1873">
            <v>0</v>
          </cell>
          <cell r="K1873">
            <v>0</v>
          </cell>
          <cell r="L1873">
            <v>0</v>
          </cell>
        </row>
        <row r="1874">
          <cell r="A1874">
            <v>3</v>
          </cell>
          <cell r="B1874">
            <v>9</v>
          </cell>
          <cell r="C1874">
            <v>186</v>
          </cell>
          <cell r="D1874" t="str">
            <v xml:space="preserve">  </v>
          </cell>
          <cell r="E1874">
            <v>1526</v>
          </cell>
          <cell r="F1874" t="str">
            <v xml:space="preserve">   </v>
          </cell>
          <cell r="G1874">
            <v>391861526</v>
          </cell>
          <cell r="H1874">
            <v>0</v>
          </cell>
          <cell r="I1874">
            <v>0</v>
          </cell>
          <cell r="J1874">
            <v>0</v>
          </cell>
          <cell r="K1874">
            <v>0</v>
          </cell>
          <cell r="L1874">
            <v>0</v>
          </cell>
        </row>
        <row r="1875">
          <cell r="A1875">
            <v>4</v>
          </cell>
          <cell r="B1875">
            <v>9</v>
          </cell>
          <cell r="C1875">
            <v>186</v>
          </cell>
          <cell r="D1875" t="str">
            <v xml:space="preserve">  </v>
          </cell>
          <cell r="E1875">
            <v>1526</v>
          </cell>
          <cell r="F1875" t="str">
            <v xml:space="preserve">   </v>
          </cell>
          <cell r="G1875">
            <v>491861526</v>
          </cell>
          <cell r="H1875">
            <v>-0.3</v>
          </cell>
          <cell r="I1875">
            <v>-0.3</v>
          </cell>
          <cell r="J1875">
            <v>0</v>
          </cell>
          <cell r="K1875">
            <v>0</v>
          </cell>
          <cell r="L1875">
            <v>0</v>
          </cell>
        </row>
        <row r="1876">
          <cell r="A1876">
            <v>5</v>
          </cell>
          <cell r="B1876">
            <v>9</v>
          </cell>
          <cell r="C1876">
            <v>186</v>
          </cell>
          <cell r="D1876" t="str">
            <v xml:space="preserve">  </v>
          </cell>
          <cell r="E1876">
            <v>1526</v>
          </cell>
          <cell r="F1876" t="str">
            <v xml:space="preserve">   </v>
          </cell>
          <cell r="G1876">
            <v>591861526</v>
          </cell>
          <cell r="H1876">
            <v>-0.06</v>
          </cell>
          <cell r="I1876">
            <v>-0.06</v>
          </cell>
          <cell r="J1876">
            <v>0</v>
          </cell>
          <cell r="K1876">
            <v>0</v>
          </cell>
          <cell r="L1876">
            <v>0</v>
          </cell>
        </row>
        <row r="1877">
          <cell r="A1877">
            <v>3</v>
          </cell>
          <cell r="B1877">
            <v>9</v>
          </cell>
          <cell r="C1877">
            <v>186</v>
          </cell>
          <cell r="D1877" t="str">
            <v xml:space="preserve">  </v>
          </cell>
          <cell r="E1877">
            <v>1529</v>
          </cell>
          <cell r="F1877" t="str">
            <v xml:space="preserve">   </v>
          </cell>
          <cell r="G1877">
            <v>391861529</v>
          </cell>
          <cell r="H1877">
            <v>0</v>
          </cell>
          <cell r="I1877">
            <v>0</v>
          </cell>
          <cell r="J1877">
            <v>0</v>
          </cell>
          <cell r="K1877">
            <v>0</v>
          </cell>
          <cell r="L1877">
            <v>0</v>
          </cell>
        </row>
        <row r="1878">
          <cell r="A1878">
            <v>4</v>
          </cell>
          <cell r="B1878">
            <v>9</v>
          </cell>
          <cell r="C1878">
            <v>186</v>
          </cell>
          <cell r="D1878" t="str">
            <v xml:space="preserve">  </v>
          </cell>
          <cell r="E1878">
            <v>1529</v>
          </cell>
          <cell r="F1878" t="str">
            <v xml:space="preserve">   </v>
          </cell>
          <cell r="G1878">
            <v>491861529</v>
          </cell>
          <cell r="H1878">
            <v>0</v>
          </cell>
          <cell r="I1878">
            <v>0</v>
          </cell>
          <cell r="J1878">
            <v>0</v>
          </cell>
          <cell r="K1878">
            <v>0</v>
          </cell>
          <cell r="L1878">
            <v>0</v>
          </cell>
        </row>
        <row r="1879">
          <cell r="A1879">
            <v>5</v>
          </cell>
          <cell r="B1879">
            <v>9</v>
          </cell>
          <cell r="C1879">
            <v>186</v>
          </cell>
          <cell r="D1879" t="str">
            <v xml:space="preserve">  </v>
          </cell>
          <cell r="E1879">
            <v>1529</v>
          </cell>
          <cell r="F1879" t="str">
            <v xml:space="preserve">   </v>
          </cell>
          <cell r="G1879">
            <v>591861529</v>
          </cell>
          <cell r="H1879">
            <v>0</v>
          </cell>
          <cell r="I1879">
            <v>0</v>
          </cell>
          <cell r="J1879">
            <v>0</v>
          </cell>
          <cell r="K1879">
            <v>0</v>
          </cell>
          <cell r="L1879">
            <v>0</v>
          </cell>
        </row>
        <row r="1880">
          <cell r="A1880">
            <v>3</v>
          </cell>
          <cell r="B1880">
            <v>9</v>
          </cell>
          <cell r="C1880">
            <v>186</v>
          </cell>
          <cell r="D1880" t="str">
            <v xml:space="preserve">  </v>
          </cell>
          <cell r="E1880">
            <v>1530</v>
          </cell>
          <cell r="F1880" t="str">
            <v xml:space="preserve">   </v>
          </cell>
          <cell r="G1880">
            <v>391861530</v>
          </cell>
          <cell r="H1880">
            <v>0</v>
          </cell>
          <cell r="I1880">
            <v>0</v>
          </cell>
          <cell r="J1880">
            <v>0</v>
          </cell>
          <cell r="K1880">
            <v>0</v>
          </cell>
          <cell r="L1880">
            <v>0</v>
          </cell>
        </row>
        <row r="1881">
          <cell r="A1881">
            <v>4</v>
          </cell>
          <cell r="B1881">
            <v>9</v>
          </cell>
          <cell r="C1881">
            <v>186</v>
          </cell>
          <cell r="D1881" t="str">
            <v xml:space="preserve">  </v>
          </cell>
          <cell r="E1881">
            <v>1530</v>
          </cell>
          <cell r="F1881" t="str">
            <v xml:space="preserve">   </v>
          </cell>
          <cell r="G1881">
            <v>491861530</v>
          </cell>
          <cell r="H1881">
            <v>0</v>
          </cell>
          <cell r="I1881">
            <v>0</v>
          </cell>
          <cell r="J1881">
            <v>0</v>
          </cell>
          <cell r="K1881">
            <v>0</v>
          </cell>
          <cell r="L1881">
            <v>0</v>
          </cell>
        </row>
        <row r="1882">
          <cell r="A1882">
            <v>5</v>
          </cell>
          <cell r="B1882">
            <v>9</v>
          </cell>
          <cell r="C1882">
            <v>186</v>
          </cell>
          <cell r="D1882" t="str">
            <v xml:space="preserve">  </v>
          </cell>
          <cell r="E1882">
            <v>1530</v>
          </cell>
          <cell r="F1882" t="str">
            <v xml:space="preserve">   </v>
          </cell>
          <cell r="G1882">
            <v>591861530</v>
          </cell>
          <cell r="H1882">
            <v>0</v>
          </cell>
          <cell r="I1882">
            <v>0</v>
          </cell>
          <cell r="J1882">
            <v>0</v>
          </cell>
          <cell r="K1882">
            <v>0</v>
          </cell>
          <cell r="L1882">
            <v>0</v>
          </cell>
        </row>
        <row r="1883">
          <cell r="A1883">
            <v>3</v>
          </cell>
          <cell r="B1883">
            <v>9</v>
          </cell>
          <cell r="C1883">
            <v>186</v>
          </cell>
          <cell r="D1883" t="str">
            <v xml:space="preserve">  </v>
          </cell>
          <cell r="E1883">
            <v>1531</v>
          </cell>
          <cell r="F1883" t="str">
            <v xml:space="preserve">   </v>
          </cell>
          <cell r="G1883">
            <v>391861531</v>
          </cell>
          <cell r="H1883">
            <v>0</v>
          </cell>
          <cell r="I1883">
            <v>0</v>
          </cell>
          <cell r="J1883">
            <v>0</v>
          </cell>
          <cell r="K1883">
            <v>0</v>
          </cell>
          <cell r="L1883">
            <v>0</v>
          </cell>
        </row>
        <row r="1884">
          <cell r="A1884">
            <v>4</v>
          </cell>
          <cell r="B1884">
            <v>9</v>
          </cell>
          <cell r="C1884">
            <v>186</v>
          </cell>
          <cell r="D1884" t="str">
            <v xml:space="preserve">  </v>
          </cell>
          <cell r="E1884">
            <v>1531</v>
          </cell>
          <cell r="F1884" t="str">
            <v xml:space="preserve">   </v>
          </cell>
          <cell r="G1884">
            <v>491861531</v>
          </cell>
          <cell r="H1884">
            <v>-0.24</v>
          </cell>
          <cell r="I1884">
            <v>-0.24</v>
          </cell>
          <cell r="J1884">
            <v>0</v>
          </cell>
          <cell r="K1884">
            <v>0</v>
          </cell>
          <cell r="L1884">
            <v>0</v>
          </cell>
        </row>
        <row r="1885">
          <cell r="A1885">
            <v>5</v>
          </cell>
          <cell r="B1885">
            <v>9</v>
          </cell>
          <cell r="C1885">
            <v>186</v>
          </cell>
          <cell r="D1885" t="str">
            <v xml:space="preserve">  </v>
          </cell>
          <cell r="E1885">
            <v>1531</v>
          </cell>
          <cell r="F1885" t="str">
            <v xml:space="preserve">   </v>
          </cell>
          <cell r="G1885">
            <v>591861531</v>
          </cell>
          <cell r="H1885">
            <v>-0.02</v>
          </cell>
          <cell r="I1885">
            <v>-0.02</v>
          </cell>
          <cell r="J1885">
            <v>0</v>
          </cell>
          <cell r="K1885">
            <v>0</v>
          </cell>
          <cell r="L1885">
            <v>0</v>
          </cell>
        </row>
        <row r="1886">
          <cell r="A1886">
            <v>3</v>
          </cell>
          <cell r="B1886">
            <v>9</v>
          </cell>
          <cell r="C1886">
            <v>186</v>
          </cell>
          <cell r="D1886" t="str">
            <v xml:space="preserve">  </v>
          </cell>
          <cell r="E1886">
            <v>1532</v>
          </cell>
          <cell r="F1886" t="str">
            <v xml:space="preserve">   </v>
          </cell>
          <cell r="G1886">
            <v>391861532</v>
          </cell>
          <cell r="H1886">
            <v>0</v>
          </cell>
          <cell r="I1886">
            <v>0</v>
          </cell>
          <cell r="J1886">
            <v>0</v>
          </cell>
          <cell r="K1886">
            <v>0</v>
          </cell>
          <cell r="L1886">
            <v>0</v>
          </cell>
        </row>
        <row r="1887">
          <cell r="A1887">
            <v>4</v>
          </cell>
          <cell r="B1887">
            <v>9</v>
          </cell>
          <cell r="C1887">
            <v>186</v>
          </cell>
          <cell r="D1887" t="str">
            <v xml:space="preserve">  </v>
          </cell>
          <cell r="E1887">
            <v>1532</v>
          </cell>
          <cell r="F1887" t="str">
            <v xml:space="preserve">   </v>
          </cell>
          <cell r="G1887">
            <v>491861532</v>
          </cell>
          <cell r="H1887">
            <v>0</v>
          </cell>
          <cell r="I1887">
            <v>0</v>
          </cell>
          <cell r="J1887">
            <v>0</v>
          </cell>
          <cell r="K1887">
            <v>0</v>
          </cell>
          <cell r="L1887">
            <v>0</v>
          </cell>
        </row>
        <row r="1888">
          <cell r="A1888">
            <v>5</v>
          </cell>
          <cell r="B1888">
            <v>9</v>
          </cell>
          <cell r="C1888">
            <v>186</v>
          </cell>
          <cell r="D1888" t="str">
            <v xml:space="preserve">  </v>
          </cell>
          <cell r="E1888">
            <v>1532</v>
          </cell>
          <cell r="F1888" t="str">
            <v xml:space="preserve">   </v>
          </cell>
          <cell r="G1888">
            <v>591861532</v>
          </cell>
          <cell r="H1888">
            <v>0</v>
          </cell>
          <cell r="I1888">
            <v>0</v>
          </cell>
          <cell r="J1888">
            <v>0</v>
          </cell>
          <cell r="K1888">
            <v>0</v>
          </cell>
          <cell r="L1888">
            <v>0</v>
          </cell>
        </row>
        <row r="1889">
          <cell r="A1889">
            <v>3</v>
          </cell>
          <cell r="B1889">
            <v>9</v>
          </cell>
          <cell r="C1889">
            <v>186</v>
          </cell>
          <cell r="D1889" t="str">
            <v xml:space="preserve">  </v>
          </cell>
          <cell r="E1889">
            <v>1658</v>
          </cell>
          <cell r="F1889" t="str">
            <v xml:space="preserve">   </v>
          </cell>
          <cell r="G1889">
            <v>391861658</v>
          </cell>
          <cell r="H1889">
            <v>108720</v>
          </cell>
          <cell r="I1889">
            <v>108720</v>
          </cell>
          <cell r="J1889">
            <v>0</v>
          </cell>
          <cell r="K1889">
            <v>0</v>
          </cell>
          <cell r="L1889">
            <v>0</v>
          </cell>
        </row>
        <row r="1890">
          <cell r="A1890">
            <v>4</v>
          </cell>
          <cell r="B1890">
            <v>9</v>
          </cell>
          <cell r="C1890">
            <v>186</v>
          </cell>
          <cell r="D1890" t="str">
            <v xml:space="preserve">  </v>
          </cell>
          <cell r="E1890">
            <v>1658</v>
          </cell>
          <cell r="F1890" t="str">
            <v xml:space="preserve">   </v>
          </cell>
          <cell r="G1890">
            <v>491861658</v>
          </cell>
          <cell r="H1890">
            <v>126839.67999999999</v>
          </cell>
          <cell r="I1890">
            <v>126839.67999999999</v>
          </cell>
          <cell r="J1890">
            <v>0</v>
          </cell>
          <cell r="K1890">
            <v>0</v>
          </cell>
          <cell r="L1890">
            <v>0</v>
          </cell>
        </row>
        <row r="1891">
          <cell r="A1891">
            <v>5</v>
          </cell>
          <cell r="B1891">
            <v>9</v>
          </cell>
          <cell r="C1891">
            <v>186</v>
          </cell>
          <cell r="D1891" t="str">
            <v xml:space="preserve">  </v>
          </cell>
          <cell r="E1891">
            <v>1658</v>
          </cell>
          <cell r="F1891" t="str">
            <v xml:space="preserve">   </v>
          </cell>
          <cell r="G1891">
            <v>591861658</v>
          </cell>
          <cell r="H1891">
            <v>110229.98</v>
          </cell>
          <cell r="I1891">
            <v>110229.98</v>
          </cell>
          <cell r="J1891">
            <v>0</v>
          </cell>
          <cell r="K1891">
            <v>0</v>
          </cell>
          <cell r="L1891">
            <v>0</v>
          </cell>
        </row>
        <row r="1892">
          <cell r="A1892">
            <v>3</v>
          </cell>
          <cell r="B1892">
            <v>9</v>
          </cell>
          <cell r="C1892">
            <v>186</v>
          </cell>
          <cell r="D1892" t="str">
            <v xml:space="preserve">  </v>
          </cell>
          <cell r="E1892">
            <v>1659</v>
          </cell>
          <cell r="F1892" t="str">
            <v xml:space="preserve">   </v>
          </cell>
          <cell r="G1892">
            <v>391861659</v>
          </cell>
          <cell r="H1892">
            <v>261360</v>
          </cell>
          <cell r="I1892">
            <v>261360</v>
          </cell>
          <cell r="J1892">
            <v>0</v>
          </cell>
          <cell r="K1892">
            <v>0</v>
          </cell>
          <cell r="L1892">
            <v>0</v>
          </cell>
        </row>
        <row r="1893">
          <cell r="A1893">
            <v>4</v>
          </cell>
          <cell r="B1893">
            <v>9</v>
          </cell>
          <cell r="C1893">
            <v>186</v>
          </cell>
          <cell r="D1893" t="str">
            <v xml:space="preserve">  </v>
          </cell>
          <cell r="E1893">
            <v>1659</v>
          </cell>
          <cell r="F1893" t="str">
            <v xml:space="preserve">   </v>
          </cell>
          <cell r="G1893">
            <v>491861659</v>
          </cell>
          <cell r="H1893">
            <v>304919.74</v>
          </cell>
          <cell r="I1893">
            <v>304919.74</v>
          </cell>
          <cell r="J1893">
            <v>0</v>
          </cell>
          <cell r="K1893">
            <v>0</v>
          </cell>
          <cell r="L1893">
            <v>0</v>
          </cell>
        </row>
        <row r="1894">
          <cell r="A1894">
            <v>5</v>
          </cell>
          <cell r="B1894">
            <v>9</v>
          </cell>
          <cell r="C1894">
            <v>186</v>
          </cell>
          <cell r="D1894" t="str">
            <v xml:space="preserve">  </v>
          </cell>
          <cell r="E1894">
            <v>1659</v>
          </cell>
          <cell r="F1894" t="str">
            <v xml:space="preserve">   </v>
          </cell>
          <cell r="G1894">
            <v>591861659</v>
          </cell>
          <cell r="H1894">
            <v>264989.98</v>
          </cell>
          <cell r="I1894">
            <v>264989.98</v>
          </cell>
          <cell r="J1894">
            <v>0</v>
          </cell>
          <cell r="K1894">
            <v>0</v>
          </cell>
          <cell r="L1894">
            <v>0</v>
          </cell>
        </row>
        <row r="1895">
          <cell r="A1895">
            <v>3</v>
          </cell>
          <cell r="B1895">
            <v>9</v>
          </cell>
          <cell r="C1895">
            <v>186</v>
          </cell>
          <cell r="D1895" t="str">
            <v xml:space="preserve">  </v>
          </cell>
          <cell r="E1895">
            <v>1880</v>
          </cell>
          <cell r="F1895" t="str">
            <v xml:space="preserve">   </v>
          </cell>
          <cell r="G1895">
            <v>391861880</v>
          </cell>
          <cell r="H1895">
            <v>146037.92000000001</v>
          </cell>
          <cell r="I1895">
            <v>0</v>
          </cell>
          <cell r="J1895">
            <v>146037.92000000001</v>
          </cell>
          <cell r="K1895">
            <v>0</v>
          </cell>
          <cell r="L1895">
            <v>0</v>
          </cell>
        </row>
        <row r="1896">
          <cell r="A1896">
            <v>4</v>
          </cell>
          <cell r="B1896">
            <v>9</v>
          </cell>
          <cell r="C1896">
            <v>186</v>
          </cell>
          <cell r="D1896" t="str">
            <v xml:space="preserve">  </v>
          </cell>
          <cell r="E1896">
            <v>1880</v>
          </cell>
          <cell r="F1896" t="str">
            <v xml:space="preserve">   </v>
          </cell>
          <cell r="G1896">
            <v>491861880</v>
          </cell>
          <cell r="H1896">
            <v>153367.79</v>
          </cell>
          <cell r="I1896">
            <v>0</v>
          </cell>
          <cell r="J1896">
            <v>153367.79</v>
          </cell>
          <cell r="K1896">
            <v>0</v>
          </cell>
          <cell r="L1896">
            <v>0</v>
          </cell>
        </row>
        <row r="1897">
          <cell r="A1897">
            <v>5</v>
          </cell>
          <cell r="B1897">
            <v>9</v>
          </cell>
          <cell r="C1897">
            <v>186</v>
          </cell>
          <cell r="D1897" t="str">
            <v xml:space="preserve">  </v>
          </cell>
          <cell r="E1897">
            <v>1880</v>
          </cell>
          <cell r="F1897" t="str">
            <v xml:space="preserve">   </v>
          </cell>
          <cell r="G1897">
            <v>591861880</v>
          </cell>
          <cell r="H1897">
            <v>146648.73000000001</v>
          </cell>
          <cell r="I1897">
            <v>0</v>
          </cell>
          <cell r="J1897">
            <v>146648.73000000001</v>
          </cell>
          <cell r="K1897">
            <v>0</v>
          </cell>
          <cell r="L1897">
            <v>0</v>
          </cell>
        </row>
        <row r="1898">
          <cell r="A1898">
            <v>3</v>
          </cell>
          <cell r="B1898">
            <v>9</v>
          </cell>
          <cell r="C1898">
            <v>186</v>
          </cell>
          <cell r="D1898" t="str">
            <v xml:space="preserve">  </v>
          </cell>
          <cell r="E1898">
            <v>1891</v>
          </cell>
          <cell r="F1898" t="str">
            <v xml:space="preserve">   </v>
          </cell>
          <cell r="G1898">
            <v>391861891</v>
          </cell>
          <cell r="H1898">
            <v>984129.06</v>
          </cell>
          <cell r="I1898">
            <v>0</v>
          </cell>
          <cell r="J1898">
            <v>620822.88</v>
          </cell>
          <cell r="K1898">
            <v>363306.18</v>
          </cell>
          <cell r="L1898">
            <v>0</v>
          </cell>
        </row>
        <row r="1899">
          <cell r="A1899">
            <v>4</v>
          </cell>
          <cell r="B1899">
            <v>9</v>
          </cell>
          <cell r="C1899">
            <v>186</v>
          </cell>
          <cell r="D1899" t="str">
            <v xml:space="preserve">  </v>
          </cell>
          <cell r="E1899">
            <v>1891</v>
          </cell>
          <cell r="F1899" t="str">
            <v xml:space="preserve">   </v>
          </cell>
          <cell r="G1899">
            <v>491861891</v>
          </cell>
          <cell r="H1899">
            <v>1034742.69</v>
          </cell>
          <cell r="I1899">
            <v>0</v>
          </cell>
          <cell r="J1899">
            <v>654748.03</v>
          </cell>
          <cell r="K1899">
            <v>379994.67</v>
          </cell>
          <cell r="L1899">
            <v>0</v>
          </cell>
        </row>
        <row r="1900">
          <cell r="A1900">
            <v>5</v>
          </cell>
          <cell r="B1900">
            <v>9</v>
          </cell>
          <cell r="C1900">
            <v>186</v>
          </cell>
          <cell r="D1900" t="str">
            <v xml:space="preserve">  </v>
          </cell>
          <cell r="E1900">
            <v>1891</v>
          </cell>
          <cell r="F1900" t="str">
            <v xml:space="preserve">   </v>
          </cell>
          <cell r="G1900">
            <v>591861891</v>
          </cell>
          <cell r="H1900">
            <v>988346.88</v>
          </cell>
          <cell r="I1900">
            <v>0</v>
          </cell>
          <cell r="J1900">
            <v>623649.98</v>
          </cell>
          <cell r="K1900">
            <v>364696.91</v>
          </cell>
          <cell r="L1900">
            <v>0</v>
          </cell>
        </row>
        <row r="1901">
          <cell r="A1901">
            <v>3</v>
          </cell>
          <cell r="B1901">
            <v>9</v>
          </cell>
          <cell r="C1901">
            <v>186</v>
          </cell>
          <cell r="D1901" t="str">
            <v xml:space="preserve">  </v>
          </cell>
          <cell r="E1901">
            <v>1892</v>
          </cell>
          <cell r="F1901" t="str">
            <v xml:space="preserve">   </v>
          </cell>
          <cell r="G1901">
            <v>391861892</v>
          </cell>
          <cell r="H1901">
            <v>5360646.93</v>
          </cell>
          <cell r="I1901">
            <v>0</v>
          </cell>
          <cell r="J1901">
            <v>3562718.2</v>
          </cell>
          <cell r="K1901">
            <v>1797928.73</v>
          </cell>
          <cell r="L1901">
            <v>0</v>
          </cell>
        </row>
        <row r="1902">
          <cell r="A1902">
            <v>4</v>
          </cell>
          <cell r="B1902">
            <v>9</v>
          </cell>
          <cell r="C1902">
            <v>186</v>
          </cell>
          <cell r="D1902" t="str">
            <v xml:space="preserve">  </v>
          </cell>
          <cell r="E1902">
            <v>1892</v>
          </cell>
          <cell r="F1902" t="str">
            <v xml:space="preserve">   </v>
          </cell>
          <cell r="G1902">
            <v>491861892</v>
          </cell>
          <cell r="H1902">
            <v>5618802.3399999999</v>
          </cell>
          <cell r="I1902">
            <v>0</v>
          </cell>
          <cell r="J1902">
            <v>3743981.93</v>
          </cell>
          <cell r="K1902">
            <v>1874820.41</v>
          </cell>
          <cell r="L1902">
            <v>0</v>
          </cell>
        </row>
        <row r="1903">
          <cell r="A1903">
            <v>5</v>
          </cell>
          <cell r="B1903">
            <v>9</v>
          </cell>
          <cell r="C1903">
            <v>186</v>
          </cell>
          <cell r="D1903" t="str">
            <v xml:space="preserve">  </v>
          </cell>
          <cell r="E1903">
            <v>1892</v>
          </cell>
          <cell r="F1903" t="str">
            <v xml:space="preserve">   </v>
          </cell>
          <cell r="G1903">
            <v>591861892</v>
          </cell>
          <cell r="H1903">
            <v>5382159.8799999999</v>
          </cell>
          <cell r="I1903">
            <v>0</v>
          </cell>
          <cell r="J1903">
            <v>3577823.51</v>
          </cell>
          <cell r="K1903">
            <v>1804336.37</v>
          </cell>
          <cell r="L1903">
            <v>0</v>
          </cell>
        </row>
        <row r="1904">
          <cell r="A1904">
            <v>3</v>
          </cell>
          <cell r="B1904">
            <v>9</v>
          </cell>
          <cell r="C1904">
            <v>186</v>
          </cell>
          <cell r="D1904" t="str">
            <v xml:space="preserve">  </v>
          </cell>
          <cell r="E1904">
            <v>1905</v>
          </cell>
          <cell r="F1904" t="str">
            <v xml:space="preserve">   </v>
          </cell>
          <cell r="G1904">
            <v>391861905</v>
          </cell>
          <cell r="H1904">
            <v>22666204.34</v>
          </cell>
          <cell r="I1904">
            <v>0</v>
          </cell>
          <cell r="J1904">
            <v>15068587.51</v>
          </cell>
          <cell r="K1904">
            <v>7597616.8300000001</v>
          </cell>
          <cell r="L1904">
            <v>0</v>
          </cell>
        </row>
        <row r="1905">
          <cell r="A1905">
            <v>4</v>
          </cell>
          <cell r="B1905">
            <v>9</v>
          </cell>
          <cell r="C1905">
            <v>186</v>
          </cell>
          <cell r="D1905" t="str">
            <v xml:space="preserve">  </v>
          </cell>
          <cell r="E1905">
            <v>1905</v>
          </cell>
          <cell r="F1905" t="str">
            <v xml:space="preserve">   </v>
          </cell>
          <cell r="G1905">
            <v>491861905</v>
          </cell>
          <cell r="H1905">
            <v>23854927.170000002</v>
          </cell>
          <cell r="I1905">
            <v>0</v>
          </cell>
          <cell r="J1905">
            <v>15901730.199999999</v>
          </cell>
          <cell r="K1905">
            <v>7953196.9699999997</v>
          </cell>
          <cell r="L1905">
            <v>0</v>
          </cell>
        </row>
        <row r="1906">
          <cell r="A1906">
            <v>5</v>
          </cell>
          <cell r="B1906">
            <v>9</v>
          </cell>
          <cell r="C1906">
            <v>186</v>
          </cell>
          <cell r="D1906" t="str">
            <v xml:space="preserve">  </v>
          </cell>
          <cell r="E1906">
            <v>1905</v>
          </cell>
          <cell r="F1906" t="str">
            <v xml:space="preserve">   </v>
          </cell>
          <cell r="G1906">
            <v>591861905</v>
          </cell>
          <cell r="H1906">
            <v>22765264.579999998</v>
          </cell>
          <cell r="I1906">
            <v>0</v>
          </cell>
          <cell r="J1906">
            <v>15138016.07</v>
          </cell>
          <cell r="K1906">
            <v>7627248.5099999998</v>
          </cell>
          <cell r="L1906">
            <v>0</v>
          </cell>
        </row>
        <row r="1907">
          <cell r="A1907">
            <v>3</v>
          </cell>
          <cell r="B1907">
            <v>9</v>
          </cell>
          <cell r="C1907">
            <v>186</v>
          </cell>
          <cell r="D1907" t="str">
            <v xml:space="preserve">  </v>
          </cell>
          <cell r="E1907">
            <v>1914</v>
          </cell>
          <cell r="F1907" t="str">
            <v xml:space="preserve">   </v>
          </cell>
          <cell r="G1907">
            <v>391861914</v>
          </cell>
          <cell r="H1907">
            <v>3829855.34</v>
          </cell>
          <cell r="I1907">
            <v>0</v>
          </cell>
          <cell r="J1907">
            <v>2582389.98</v>
          </cell>
          <cell r="K1907">
            <v>1247465.3600000001</v>
          </cell>
          <cell r="L1907">
            <v>0</v>
          </cell>
        </row>
        <row r="1908">
          <cell r="A1908">
            <v>4</v>
          </cell>
          <cell r="B1908">
            <v>9</v>
          </cell>
          <cell r="C1908">
            <v>186</v>
          </cell>
          <cell r="D1908" t="str">
            <v xml:space="preserve">  </v>
          </cell>
          <cell r="E1908">
            <v>1914</v>
          </cell>
          <cell r="F1908" t="str">
            <v xml:space="preserve">   </v>
          </cell>
          <cell r="G1908">
            <v>491861914</v>
          </cell>
          <cell r="H1908">
            <v>4028838.51</v>
          </cell>
          <cell r="I1908">
            <v>0</v>
          </cell>
          <cell r="J1908">
            <v>2722642.61</v>
          </cell>
          <cell r="K1908">
            <v>1306195.9099999999</v>
          </cell>
          <cell r="L1908">
            <v>0</v>
          </cell>
        </row>
        <row r="1909">
          <cell r="A1909">
            <v>5</v>
          </cell>
          <cell r="B1909">
            <v>9</v>
          </cell>
          <cell r="C1909">
            <v>186</v>
          </cell>
          <cell r="D1909" t="str">
            <v xml:space="preserve">  </v>
          </cell>
          <cell r="E1909">
            <v>1914</v>
          </cell>
          <cell r="F1909" t="str">
            <v xml:space="preserve">   </v>
          </cell>
          <cell r="G1909">
            <v>591861914</v>
          </cell>
          <cell r="H1909">
            <v>3846437.29</v>
          </cell>
          <cell r="I1909">
            <v>0</v>
          </cell>
          <cell r="J1909">
            <v>2594077.7000000002</v>
          </cell>
          <cell r="K1909">
            <v>1252359.6000000001</v>
          </cell>
          <cell r="L1909">
            <v>0</v>
          </cell>
        </row>
        <row r="1910">
          <cell r="A1910">
            <v>3</v>
          </cell>
          <cell r="B1910">
            <v>9</v>
          </cell>
          <cell r="C1910">
            <v>186</v>
          </cell>
          <cell r="D1910" t="str">
            <v xml:space="preserve">  </v>
          </cell>
          <cell r="E1910">
            <v>1916</v>
          </cell>
          <cell r="F1910" t="str">
            <v xml:space="preserve">   </v>
          </cell>
          <cell r="G1910">
            <v>391861916</v>
          </cell>
          <cell r="H1910">
            <v>1798449.19</v>
          </cell>
          <cell r="I1910">
            <v>0</v>
          </cell>
          <cell r="J1910">
            <v>1356668.53</v>
          </cell>
          <cell r="K1910">
            <v>441780.66</v>
          </cell>
          <cell r="L1910">
            <v>0</v>
          </cell>
        </row>
        <row r="1911">
          <cell r="A1911">
            <v>4</v>
          </cell>
          <cell r="B1911">
            <v>9</v>
          </cell>
          <cell r="C1911">
            <v>186</v>
          </cell>
          <cell r="D1911" t="str">
            <v xml:space="preserve">  </v>
          </cell>
          <cell r="E1911">
            <v>1916</v>
          </cell>
          <cell r="F1911" t="str">
            <v xml:space="preserve">   </v>
          </cell>
          <cell r="G1911">
            <v>491861916</v>
          </cell>
          <cell r="H1911">
            <v>1875021.36</v>
          </cell>
          <cell r="I1911">
            <v>0</v>
          </cell>
          <cell r="J1911">
            <v>1415586.43</v>
          </cell>
          <cell r="K1911">
            <v>459434.93</v>
          </cell>
          <cell r="L1911">
            <v>0</v>
          </cell>
        </row>
        <row r="1912">
          <cell r="A1912">
            <v>5</v>
          </cell>
          <cell r="B1912">
            <v>9</v>
          </cell>
          <cell r="C1912">
            <v>186</v>
          </cell>
          <cell r="D1912" t="str">
            <v xml:space="preserve">  </v>
          </cell>
          <cell r="E1912">
            <v>1916</v>
          </cell>
          <cell r="F1912" t="str">
            <v xml:space="preserve">   </v>
          </cell>
          <cell r="G1912">
            <v>591861916</v>
          </cell>
          <cell r="H1912">
            <v>1804830.19</v>
          </cell>
          <cell r="I1912">
            <v>0</v>
          </cell>
          <cell r="J1912">
            <v>1361578.35</v>
          </cell>
          <cell r="K1912">
            <v>443251.84</v>
          </cell>
          <cell r="L1912">
            <v>0</v>
          </cell>
        </row>
        <row r="1913">
          <cell r="A1913">
            <v>3</v>
          </cell>
          <cell r="B1913">
            <v>9</v>
          </cell>
          <cell r="C1913">
            <v>186</v>
          </cell>
          <cell r="D1913" t="str">
            <v xml:space="preserve">  </v>
          </cell>
          <cell r="E1913">
            <v>1947</v>
          </cell>
          <cell r="F1913" t="str">
            <v xml:space="preserve">   </v>
          </cell>
          <cell r="G1913">
            <v>391861947</v>
          </cell>
          <cell r="H1913">
            <v>170978.24</v>
          </cell>
          <cell r="I1913">
            <v>0</v>
          </cell>
          <cell r="J1913">
            <v>107567.7</v>
          </cell>
          <cell r="K1913">
            <v>63410.54</v>
          </cell>
          <cell r="L1913">
            <v>0</v>
          </cell>
        </row>
        <row r="1914">
          <cell r="A1914">
            <v>4</v>
          </cell>
          <cell r="B1914">
            <v>9</v>
          </cell>
          <cell r="C1914">
            <v>186</v>
          </cell>
          <cell r="D1914" t="str">
            <v xml:space="preserve">  </v>
          </cell>
          <cell r="E1914">
            <v>1947</v>
          </cell>
          <cell r="F1914" t="str">
            <v xml:space="preserve">   </v>
          </cell>
          <cell r="G1914">
            <v>491861947</v>
          </cell>
          <cell r="H1914">
            <v>210936.23</v>
          </cell>
          <cell r="I1914">
            <v>0</v>
          </cell>
          <cell r="J1914">
            <v>135167.18</v>
          </cell>
          <cell r="K1914">
            <v>75769.06</v>
          </cell>
          <cell r="L1914">
            <v>0</v>
          </cell>
        </row>
        <row r="1915">
          <cell r="A1915">
            <v>5</v>
          </cell>
          <cell r="B1915">
            <v>9</v>
          </cell>
          <cell r="C1915">
            <v>186</v>
          </cell>
          <cell r="D1915" t="str">
            <v xml:space="preserve">  </v>
          </cell>
          <cell r="E1915">
            <v>1947</v>
          </cell>
          <cell r="F1915" t="str">
            <v xml:space="preserve">   </v>
          </cell>
          <cell r="G1915">
            <v>591861947</v>
          </cell>
          <cell r="H1915">
            <v>174308.1</v>
          </cell>
          <cell r="I1915">
            <v>0</v>
          </cell>
          <cell r="J1915">
            <v>109867.66</v>
          </cell>
          <cell r="K1915">
            <v>64440.44</v>
          </cell>
          <cell r="L1915">
            <v>0</v>
          </cell>
        </row>
        <row r="1916">
          <cell r="A1916">
            <v>3</v>
          </cell>
          <cell r="B1916">
            <v>9</v>
          </cell>
          <cell r="C1916">
            <v>186</v>
          </cell>
          <cell r="D1916" t="str">
            <v xml:space="preserve">  </v>
          </cell>
          <cell r="E1916">
            <v>1948</v>
          </cell>
          <cell r="F1916" t="str">
            <v xml:space="preserve">   </v>
          </cell>
          <cell r="G1916">
            <v>391861948</v>
          </cell>
          <cell r="H1916">
            <v>1880781.55</v>
          </cell>
          <cell r="I1916">
            <v>0</v>
          </cell>
          <cell r="J1916">
            <v>1282693.06</v>
          </cell>
          <cell r="K1916">
            <v>598088.49</v>
          </cell>
          <cell r="L1916">
            <v>0</v>
          </cell>
        </row>
        <row r="1917">
          <cell r="A1917">
            <v>4</v>
          </cell>
          <cell r="B1917">
            <v>9</v>
          </cell>
          <cell r="C1917">
            <v>186</v>
          </cell>
          <cell r="D1917" t="str">
            <v xml:space="preserve">  </v>
          </cell>
          <cell r="E1917">
            <v>1948</v>
          </cell>
          <cell r="F1917" t="str">
            <v xml:space="preserve">   </v>
          </cell>
          <cell r="G1917">
            <v>491861948</v>
          </cell>
          <cell r="H1917">
            <v>1972668.51</v>
          </cell>
          <cell r="I1917">
            <v>0</v>
          </cell>
          <cell r="J1917">
            <v>1349479.15</v>
          </cell>
          <cell r="K1917">
            <v>623189.36</v>
          </cell>
          <cell r="L1917">
            <v>0</v>
          </cell>
        </row>
        <row r="1918">
          <cell r="A1918">
            <v>5</v>
          </cell>
          <cell r="B1918">
            <v>9</v>
          </cell>
          <cell r="C1918">
            <v>186</v>
          </cell>
          <cell r="D1918" t="str">
            <v xml:space="preserve">  </v>
          </cell>
          <cell r="E1918">
            <v>1948</v>
          </cell>
          <cell r="F1918" t="str">
            <v xml:space="preserve">   </v>
          </cell>
          <cell r="G1918">
            <v>591861948</v>
          </cell>
          <cell r="H1918">
            <v>1888438.83</v>
          </cell>
          <cell r="I1918">
            <v>0</v>
          </cell>
          <cell r="J1918">
            <v>1288258.6000000001</v>
          </cell>
          <cell r="K1918">
            <v>600180.23</v>
          </cell>
          <cell r="L1918">
            <v>0</v>
          </cell>
        </row>
        <row r="1919">
          <cell r="A1919">
            <v>3</v>
          </cell>
          <cell r="B1919">
            <v>9</v>
          </cell>
          <cell r="C1919">
            <v>186</v>
          </cell>
          <cell r="D1919" t="str">
            <v xml:space="preserve">  </v>
          </cell>
          <cell r="E1919">
            <v>1949</v>
          </cell>
          <cell r="F1919" t="str">
            <v xml:space="preserve">   </v>
          </cell>
          <cell r="G1919">
            <v>391861949</v>
          </cell>
          <cell r="H1919">
            <v>1668984.76</v>
          </cell>
          <cell r="I1919">
            <v>0</v>
          </cell>
          <cell r="J1919">
            <v>1138353.9099999999</v>
          </cell>
          <cell r="K1919">
            <v>530630.85</v>
          </cell>
          <cell r="L1919">
            <v>0</v>
          </cell>
        </row>
        <row r="1920">
          <cell r="A1920">
            <v>4</v>
          </cell>
          <cell r="B1920">
            <v>9</v>
          </cell>
          <cell r="C1920">
            <v>186</v>
          </cell>
          <cell r="D1920" t="str">
            <v xml:space="preserve">  </v>
          </cell>
          <cell r="E1920">
            <v>1949</v>
          </cell>
          <cell r="F1920" t="str">
            <v xml:space="preserve">   </v>
          </cell>
          <cell r="G1920">
            <v>491861949</v>
          </cell>
          <cell r="H1920">
            <v>1754673.55</v>
          </cell>
          <cell r="I1920">
            <v>0</v>
          </cell>
          <cell r="J1920">
            <v>1199322.03</v>
          </cell>
          <cell r="K1920">
            <v>555351.53</v>
          </cell>
          <cell r="L1920">
            <v>0</v>
          </cell>
        </row>
        <row r="1921">
          <cell r="A1921">
            <v>5</v>
          </cell>
          <cell r="B1921">
            <v>9</v>
          </cell>
          <cell r="C1921">
            <v>186</v>
          </cell>
          <cell r="D1921" t="str">
            <v xml:space="preserve">  </v>
          </cell>
          <cell r="E1921">
            <v>1949</v>
          </cell>
          <cell r="F1921" t="str">
            <v xml:space="preserve">   </v>
          </cell>
          <cell r="G1921">
            <v>591861949</v>
          </cell>
          <cell r="H1921">
            <v>1676125.48</v>
          </cell>
          <cell r="I1921">
            <v>0</v>
          </cell>
          <cell r="J1921">
            <v>1143434.5900000001</v>
          </cell>
          <cell r="K1921">
            <v>532690.9</v>
          </cell>
          <cell r="L1921">
            <v>0</v>
          </cell>
        </row>
        <row r="1922">
          <cell r="A1922">
            <v>3</v>
          </cell>
          <cell r="B1922">
            <v>9</v>
          </cell>
          <cell r="C1922">
            <v>186</v>
          </cell>
          <cell r="D1922" t="str">
            <v xml:space="preserve">  </v>
          </cell>
          <cell r="E1922">
            <v>1950</v>
          </cell>
          <cell r="F1922" t="str">
            <v xml:space="preserve">   </v>
          </cell>
          <cell r="G1922">
            <v>391861950</v>
          </cell>
          <cell r="H1922">
            <v>620736.65</v>
          </cell>
          <cell r="I1922">
            <v>0</v>
          </cell>
          <cell r="J1922">
            <v>465822.66</v>
          </cell>
          <cell r="K1922">
            <v>154913.99</v>
          </cell>
          <cell r="L1922">
            <v>0</v>
          </cell>
        </row>
        <row r="1923">
          <cell r="A1923">
            <v>4</v>
          </cell>
          <cell r="B1923">
            <v>9</v>
          </cell>
          <cell r="C1923">
            <v>186</v>
          </cell>
          <cell r="D1923" t="str">
            <v xml:space="preserve">  </v>
          </cell>
          <cell r="E1923">
            <v>1950</v>
          </cell>
          <cell r="F1923" t="str">
            <v xml:space="preserve">   </v>
          </cell>
          <cell r="G1923">
            <v>491861950</v>
          </cell>
          <cell r="H1923">
            <v>649053.28</v>
          </cell>
          <cell r="I1923">
            <v>0</v>
          </cell>
          <cell r="J1923">
            <v>487953.49</v>
          </cell>
          <cell r="K1923">
            <v>161099.79</v>
          </cell>
          <cell r="L1923">
            <v>0</v>
          </cell>
        </row>
        <row r="1924">
          <cell r="A1924">
            <v>5</v>
          </cell>
          <cell r="B1924">
            <v>9</v>
          </cell>
          <cell r="C1924">
            <v>186</v>
          </cell>
          <cell r="D1924" t="str">
            <v xml:space="preserve">  </v>
          </cell>
          <cell r="E1924">
            <v>1950</v>
          </cell>
          <cell r="F1924" t="str">
            <v xml:space="preserve">   </v>
          </cell>
          <cell r="G1924">
            <v>591861950</v>
          </cell>
          <cell r="H1924">
            <v>623096.39</v>
          </cell>
          <cell r="I1924">
            <v>0</v>
          </cell>
          <cell r="J1924">
            <v>467666.91</v>
          </cell>
          <cell r="K1924">
            <v>155429.48000000001</v>
          </cell>
          <cell r="L1924">
            <v>0</v>
          </cell>
        </row>
        <row r="1925">
          <cell r="A1925">
            <v>3</v>
          </cell>
          <cell r="B1925">
            <v>9</v>
          </cell>
          <cell r="C1925">
            <v>186</v>
          </cell>
          <cell r="D1925" t="str">
            <v xml:space="preserve">  </v>
          </cell>
          <cell r="E1925">
            <v>1951</v>
          </cell>
          <cell r="F1925" t="str">
            <v xml:space="preserve">   </v>
          </cell>
          <cell r="G1925">
            <v>391861951</v>
          </cell>
          <cell r="H1925">
            <v>214216.01</v>
          </cell>
          <cell r="I1925">
            <v>0</v>
          </cell>
          <cell r="J1925">
            <v>161656.68</v>
          </cell>
          <cell r="K1925">
            <v>52559.33</v>
          </cell>
          <cell r="L1925">
            <v>0</v>
          </cell>
        </row>
        <row r="1926">
          <cell r="A1926">
            <v>4</v>
          </cell>
          <cell r="B1926">
            <v>9</v>
          </cell>
          <cell r="C1926">
            <v>186</v>
          </cell>
          <cell r="D1926" t="str">
            <v xml:space="preserve">  </v>
          </cell>
          <cell r="E1926">
            <v>1951</v>
          </cell>
          <cell r="F1926" t="str">
            <v xml:space="preserve">   </v>
          </cell>
          <cell r="G1926">
            <v>491861951</v>
          </cell>
          <cell r="H1926">
            <v>224015.08</v>
          </cell>
          <cell r="I1926">
            <v>0</v>
          </cell>
          <cell r="J1926">
            <v>169353.95</v>
          </cell>
          <cell r="K1926">
            <v>54661.13</v>
          </cell>
          <cell r="L1926">
            <v>0</v>
          </cell>
        </row>
        <row r="1927">
          <cell r="A1927">
            <v>5</v>
          </cell>
          <cell r="B1927">
            <v>9</v>
          </cell>
          <cell r="C1927">
            <v>186</v>
          </cell>
          <cell r="D1927" t="str">
            <v xml:space="preserve">  </v>
          </cell>
          <cell r="E1927">
            <v>1951</v>
          </cell>
          <cell r="F1927" t="str">
            <v xml:space="preserve">   </v>
          </cell>
          <cell r="G1927">
            <v>591861951</v>
          </cell>
          <cell r="H1927">
            <v>215032.62</v>
          </cell>
          <cell r="I1927">
            <v>0</v>
          </cell>
          <cell r="J1927">
            <v>162298.14000000001</v>
          </cell>
          <cell r="K1927">
            <v>52734.48</v>
          </cell>
          <cell r="L1927">
            <v>0</v>
          </cell>
        </row>
        <row r="1928">
          <cell r="A1928">
            <v>3</v>
          </cell>
          <cell r="B1928">
            <v>9</v>
          </cell>
          <cell r="C1928">
            <v>186</v>
          </cell>
          <cell r="D1928" t="str">
            <v xml:space="preserve">  </v>
          </cell>
          <cell r="E1928">
            <v>1952</v>
          </cell>
          <cell r="F1928" t="str">
            <v xml:space="preserve">   </v>
          </cell>
          <cell r="G1928">
            <v>391861952</v>
          </cell>
          <cell r="H1928">
            <v>2443330</v>
          </cell>
          <cell r="I1928">
            <v>0</v>
          </cell>
          <cell r="J1928">
            <v>1827592.58</v>
          </cell>
          <cell r="K1928">
            <v>615737.42000000004</v>
          </cell>
          <cell r="L1928">
            <v>0</v>
          </cell>
        </row>
        <row r="1929">
          <cell r="A1929">
            <v>4</v>
          </cell>
          <cell r="B1929">
            <v>9</v>
          </cell>
          <cell r="C1929">
            <v>186</v>
          </cell>
          <cell r="D1929" t="str">
            <v xml:space="preserve">  </v>
          </cell>
          <cell r="E1929">
            <v>1952</v>
          </cell>
          <cell r="F1929" t="str">
            <v xml:space="preserve">   </v>
          </cell>
          <cell r="G1929">
            <v>491861952</v>
          </cell>
          <cell r="H1929">
            <v>2547418.96</v>
          </cell>
          <cell r="I1929">
            <v>0</v>
          </cell>
          <cell r="J1929">
            <v>1907052.24</v>
          </cell>
          <cell r="K1929">
            <v>640366.72</v>
          </cell>
          <cell r="L1929">
            <v>0</v>
          </cell>
        </row>
        <row r="1930">
          <cell r="A1930">
            <v>5</v>
          </cell>
          <cell r="B1930">
            <v>9</v>
          </cell>
          <cell r="C1930">
            <v>186</v>
          </cell>
          <cell r="D1930" t="str">
            <v xml:space="preserve">  </v>
          </cell>
          <cell r="E1930">
            <v>1952</v>
          </cell>
          <cell r="F1930" t="str">
            <v xml:space="preserve">   </v>
          </cell>
          <cell r="G1930">
            <v>591861952</v>
          </cell>
          <cell r="H1930">
            <v>2452004.11</v>
          </cell>
          <cell r="I1930">
            <v>0</v>
          </cell>
          <cell r="J1930">
            <v>1834214.25</v>
          </cell>
          <cell r="K1930">
            <v>617789.86</v>
          </cell>
          <cell r="L1930">
            <v>0</v>
          </cell>
        </row>
        <row r="1931">
          <cell r="A1931">
            <v>3</v>
          </cell>
          <cell r="B1931">
            <v>9</v>
          </cell>
          <cell r="C1931">
            <v>186</v>
          </cell>
          <cell r="D1931" t="str">
            <v xml:space="preserve">  </v>
          </cell>
          <cell r="E1931">
            <v>1953</v>
          </cell>
          <cell r="F1931" t="str">
            <v xml:space="preserve">   </v>
          </cell>
          <cell r="G1931">
            <v>391861953</v>
          </cell>
          <cell r="H1931">
            <v>357799.19</v>
          </cell>
          <cell r="I1931">
            <v>0</v>
          </cell>
          <cell r="J1931">
            <v>267128.82</v>
          </cell>
          <cell r="K1931">
            <v>90670.37</v>
          </cell>
          <cell r="L1931">
            <v>0</v>
          </cell>
        </row>
        <row r="1932">
          <cell r="A1932">
            <v>4</v>
          </cell>
          <cell r="B1932">
            <v>9</v>
          </cell>
          <cell r="C1932">
            <v>186</v>
          </cell>
          <cell r="D1932" t="str">
            <v xml:space="preserve">  </v>
          </cell>
          <cell r="E1932">
            <v>1953</v>
          </cell>
          <cell r="F1932" t="str">
            <v xml:space="preserve">   </v>
          </cell>
          <cell r="G1932">
            <v>491861953</v>
          </cell>
          <cell r="H1932">
            <v>385322.17</v>
          </cell>
          <cell r="I1932">
            <v>0</v>
          </cell>
          <cell r="J1932">
            <v>287677.09000000003</v>
          </cell>
          <cell r="K1932">
            <v>97645.08</v>
          </cell>
          <cell r="L1932">
            <v>0</v>
          </cell>
        </row>
        <row r="1933">
          <cell r="A1933">
            <v>5</v>
          </cell>
          <cell r="B1933">
            <v>9</v>
          </cell>
          <cell r="C1933">
            <v>186</v>
          </cell>
          <cell r="D1933" t="str">
            <v xml:space="preserve">  </v>
          </cell>
          <cell r="E1933">
            <v>1953</v>
          </cell>
          <cell r="F1933" t="str">
            <v xml:space="preserve">   </v>
          </cell>
          <cell r="G1933">
            <v>591861953</v>
          </cell>
          <cell r="H1933">
            <v>360092.77</v>
          </cell>
          <cell r="I1933">
            <v>0</v>
          </cell>
          <cell r="J1933">
            <v>268841.17</v>
          </cell>
          <cell r="K1933">
            <v>91251.6</v>
          </cell>
          <cell r="L1933">
            <v>0</v>
          </cell>
        </row>
        <row r="1934">
          <cell r="A1934">
            <v>3</v>
          </cell>
          <cell r="B1934">
            <v>9</v>
          </cell>
          <cell r="C1934">
            <v>186</v>
          </cell>
          <cell r="D1934" t="str">
            <v xml:space="preserve">  </v>
          </cell>
          <cell r="E1934">
            <v>1973</v>
          </cell>
          <cell r="F1934" t="str">
            <v xml:space="preserve">   </v>
          </cell>
          <cell r="G1934">
            <v>391861973</v>
          </cell>
          <cell r="H1934">
            <v>296770.33</v>
          </cell>
          <cell r="I1934">
            <v>0</v>
          </cell>
          <cell r="J1934">
            <v>203158.56</v>
          </cell>
          <cell r="K1934">
            <v>93611.77</v>
          </cell>
          <cell r="L1934">
            <v>0</v>
          </cell>
        </row>
        <row r="1935">
          <cell r="A1935">
            <v>4</v>
          </cell>
          <cell r="B1935">
            <v>9</v>
          </cell>
          <cell r="C1935">
            <v>186</v>
          </cell>
          <cell r="D1935" t="str">
            <v xml:space="preserve">  </v>
          </cell>
          <cell r="E1935">
            <v>1973</v>
          </cell>
          <cell r="F1935" t="str">
            <v xml:space="preserve">   </v>
          </cell>
          <cell r="G1935">
            <v>491861973</v>
          </cell>
          <cell r="H1935">
            <v>311072.99</v>
          </cell>
          <cell r="I1935">
            <v>0</v>
          </cell>
          <cell r="J1935">
            <v>213099.58</v>
          </cell>
          <cell r="K1935">
            <v>97973.42</v>
          </cell>
          <cell r="L1935">
            <v>0</v>
          </cell>
        </row>
        <row r="1936">
          <cell r="A1936">
            <v>5</v>
          </cell>
          <cell r="B1936">
            <v>9</v>
          </cell>
          <cell r="C1936">
            <v>186</v>
          </cell>
          <cell r="D1936" t="str">
            <v xml:space="preserve">  </v>
          </cell>
          <cell r="E1936">
            <v>1973</v>
          </cell>
          <cell r="F1936" t="str">
            <v xml:space="preserve">   </v>
          </cell>
          <cell r="G1936">
            <v>591861973</v>
          </cell>
          <cell r="H1936">
            <v>297962.23999999999</v>
          </cell>
          <cell r="I1936">
            <v>0</v>
          </cell>
          <cell r="J1936">
            <v>203987.01</v>
          </cell>
          <cell r="K1936">
            <v>93975.24</v>
          </cell>
          <cell r="L1936">
            <v>0</v>
          </cell>
        </row>
        <row r="1937">
          <cell r="A1937">
            <v>3</v>
          </cell>
          <cell r="B1937">
            <v>9</v>
          </cell>
          <cell r="C1937">
            <v>186</v>
          </cell>
          <cell r="D1937" t="str">
            <v xml:space="preserve">  </v>
          </cell>
          <cell r="E1937">
            <v>1974</v>
          </cell>
          <cell r="F1937" t="str">
            <v xml:space="preserve">   </v>
          </cell>
          <cell r="G1937">
            <v>391861974</v>
          </cell>
          <cell r="H1937">
            <v>166004.51</v>
          </cell>
          <cell r="I1937">
            <v>0</v>
          </cell>
          <cell r="J1937">
            <v>112960.67</v>
          </cell>
          <cell r="K1937">
            <v>53043.839999999997</v>
          </cell>
          <cell r="L1937">
            <v>0</v>
          </cell>
        </row>
        <row r="1938">
          <cell r="A1938">
            <v>4</v>
          </cell>
          <cell r="B1938">
            <v>9</v>
          </cell>
          <cell r="C1938">
            <v>186</v>
          </cell>
          <cell r="D1938" t="str">
            <v xml:space="preserve">  </v>
          </cell>
          <cell r="E1938">
            <v>1974</v>
          </cell>
          <cell r="F1938" t="str">
            <v xml:space="preserve">   </v>
          </cell>
          <cell r="G1938">
            <v>491861974</v>
          </cell>
          <cell r="H1938">
            <v>174531.83</v>
          </cell>
          <cell r="I1938">
            <v>0</v>
          </cell>
          <cell r="J1938">
            <v>119035.71</v>
          </cell>
          <cell r="K1938">
            <v>55496.12</v>
          </cell>
          <cell r="L1938">
            <v>0</v>
          </cell>
        </row>
        <row r="1939">
          <cell r="A1939">
            <v>5</v>
          </cell>
          <cell r="B1939">
            <v>9</v>
          </cell>
          <cell r="C1939">
            <v>186</v>
          </cell>
          <cell r="D1939" t="str">
            <v xml:space="preserve">  </v>
          </cell>
          <cell r="E1939">
            <v>1974</v>
          </cell>
          <cell r="F1939" t="str">
            <v xml:space="preserve">   </v>
          </cell>
          <cell r="G1939">
            <v>591861974</v>
          </cell>
          <cell r="H1939">
            <v>166715.13</v>
          </cell>
          <cell r="I1939">
            <v>0</v>
          </cell>
          <cell r="J1939">
            <v>113466.92</v>
          </cell>
          <cell r="K1939">
            <v>53248.21</v>
          </cell>
          <cell r="L1939">
            <v>0</v>
          </cell>
        </row>
        <row r="1940">
          <cell r="A1940">
            <v>3</v>
          </cell>
          <cell r="B1940">
            <v>9</v>
          </cell>
          <cell r="C1940">
            <v>186</v>
          </cell>
          <cell r="D1940" t="str">
            <v xml:space="preserve">  </v>
          </cell>
          <cell r="E1940">
            <v>1975</v>
          </cell>
          <cell r="F1940" t="str">
            <v xml:space="preserve">   </v>
          </cell>
          <cell r="G1940">
            <v>391861975</v>
          </cell>
          <cell r="H1940">
            <v>460865.39</v>
          </cell>
          <cell r="I1940">
            <v>0</v>
          </cell>
          <cell r="J1940">
            <v>308265.2</v>
          </cell>
          <cell r="K1940">
            <v>152600.19</v>
          </cell>
          <cell r="L1940">
            <v>0</v>
          </cell>
        </row>
        <row r="1941">
          <cell r="A1941">
            <v>4</v>
          </cell>
          <cell r="B1941">
            <v>9</v>
          </cell>
          <cell r="C1941">
            <v>186</v>
          </cell>
          <cell r="D1941" t="str">
            <v xml:space="preserve">  </v>
          </cell>
          <cell r="E1941">
            <v>1975</v>
          </cell>
          <cell r="F1941" t="str">
            <v xml:space="preserve">   </v>
          </cell>
          <cell r="G1941">
            <v>491861975</v>
          </cell>
          <cell r="H1941">
            <v>484812.98</v>
          </cell>
          <cell r="I1941">
            <v>0</v>
          </cell>
          <cell r="J1941">
            <v>325097.81</v>
          </cell>
          <cell r="K1941">
            <v>159715.18</v>
          </cell>
          <cell r="L1941">
            <v>0</v>
          </cell>
        </row>
        <row r="1942">
          <cell r="A1942">
            <v>5</v>
          </cell>
          <cell r="B1942">
            <v>9</v>
          </cell>
          <cell r="C1942">
            <v>186</v>
          </cell>
          <cell r="D1942" t="str">
            <v xml:space="preserve">  </v>
          </cell>
          <cell r="E1942">
            <v>1975</v>
          </cell>
          <cell r="F1942" t="str">
            <v xml:space="preserve">   </v>
          </cell>
          <cell r="G1942">
            <v>591861975</v>
          </cell>
          <cell r="H1942">
            <v>462861.01</v>
          </cell>
          <cell r="I1942">
            <v>0</v>
          </cell>
          <cell r="J1942">
            <v>309667.92</v>
          </cell>
          <cell r="K1942">
            <v>153193.1</v>
          </cell>
          <cell r="L1942">
            <v>0</v>
          </cell>
        </row>
        <row r="1943">
          <cell r="A1943">
            <v>3</v>
          </cell>
          <cell r="B1943">
            <v>9</v>
          </cell>
          <cell r="C1943">
            <v>186</v>
          </cell>
          <cell r="D1943" t="str">
            <v xml:space="preserve">  </v>
          </cell>
          <cell r="E1943">
            <v>1976</v>
          </cell>
          <cell r="F1943" t="str">
            <v xml:space="preserve">   </v>
          </cell>
          <cell r="G1943">
            <v>391861976</v>
          </cell>
          <cell r="H1943">
            <v>591724.79</v>
          </cell>
          <cell r="I1943">
            <v>0</v>
          </cell>
          <cell r="J1943">
            <v>380528.91</v>
          </cell>
          <cell r="K1943">
            <v>211195.88</v>
          </cell>
          <cell r="L1943">
            <v>0</v>
          </cell>
        </row>
        <row r="1944">
          <cell r="A1944">
            <v>4</v>
          </cell>
          <cell r="B1944">
            <v>9</v>
          </cell>
          <cell r="C1944">
            <v>186</v>
          </cell>
          <cell r="D1944" t="str">
            <v xml:space="preserve">  </v>
          </cell>
          <cell r="E1944">
            <v>1976</v>
          </cell>
          <cell r="F1944" t="str">
            <v xml:space="preserve">   </v>
          </cell>
          <cell r="G1944">
            <v>491861976</v>
          </cell>
          <cell r="H1944">
            <v>653652.49</v>
          </cell>
          <cell r="I1944">
            <v>0</v>
          </cell>
          <cell r="J1944">
            <v>423311.13</v>
          </cell>
          <cell r="K1944">
            <v>230341.37</v>
          </cell>
          <cell r="L1944">
            <v>0</v>
          </cell>
        </row>
        <row r="1945">
          <cell r="A1945">
            <v>5</v>
          </cell>
          <cell r="B1945">
            <v>9</v>
          </cell>
          <cell r="C1945">
            <v>186</v>
          </cell>
          <cell r="D1945" t="str">
            <v xml:space="preserve">  </v>
          </cell>
          <cell r="E1945">
            <v>1976</v>
          </cell>
          <cell r="F1945" t="str">
            <v xml:space="preserve">   </v>
          </cell>
          <cell r="G1945">
            <v>591861976</v>
          </cell>
          <cell r="H1945">
            <v>596885.44999999995</v>
          </cell>
          <cell r="I1945">
            <v>0</v>
          </cell>
          <cell r="J1945">
            <v>384094.11</v>
          </cell>
          <cell r="K1945">
            <v>212791.34</v>
          </cell>
          <cell r="L1945">
            <v>0</v>
          </cell>
        </row>
        <row r="1946">
          <cell r="A1946">
            <v>3</v>
          </cell>
          <cell r="B1946">
            <v>9</v>
          </cell>
          <cell r="C1946">
            <v>186</v>
          </cell>
          <cell r="D1946" t="str">
            <v xml:space="preserve">  </v>
          </cell>
          <cell r="E1946">
            <v>1977</v>
          </cell>
          <cell r="F1946" t="str">
            <v xml:space="preserve">   </v>
          </cell>
          <cell r="G1946">
            <v>391861977</v>
          </cell>
          <cell r="H1946">
            <v>1151618.4099999999</v>
          </cell>
          <cell r="I1946">
            <v>0</v>
          </cell>
          <cell r="J1946">
            <v>784658.55</v>
          </cell>
          <cell r="K1946">
            <v>366959.86</v>
          </cell>
          <cell r="L1946">
            <v>0</v>
          </cell>
        </row>
        <row r="1947">
          <cell r="A1947">
            <v>4</v>
          </cell>
          <cell r="B1947">
            <v>9</v>
          </cell>
          <cell r="C1947">
            <v>186</v>
          </cell>
          <cell r="D1947" t="str">
            <v xml:space="preserve">  </v>
          </cell>
          <cell r="E1947">
            <v>1977</v>
          </cell>
          <cell r="F1947" t="str">
            <v xml:space="preserve">   </v>
          </cell>
          <cell r="G1947">
            <v>491861977</v>
          </cell>
          <cell r="H1947">
            <v>1211676</v>
          </cell>
          <cell r="I1947">
            <v>0</v>
          </cell>
          <cell r="J1947">
            <v>827445.83</v>
          </cell>
          <cell r="K1947">
            <v>384230.17</v>
          </cell>
          <cell r="L1947">
            <v>0</v>
          </cell>
        </row>
        <row r="1948">
          <cell r="A1948">
            <v>5</v>
          </cell>
          <cell r="B1948">
            <v>9</v>
          </cell>
          <cell r="C1948">
            <v>186</v>
          </cell>
          <cell r="D1948" t="str">
            <v xml:space="preserve">  </v>
          </cell>
          <cell r="E1948">
            <v>1977</v>
          </cell>
          <cell r="F1948" t="str">
            <v xml:space="preserve">   </v>
          </cell>
          <cell r="G1948">
            <v>591861977</v>
          </cell>
          <cell r="H1948">
            <v>1156623.23</v>
          </cell>
          <cell r="I1948">
            <v>0</v>
          </cell>
          <cell r="J1948">
            <v>788224.17</v>
          </cell>
          <cell r="K1948">
            <v>368399.06</v>
          </cell>
          <cell r="L1948">
            <v>0</v>
          </cell>
        </row>
        <row r="1949">
          <cell r="A1949">
            <v>3</v>
          </cell>
          <cell r="B1949">
            <v>9</v>
          </cell>
          <cell r="C1949">
            <v>186</v>
          </cell>
          <cell r="D1949" t="str">
            <v xml:space="preserve">  </v>
          </cell>
          <cell r="E1949">
            <v>1978</v>
          </cell>
          <cell r="F1949" t="str">
            <v xml:space="preserve">   </v>
          </cell>
          <cell r="G1949">
            <v>391861978</v>
          </cell>
          <cell r="H1949">
            <v>481803.83</v>
          </cell>
          <cell r="I1949">
            <v>0</v>
          </cell>
          <cell r="J1949">
            <v>363919.52</v>
          </cell>
          <cell r="K1949">
            <v>117884.31</v>
          </cell>
          <cell r="L1949">
            <v>0</v>
          </cell>
        </row>
        <row r="1950">
          <cell r="A1950">
            <v>4</v>
          </cell>
          <cell r="B1950">
            <v>9</v>
          </cell>
          <cell r="C1950">
            <v>186</v>
          </cell>
          <cell r="D1950" t="str">
            <v xml:space="preserve">  </v>
          </cell>
          <cell r="E1950">
            <v>1978</v>
          </cell>
          <cell r="F1950" t="str">
            <v xml:space="preserve">   </v>
          </cell>
          <cell r="G1950">
            <v>491861978</v>
          </cell>
          <cell r="H1950">
            <v>518868.43</v>
          </cell>
          <cell r="I1950">
            <v>0</v>
          </cell>
          <cell r="J1950">
            <v>391915.38</v>
          </cell>
          <cell r="K1950">
            <v>126953.05</v>
          </cell>
          <cell r="L1950">
            <v>0</v>
          </cell>
        </row>
        <row r="1951">
          <cell r="A1951">
            <v>5</v>
          </cell>
          <cell r="B1951">
            <v>9</v>
          </cell>
          <cell r="C1951">
            <v>186</v>
          </cell>
          <cell r="D1951" t="str">
            <v xml:space="preserve">  </v>
          </cell>
          <cell r="E1951">
            <v>1978</v>
          </cell>
          <cell r="F1951" t="str">
            <v xml:space="preserve">   </v>
          </cell>
          <cell r="G1951">
            <v>591861978</v>
          </cell>
          <cell r="H1951">
            <v>484892.55</v>
          </cell>
          <cell r="I1951">
            <v>0</v>
          </cell>
          <cell r="J1951">
            <v>366252.5</v>
          </cell>
          <cell r="K1951">
            <v>118640.05</v>
          </cell>
          <cell r="L1951">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13R"/>
      <sheetName val="Exh. No. BGM-13R -2"/>
      <sheetName val="Exh. No. BGM-13R -3"/>
      <sheetName val="Exh. No. BGM-13R -4"/>
      <sheetName val="Exh. No. BGM-13R -5"/>
      <sheetName val="DEBT CALC"/>
      <sheetName val="LEAD SHEETS-DO NOT ENTER"/>
      <sheetName val="ADJ SUMMARY"/>
      <sheetName val="ROO INPUT"/>
      <sheetName val="COMPARISON"/>
    </sheetNames>
    <sheetDataSet>
      <sheetData sheetId="0">
        <row r="25">
          <cell r="W25">
            <v>330.47300000000001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3 1"/>
      <sheetName val="Exh. No. BGM-3 2"/>
      <sheetName val="Exh. No. BGM-3 3"/>
      <sheetName val="Exh. No. BGM-3 4"/>
      <sheetName val="Acerno_Cache_XXXXX"/>
      <sheetName val="Exh. No. BGM-3 5a E-FIT (AMA)"/>
      <sheetName val="Exh. No. BGM-3 5b E-SCM (AMA)"/>
      <sheetName val="Exh. No. BGM-3 5c E-DTE (AMA)"/>
      <sheetName val="Exh. No. BGM-3 6a EDFIT"/>
      <sheetName val="Exh. No. BGM-3 6b Elec-Dec16"/>
      <sheetName val="Exh. No. BGM-3 7a Tax Deferral "/>
      <sheetName val="Exh. No. BGM-3 7b Def. Amort"/>
      <sheetName val="Exh. No. BGM-3 8 Known Capital"/>
      <sheetName val="Workpapers-&gt;"/>
      <sheetName val="BR1 Table 1"/>
      <sheetName val="ADJ SUMMARY"/>
      <sheetName val="LEAD SHEETS-DO NOT ENTER"/>
      <sheetName val="ROO INPUT"/>
      <sheetName val="DEBT CALC"/>
      <sheetName val="COMPARISON"/>
      <sheetName val="PROPOSED RATES-2018-NOT USED"/>
      <sheetName val="RETAIL REVENUE CREDIT-not used"/>
      <sheetName val="PROPOSED RATES-2019-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as"/>
      <sheetName val="DATA"/>
      <sheetName val="G-CHK"/>
      <sheetName val="G-CHK-UI"/>
      <sheetName val="G-ALL"/>
      <sheetName val="G-OPS"/>
      <sheetName val="G-495"/>
      <sheetName val="G-804"/>
      <sheetName val="G-908"/>
      <sheetName val="G-INT"/>
      <sheetName val="G-FIT"/>
      <sheetName val="G-SCM"/>
      <sheetName val="G-DTE"/>
      <sheetName val="G-OTX"/>
      <sheetName val="G-PLT"/>
      <sheetName val="G-APL"/>
      <sheetName val="G-DEPX"/>
      <sheetName val="G-AMTX"/>
      <sheetName val="G-ADEP"/>
      <sheetName val="G-AAMT"/>
      <sheetName val="C-GPL"/>
      <sheetName val="C-IPL"/>
      <sheetName val="C-DTX"/>
      <sheetName val="C-WKC"/>
      <sheetName val="G-ROR"/>
    </sheetNames>
    <sheetDataSet>
      <sheetData sheetId="0"/>
      <sheetData sheetId="1">
        <row r="2">
          <cell r="H2">
            <v>12</v>
          </cell>
        </row>
        <row r="3">
          <cell r="H3" t="str">
            <v>A</v>
          </cell>
        </row>
        <row r="4">
          <cell r="H4" t="str">
            <v>For Twelve Months Ended December 31, 2016</v>
          </cell>
        </row>
        <row r="5">
          <cell r="H5" t="str">
            <v>Average of Monthly Averages Basis</v>
          </cell>
        </row>
      </sheetData>
      <sheetData sheetId="2"/>
      <sheetData sheetId="3"/>
      <sheetData sheetId="4">
        <row r="8">
          <cell r="G8">
            <v>1</v>
          </cell>
        </row>
      </sheetData>
      <sheetData sheetId="5">
        <row r="27">
          <cell r="M27">
            <v>220415618</v>
          </cell>
        </row>
      </sheetData>
      <sheetData sheetId="6"/>
      <sheetData sheetId="7"/>
      <sheetData sheetId="8"/>
      <sheetData sheetId="9">
        <row r="18">
          <cell r="G18">
            <v>7827784</v>
          </cell>
        </row>
      </sheetData>
      <sheetData sheetId="10"/>
      <sheetData sheetId="11"/>
      <sheetData sheetId="12"/>
      <sheetData sheetId="13">
        <row r="21">
          <cell r="M21">
            <v>13017005</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3:I21"/>
  <sheetViews>
    <sheetView zoomScale="115" zoomScaleNormal="115" workbookViewId="0">
      <selection activeCell="H27" sqref="H27"/>
    </sheetView>
  </sheetViews>
  <sheetFormatPr defaultRowHeight="12.75"/>
  <cols>
    <col min="1" max="1" width="9.140625" style="772"/>
    <col min="2" max="3" width="1.7109375" style="772" customWidth="1"/>
    <col min="4" max="4" width="31.85546875" style="772" customWidth="1"/>
    <col min="5" max="5" width="1.7109375" style="772" customWidth="1"/>
    <col min="6" max="6" width="15.140625" style="772" customWidth="1"/>
    <col min="7" max="7" width="1.7109375" style="772" customWidth="1"/>
    <col min="8" max="8" width="15.140625" style="772" customWidth="1"/>
    <col min="9" max="9" width="1.7109375" style="772" customWidth="1"/>
    <col min="10" max="16384" width="9.140625" style="772"/>
  </cols>
  <sheetData>
    <row r="3" spans="2:9" ht="8.25" customHeight="1">
      <c r="B3" s="1076"/>
      <c r="C3" s="1075"/>
      <c r="D3" s="1075"/>
      <c r="E3" s="1075"/>
      <c r="F3" s="1075"/>
      <c r="G3" s="1075"/>
      <c r="H3" s="1075"/>
      <c r="I3" s="1074"/>
    </row>
    <row r="4" spans="2:9">
      <c r="B4" s="1064"/>
      <c r="C4" s="1062"/>
      <c r="D4" s="1062"/>
      <c r="E4" s="1062"/>
      <c r="F4" s="1072" t="s">
        <v>971</v>
      </c>
      <c r="G4" s="1073"/>
      <c r="H4" s="1072" t="s">
        <v>1104</v>
      </c>
      <c r="I4" s="1061"/>
    </row>
    <row r="5" spans="2:9" ht="8.25" customHeight="1">
      <c r="B5" s="1064"/>
      <c r="C5" s="1062"/>
      <c r="D5" s="1062"/>
      <c r="E5" s="1062"/>
      <c r="F5" s="1062"/>
      <c r="G5" s="1062"/>
      <c r="H5" s="1062"/>
      <c r="I5" s="1061"/>
    </row>
    <row r="6" spans="2:9">
      <c r="B6" s="1064"/>
      <c r="C6" s="1067" t="s">
        <v>1105</v>
      </c>
      <c r="D6" s="1067"/>
      <c r="E6" s="1067"/>
      <c r="F6" s="1066">
        <v>193.37885813020006</v>
      </c>
      <c r="G6" s="1071"/>
      <c r="H6" s="1066">
        <v>-530.23099999999999</v>
      </c>
      <c r="I6" s="1061"/>
    </row>
    <row r="7" spans="2:9" ht="8.25" customHeight="1">
      <c r="B7" s="1064"/>
      <c r="C7" s="1062"/>
      <c r="D7" s="1062"/>
      <c r="E7" s="1062"/>
      <c r="F7" s="1070"/>
      <c r="G7" s="1070"/>
      <c r="H7" s="1070"/>
      <c r="I7" s="1061"/>
    </row>
    <row r="8" spans="2:9">
      <c r="B8" s="1064"/>
      <c r="C8" s="1067" t="s">
        <v>1103</v>
      </c>
      <c r="D8" s="1062"/>
      <c r="E8" s="1062"/>
      <c r="F8" s="1070"/>
      <c r="G8" s="1070"/>
      <c r="H8" s="1070"/>
      <c r="I8" s="1061"/>
    </row>
    <row r="9" spans="2:9">
      <c r="B9" s="1064"/>
      <c r="C9" s="1062"/>
      <c r="D9" s="1062" t="s">
        <v>1102</v>
      </c>
      <c r="E9" s="1062"/>
      <c r="F9" s="1068">
        <f>+'Tab 4 Adjustment Details'!$AU$84</f>
        <v>-26262.759778852702</v>
      </c>
      <c r="G9" s="1068"/>
      <c r="H9" s="1068">
        <v>-4213.3299660755401</v>
      </c>
      <c r="I9" s="1061"/>
    </row>
    <row r="10" spans="2:9">
      <c r="B10" s="1064"/>
      <c r="C10" s="1062"/>
      <c r="D10" s="1062" t="s">
        <v>1101</v>
      </c>
      <c r="E10" s="1062"/>
      <c r="F10" s="1068">
        <f>+'Tab 4 Adjustment Details'!$AV$84</f>
        <v>-6296.8824521234137</v>
      </c>
      <c r="G10" s="1068"/>
      <c r="H10" s="1068">
        <v>-1370.0740406451587</v>
      </c>
      <c r="I10" s="1061"/>
    </row>
    <row r="11" spans="2:9">
      <c r="B11" s="1064"/>
      <c r="C11" s="1062"/>
      <c r="D11" s="1062" t="s">
        <v>1100</v>
      </c>
      <c r="E11" s="1062"/>
      <c r="F11" s="1068">
        <f>+'Tab 4 Adjustment Details'!$AW$84</f>
        <v>0</v>
      </c>
      <c r="G11" s="1068"/>
      <c r="H11" s="1068">
        <v>0</v>
      </c>
      <c r="I11" s="1061"/>
    </row>
    <row r="12" spans="2:9">
      <c r="B12" s="1064"/>
      <c r="C12" s="1062"/>
      <c r="D12" s="1062" t="s">
        <v>1099</v>
      </c>
      <c r="E12" s="1062"/>
      <c r="F12" s="1068">
        <f>+'Tab 4 Adjustment Details'!$AX$84</f>
        <v>-34.823917248462237</v>
      </c>
      <c r="G12" s="1068"/>
      <c r="H12" s="1068">
        <v>93.775728321264637</v>
      </c>
      <c r="I12" s="1061"/>
    </row>
    <row r="13" spans="2:9" ht="8.25" customHeight="1">
      <c r="B13" s="1064"/>
      <c r="C13" s="1062"/>
      <c r="D13" s="1062"/>
      <c r="E13" s="1062"/>
      <c r="F13" s="1069"/>
      <c r="G13" s="1068"/>
      <c r="H13" s="1069"/>
      <c r="I13" s="1061"/>
    </row>
    <row r="14" spans="2:9">
      <c r="B14" s="1064"/>
      <c r="C14" s="1062"/>
      <c r="D14" s="1067" t="s">
        <v>1098</v>
      </c>
      <c r="E14" s="1067"/>
      <c r="F14" s="1066">
        <f>+SUM(F9:F13)</f>
        <v>-32594.466148224576</v>
      </c>
      <c r="G14" s="1066"/>
      <c r="H14" s="1066">
        <f>+SUM(H9:H13)</f>
        <v>-5489.6282783994338</v>
      </c>
      <c r="I14" s="1061"/>
    </row>
    <row r="15" spans="2:9" ht="8.25" customHeight="1">
      <c r="B15" s="1064"/>
      <c r="C15" s="1062"/>
      <c r="D15" s="1062"/>
      <c r="E15" s="1062"/>
      <c r="F15" s="1068"/>
      <c r="G15" s="1068"/>
      <c r="H15" s="1068"/>
      <c r="I15" s="1061"/>
    </row>
    <row r="16" spans="2:9" ht="13.5" thickBot="1">
      <c r="B16" s="1064"/>
      <c r="C16" s="1067" t="s">
        <v>1128</v>
      </c>
      <c r="D16" s="1067"/>
      <c r="E16" s="1067"/>
      <c r="F16" s="1065">
        <f>+F6+F14</f>
        <v>-32401.087290094376</v>
      </c>
      <c r="G16" s="1066"/>
      <c r="H16" s="1065">
        <f>+H6+H14</f>
        <v>-6019.8592783994336</v>
      </c>
      <c r="I16" s="1061"/>
    </row>
    <row r="17" spans="2:9" ht="8.25" customHeight="1" thickTop="1">
      <c r="B17" s="1064"/>
      <c r="C17" s="1062"/>
      <c r="D17" s="1062"/>
      <c r="E17" s="1062"/>
      <c r="F17" s="1062"/>
      <c r="G17" s="1062"/>
      <c r="H17" s="1062"/>
      <c r="I17" s="1061"/>
    </row>
    <row r="18" spans="2:9">
      <c r="B18" s="1064"/>
      <c r="C18" s="1063" t="s">
        <v>1097</v>
      </c>
      <c r="D18" s="1062"/>
      <c r="E18" s="1062"/>
      <c r="F18" s="1062"/>
      <c r="G18" s="1062"/>
      <c r="H18" s="1062"/>
      <c r="I18" s="1061"/>
    </row>
    <row r="19" spans="2:9" ht="8.25" customHeight="1">
      <c r="B19" s="1060"/>
      <c r="C19" s="1059"/>
      <c r="D19" s="1059"/>
      <c r="E19" s="1059"/>
      <c r="F19" s="1059"/>
      <c r="G19" s="1059"/>
      <c r="H19" s="1059"/>
      <c r="I19" s="1058"/>
    </row>
    <row r="21" spans="2:9">
      <c r="F21" s="1057">
        <f>+F16-'Tab 1 Rev. Req. Summary'!$T$59</f>
        <v>0</v>
      </c>
      <c r="H21" s="798">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D5FFEA"/>
  </sheetPr>
  <dimension ref="A1:T41"/>
  <sheetViews>
    <sheetView tabSelected="1" zoomScaleNormal="100" zoomScaleSheetLayoutView="85" workbookViewId="0">
      <selection activeCell="P59" sqref="P59"/>
    </sheetView>
  </sheetViews>
  <sheetFormatPr defaultRowHeight="12"/>
  <cols>
    <col min="1" max="1" width="3.5703125" style="966" customWidth="1"/>
    <col min="2" max="2" width="37.140625" style="966" customWidth="1"/>
    <col min="3" max="3" width="1.7109375" style="966" customWidth="1"/>
    <col min="4" max="4" width="11.85546875" style="966" customWidth="1"/>
    <col min="5" max="5" width="1.7109375" style="966" customWidth="1"/>
    <col min="6" max="6" width="10.85546875" style="966" customWidth="1"/>
    <col min="7" max="7" width="1.7109375" style="966" customWidth="1"/>
    <col min="8" max="8" width="8.7109375" style="966" customWidth="1"/>
    <col min="9" max="9" width="1.7109375" style="966" customWidth="1"/>
    <col min="10" max="10" width="10.85546875" style="966" customWidth="1"/>
    <col min="11" max="11" width="1.7109375" style="966" customWidth="1"/>
    <col min="12" max="12" width="8.7109375" style="966" customWidth="1"/>
    <col min="13" max="13" width="1.7109375" style="966" customWidth="1"/>
    <col min="14" max="14" width="10.85546875" style="966" customWidth="1"/>
    <col min="15" max="15" width="1.7109375" style="966" customWidth="1"/>
    <col min="16" max="16" width="11.140625" style="966" customWidth="1"/>
    <col min="17" max="17" width="1.7109375" style="966" customWidth="1"/>
    <col min="18" max="18" width="8.42578125" style="966" customWidth="1"/>
    <col min="19" max="19" width="4.7109375" style="966" customWidth="1"/>
    <col min="20" max="20" width="10.7109375" style="966" customWidth="1"/>
    <col min="21" max="21" width="3.5703125" style="966" customWidth="1"/>
    <col min="22" max="16384" width="9.140625" style="966"/>
  </cols>
  <sheetData>
    <row r="1" spans="1:20">
      <c r="B1" s="966" t="s">
        <v>1028</v>
      </c>
    </row>
    <row r="2" spans="1:20">
      <c r="B2" s="966" t="s">
        <v>1027</v>
      </c>
    </row>
    <row r="3" spans="1:20">
      <c r="B3" s="966" t="s">
        <v>1029</v>
      </c>
    </row>
    <row r="4" spans="1:20">
      <c r="D4" s="983"/>
      <c r="E4" s="983"/>
      <c r="F4" s="983" t="s">
        <v>1023</v>
      </c>
      <c r="G4" s="983"/>
      <c r="H4" s="983"/>
      <c r="I4" s="983"/>
      <c r="J4" s="983" t="s">
        <v>1019</v>
      </c>
      <c r="K4" s="983"/>
      <c r="L4" s="983"/>
      <c r="M4" s="983"/>
      <c r="N4" s="983"/>
      <c r="O4" s="983"/>
      <c r="P4" s="983"/>
      <c r="Q4" s="983"/>
      <c r="R4" s="983"/>
      <c r="S4" s="983"/>
      <c r="T4" s="983"/>
    </row>
    <row r="5" spans="1:20">
      <c r="D5" s="983" t="s">
        <v>868</v>
      </c>
      <c r="E5" s="983"/>
      <c r="F5" s="983" t="s">
        <v>733</v>
      </c>
      <c r="G5" s="983"/>
      <c r="H5" s="983" t="s">
        <v>967</v>
      </c>
      <c r="I5" s="983"/>
      <c r="J5" s="983" t="s">
        <v>962</v>
      </c>
      <c r="K5" s="983"/>
      <c r="L5" s="983" t="s">
        <v>968</v>
      </c>
      <c r="M5" s="983"/>
      <c r="N5" s="983" t="s">
        <v>826</v>
      </c>
      <c r="O5" s="983"/>
      <c r="Q5" s="983"/>
      <c r="R5" s="983"/>
      <c r="S5" s="983"/>
      <c r="T5" s="983"/>
    </row>
    <row r="6" spans="1:20">
      <c r="D6" s="983" t="s">
        <v>959</v>
      </c>
      <c r="E6" s="983"/>
      <c r="F6" s="983" t="s">
        <v>959</v>
      </c>
      <c r="G6" s="983"/>
      <c r="H6" s="983" t="s">
        <v>966</v>
      </c>
      <c r="I6" s="983"/>
      <c r="J6" s="983" t="s">
        <v>961</v>
      </c>
      <c r="K6" s="983"/>
      <c r="L6" s="983" t="s">
        <v>964</v>
      </c>
      <c r="M6" s="983"/>
      <c r="N6" s="983" t="s">
        <v>959</v>
      </c>
      <c r="O6" s="983"/>
      <c r="P6" s="983" t="s">
        <v>1020</v>
      </c>
      <c r="Q6" s="983"/>
      <c r="R6" s="983" t="s">
        <v>1009</v>
      </c>
      <c r="S6" s="983"/>
      <c r="T6" s="983" t="s">
        <v>1026</v>
      </c>
    </row>
    <row r="7" spans="1:20">
      <c r="B7" s="977" t="s">
        <v>1022</v>
      </c>
      <c r="D7" s="984" t="s">
        <v>960</v>
      </c>
      <c r="E7" s="983"/>
      <c r="F7" s="985" t="s">
        <v>960</v>
      </c>
      <c r="G7" s="983"/>
      <c r="H7" s="984" t="s">
        <v>965</v>
      </c>
      <c r="I7" s="983"/>
      <c r="J7" s="984" t="s">
        <v>126</v>
      </c>
      <c r="K7" s="983"/>
      <c r="L7" s="984" t="s">
        <v>965</v>
      </c>
      <c r="M7" s="983"/>
      <c r="N7" s="985" t="s">
        <v>1011</v>
      </c>
      <c r="O7" s="983"/>
      <c r="P7" s="984" t="s">
        <v>1026</v>
      </c>
      <c r="Q7" s="983"/>
      <c r="R7" s="984" t="s">
        <v>1010</v>
      </c>
      <c r="S7" s="983"/>
      <c r="T7" s="984" t="s">
        <v>837</v>
      </c>
    </row>
    <row r="8" spans="1:20">
      <c r="B8" s="978"/>
      <c r="D8" s="983" t="s">
        <v>1017</v>
      </c>
      <c r="E8" s="983"/>
      <c r="F8" s="983" t="s">
        <v>1018</v>
      </c>
      <c r="G8" s="983"/>
      <c r="H8" s="983" t="s">
        <v>1052</v>
      </c>
      <c r="I8" s="983"/>
      <c r="J8" s="983" t="s">
        <v>1053</v>
      </c>
      <c r="K8" s="983"/>
      <c r="L8" s="983" t="s">
        <v>1054</v>
      </c>
      <c r="M8" s="983"/>
      <c r="N8" s="983" t="s">
        <v>1055</v>
      </c>
      <c r="O8" s="983"/>
      <c r="P8" s="983" t="s">
        <v>1056</v>
      </c>
      <c r="Q8" s="983"/>
      <c r="R8" s="983" t="s">
        <v>1057</v>
      </c>
      <c r="S8" s="983"/>
      <c r="T8" s="983" t="s">
        <v>1058</v>
      </c>
    </row>
    <row r="9" spans="1:20">
      <c r="B9" s="978"/>
      <c r="D9" s="983" t="s">
        <v>1059</v>
      </c>
      <c r="E9" s="983"/>
      <c r="F9" s="983" t="s">
        <v>1060</v>
      </c>
      <c r="G9" s="983"/>
      <c r="H9" s="983"/>
      <c r="I9" s="983"/>
      <c r="J9" s="1018" t="s">
        <v>1061</v>
      </c>
      <c r="K9" s="983"/>
      <c r="L9" s="983"/>
      <c r="M9" s="983"/>
      <c r="N9" s="1018" t="s">
        <v>1062</v>
      </c>
      <c r="O9" s="983"/>
      <c r="P9" s="1018" t="s">
        <v>1063</v>
      </c>
      <c r="Q9" s="983"/>
      <c r="R9" s="983" t="s">
        <v>1064</v>
      </c>
      <c r="S9" s="983"/>
      <c r="T9" s="1018" t="s">
        <v>1065</v>
      </c>
    </row>
    <row r="10" spans="1:20">
      <c r="B10" s="979"/>
      <c r="C10" s="964"/>
      <c r="D10" s="965"/>
      <c r="E10" s="964"/>
      <c r="F10" s="965"/>
      <c r="G10" s="964"/>
      <c r="H10" s="967"/>
      <c r="J10" s="970"/>
      <c r="L10" s="967"/>
      <c r="N10" s="970"/>
      <c r="P10" s="970"/>
      <c r="R10" s="967"/>
      <c r="T10" s="970"/>
    </row>
    <row r="11" spans="1:20" ht="12.75">
      <c r="A11" s="772"/>
      <c r="B11" s="979" t="s">
        <v>543</v>
      </c>
      <c r="C11" s="964"/>
      <c r="D11" s="965">
        <v>-67</v>
      </c>
      <c r="E11" s="964"/>
      <c r="F11" s="965">
        <f>+'Tab 6b Restated ADIT'!E31/1000</f>
        <v>-67.238091318124972</v>
      </c>
      <c r="G11" s="964"/>
      <c r="H11" s="967">
        <v>0.35</v>
      </c>
      <c r="J11" s="970">
        <f>+F11/H11</f>
        <v>-192.10883233749993</v>
      </c>
      <c r="L11" s="967">
        <v>0.21</v>
      </c>
      <c r="N11" s="970">
        <f>+J11*L11</f>
        <v>-40.342854790874988</v>
      </c>
      <c r="P11" s="970">
        <f>+F11-N11</f>
        <v>-26.895236527249985</v>
      </c>
      <c r="R11" s="1038">
        <f>1/17.5</f>
        <v>5.7142857142857141E-2</v>
      </c>
      <c r="S11" s="966" t="s">
        <v>1017</v>
      </c>
      <c r="T11" s="970">
        <f t="shared" ref="T11:T23" si="0">+R11*P11</f>
        <v>-1.5368706586999992</v>
      </c>
    </row>
    <row r="12" spans="1:20" ht="12.75">
      <c r="A12" s="772">
        <f ca="1">+MAX(OFFSET($A$1,0,0,ROW($A12)-ROW($A$1),1))+1</f>
        <v>1</v>
      </c>
      <c r="B12" s="979" t="s">
        <v>544</v>
      </c>
      <c r="C12" s="964"/>
      <c r="D12" s="965">
        <v>-312064</v>
      </c>
      <c r="E12" s="964"/>
      <c r="F12" s="965"/>
      <c r="G12" s="964"/>
      <c r="H12" s="970"/>
      <c r="J12" s="970"/>
      <c r="L12" s="967">
        <v>0.21</v>
      </c>
      <c r="N12" s="970">
        <f t="shared" ref="N12:N23" si="1">+J12*L12</f>
        <v>0</v>
      </c>
      <c r="P12" s="970">
        <f t="shared" ref="P12:P29" si="2">+F12-N12</f>
        <v>0</v>
      </c>
      <c r="R12" s="978"/>
      <c r="T12" s="970"/>
    </row>
    <row r="13" spans="1:20" ht="12.75">
      <c r="A13" s="772">
        <f t="shared" ref="A13:A25" ca="1" si="3">+MAX(OFFSET($A$1,0,0,ROW($A13)-ROW($A$1),1))+1</f>
        <v>2</v>
      </c>
      <c r="B13" s="968" t="s">
        <v>68</v>
      </c>
      <c r="C13" s="964"/>
      <c r="D13" s="965"/>
      <c r="E13" s="964"/>
      <c r="F13" s="965">
        <f>+'Tab 6b Restated ADIT'!E12/1000</f>
        <v>-5471.4973172999998</v>
      </c>
      <c r="G13" s="964"/>
      <c r="H13" s="967">
        <v>0.35</v>
      </c>
      <c r="J13" s="970">
        <f t="shared" ref="J13:J23" si="4">+F13/H13</f>
        <v>-15632.849478</v>
      </c>
      <c r="L13" s="967">
        <v>0.21</v>
      </c>
      <c r="N13" s="970">
        <f t="shared" si="1"/>
        <v>-3282.8983903799999</v>
      </c>
      <c r="P13" s="970">
        <f t="shared" si="2"/>
        <v>-2188.5989269199999</v>
      </c>
      <c r="R13" s="1039">
        <v>0.2</v>
      </c>
      <c r="S13" s="966" t="s">
        <v>1018</v>
      </c>
      <c r="T13" s="970">
        <f t="shared" si="0"/>
        <v>-437.71978538400003</v>
      </c>
    </row>
    <row r="14" spans="1:20" ht="12.75">
      <c r="A14" s="772">
        <f t="shared" ca="1" si="3"/>
        <v>3</v>
      </c>
      <c r="B14" s="968" t="s">
        <v>69</v>
      </c>
      <c r="C14" s="964"/>
      <c r="D14" s="965"/>
      <c r="E14" s="964"/>
      <c r="F14" s="965">
        <f>+'Tab 6b Restated ADIT'!E13/1000</f>
        <v>-109844.5494951</v>
      </c>
      <c r="G14" s="964"/>
      <c r="H14" s="967">
        <v>0.35</v>
      </c>
      <c r="J14" s="970">
        <f t="shared" si="4"/>
        <v>-313841.56998600002</v>
      </c>
      <c r="L14" s="967">
        <v>0.21</v>
      </c>
      <c r="N14" s="970">
        <f t="shared" si="1"/>
        <v>-65906.72969706</v>
      </c>
      <c r="P14" s="970">
        <f t="shared" si="2"/>
        <v>-43937.81979804</v>
      </c>
      <c r="R14" s="1039">
        <v>2.2429999999999999E-2</v>
      </c>
      <c r="S14" s="966" t="s">
        <v>1052</v>
      </c>
      <c r="T14" s="970">
        <f t="shared" si="0"/>
        <v>-985.52529807003714</v>
      </c>
    </row>
    <row r="15" spans="1:20" ht="12.75">
      <c r="A15" s="772">
        <f t="shared" ca="1" si="3"/>
        <v>4</v>
      </c>
      <c r="B15" s="968" t="s">
        <v>70</v>
      </c>
      <c r="C15" s="964"/>
      <c r="D15" s="965"/>
      <c r="E15" s="964"/>
      <c r="F15" s="965">
        <f>+'Tab 6b Restated ADIT'!E14/1000</f>
        <v>-56794.660513499999</v>
      </c>
      <c r="G15" s="964"/>
      <c r="H15" s="967">
        <v>0.35</v>
      </c>
      <c r="J15" s="970">
        <f t="shared" si="4"/>
        <v>-162270.45861</v>
      </c>
      <c r="L15" s="967">
        <v>0.21</v>
      </c>
      <c r="N15" s="970">
        <f t="shared" si="1"/>
        <v>-34076.796308099998</v>
      </c>
      <c r="P15" s="970">
        <f t="shared" si="2"/>
        <v>-22717.864205400001</v>
      </c>
      <c r="R15" s="1039">
        <v>1.83E-2</v>
      </c>
      <c r="S15" s="983" t="s">
        <v>1083</v>
      </c>
      <c r="T15" s="970">
        <f t="shared" si="0"/>
        <v>-415.73691495882002</v>
      </c>
    </row>
    <row r="16" spans="1:20" ht="12.75">
      <c r="A16" s="772">
        <f t="shared" ca="1" si="3"/>
        <v>5</v>
      </c>
      <c r="B16" s="968" t="s">
        <v>52</v>
      </c>
      <c r="C16" s="964"/>
      <c r="D16" s="965"/>
      <c r="E16" s="964"/>
      <c r="F16" s="965">
        <f>+'Tab 6b Restated ADIT'!E15/1000</f>
        <v>-130743.03426274998</v>
      </c>
      <c r="G16" s="964"/>
      <c r="H16" s="967">
        <v>0.35</v>
      </c>
      <c r="J16" s="970">
        <f t="shared" si="4"/>
        <v>-373551.52646499994</v>
      </c>
      <c r="L16" s="967">
        <v>0.21</v>
      </c>
      <c r="N16" s="970">
        <f t="shared" si="1"/>
        <v>-78445.820557649989</v>
      </c>
      <c r="P16" s="970">
        <f t="shared" si="2"/>
        <v>-52297.213705099988</v>
      </c>
      <c r="R16" s="1039">
        <v>2.92E-2</v>
      </c>
      <c r="S16" s="983" t="s">
        <v>1083</v>
      </c>
      <c r="T16" s="970">
        <f t="shared" si="0"/>
        <v>-1527.0786401889197</v>
      </c>
    </row>
    <row r="17" spans="1:20" ht="12.75">
      <c r="A17" s="772">
        <f t="shared" ca="1" si="3"/>
        <v>6</v>
      </c>
      <c r="B17" s="968" t="s">
        <v>977</v>
      </c>
      <c r="C17" s="964"/>
      <c r="D17" s="965"/>
      <c r="E17" s="964"/>
      <c r="F17" s="965">
        <f>+'Tab 6b Restated ADIT'!E16/1000</f>
        <v>-8404.4117312100007</v>
      </c>
      <c r="G17" s="964"/>
      <c r="H17" s="967">
        <v>0.35</v>
      </c>
      <c r="J17" s="970">
        <f t="shared" si="4"/>
        <v>-24012.604946314288</v>
      </c>
      <c r="L17" s="967">
        <v>0.21</v>
      </c>
      <c r="N17" s="970">
        <f t="shared" si="1"/>
        <v>-5042.6470387260006</v>
      </c>
      <c r="P17" s="970">
        <f t="shared" si="2"/>
        <v>-3361.7646924840001</v>
      </c>
      <c r="R17" s="1039">
        <v>3.8100000000000002E-2</v>
      </c>
      <c r="S17" s="983" t="s">
        <v>1083</v>
      </c>
      <c r="T17" s="970">
        <f t="shared" si="0"/>
        <v>-128.08323478364042</v>
      </c>
    </row>
    <row r="18" spans="1:20" ht="12.75">
      <c r="A18" s="772">
        <f t="shared" ca="1" si="3"/>
        <v>7</v>
      </c>
      <c r="B18" s="979" t="s">
        <v>545</v>
      </c>
      <c r="C18" s="964"/>
      <c r="D18" s="965">
        <v>-32392</v>
      </c>
      <c r="E18" s="964"/>
      <c r="F18" s="965">
        <f>+'Tab 6b Restated ADIT'!E18/1000</f>
        <v>-32042.783601125524</v>
      </c>
      <c r="G18" s="964"/>
      <c r="H18" s="967">
        <v>0.35</v>
      </c>
      <c r="J18" s="970">
        <f t="shared" si="4"/>
        <v>-91550.810288930079</v>
      </c>
      <c r="L18" s="967">
        <v>0.21</v>
      </c>
      <c r="N18" s="970">
        <f t="shared" si="1"/>
        <v>-19225.670160675316</v>
      </c>
      <c r="P18" s="970">
        <f t="shared" si="2"/>
        <v>-12817.113440450208</v>
      </c>
      <c r="R18" s="1039">
        <v>8.43E-2</v>
      </c>
      <c r="S18" s="983" t="s">
        <v>1083</v>
      </c>
      <c r="T18" s="970">
        <f t="shared" si="0"/>
        <v>-1080.4826630299526</v>
      </c>
    </row>
    <row r="19" spans="1:20" ht="12.75">
      <c r="A19" s="772">
        <f t="shared" ca="1" si="3"/>
        <v>8</v>
      </c>
      <c r="B19" s="979" t="s">
        <v>669</v>
      </c>
      <c r="C19" s="964"/>
      <c r="D19" s="965">
        <v>-753</v>
      </c>
      <c r="E19" s="964"/>
      <c r="F19" s="965">
        <f>+'Tab 6b Restated ADIT'!E19/1000</f>
        <v>-349.57341668006865</v>
      </c>
      <c r="G19" s="964"/>
      <c r="H19" s="967">
        <v>0.35</v>
      </c>
      <c r="J19" s="970">
        <f t="shared" si="4"/>
        <v>-998.78119051448186</v>
      </c>
      <c r="L19" s="967">
        <v>0.21</v>
      </c>
      <c r="N19" s="970">
        <f t="shared" si="1"/>
        <v>-209.74405000804117</v>
      </c>
      <c r="P19" s="970">
        <f t="shared" si="2"/>
        <v>-139.82936667202748</v>
      </c>
      <c r="R19" s="1039">
        <v>8.43E-2</v>
      </c>
      <c r="S19" s="1018" t="s">
        <v>1084</v>
      </c>
      <c r="T19" s="970">
        <f t="shared" si="0"/>
        <v>-11.787615610451915</v>
      </c>
    </row>
    <row r="20" spans="1:20" ht="12.75">
      <c r="A20" s="772">
        <f t="shared" ca="1" si="3"/>
        <v>9</v>
      </c>
      <c r="B20" s="979" t="s">
        <v>548</v>
      </c>
      <c r="C20" s="964"/>
      <c r="D20" s="965">
        <v>-7636</v>
      </c>
      <c r="E20" s="964"/>
      <c r="F20" s="965">
        <f>+'Tab 6b Restated ADIT'!E24/1000</f>
        <v>-7635.5365255050001</v>
      </c>
      <c r="G20" s="964"/>
      <c r="H20" s="967">
        <v>0.35</v>
      </c>
      <c r="J20" s="970">
        <f t="shared" si="4"/>
        <v>-21815.818644300001</v>
      </c>
      <c r="L20" s="967">
        <v>0.21</v>
      </c>
      <c r="N20" s="970">
        <f t="shared" si="1"/>
        <v>-4581.3219153030004</v>
      </c>
      <c r="P20" s="970">
        <f t="shared" si="2"/>
        <v>-3054.2146102019997</v>
      </c>
      <c r="R20" s="1039">
        <f>1/42.5</f>
        <v>2.3529411764705882E-2</v>
      </c>
      <c r="S20" s="966" t="s">
        <v>1053</v>
      </c>
      <c r="T20" s="970">
        <f t="shared" si="0"/>
        <v>-71.863873181223525</v>
      </c>
    </row>
    <row r="21" spans="1:20" ht="12.75">
      <c r="A21" s="772">
        <f t="shared" ca="1" si="3"/>
        <v>10</v>
      </c>
      <c r="B21" s="979" t="s">
        <v>670</v>
      </c>
      <c r="C21" s="964"/>
      <c r="D21" s="965">
        <v>254</v>
      </c>
      <c r="E21" s="964"/>
      <c r="F21" s="965">
        <f>+'Tab 6b Restated ADIT'!E25/1000</f>
        <v>254.22084483600003</v>
      </c>
      <c r="G21" s="964"/>
      <c r="H21" s="967">
        <v>0.35</v>
      </c>
      <c r="J21" s="970">
        <f t="shared" si="4"/>
        <v>726.34527096000011</v>
      </c>
      <c r="L21" s="967">
        <v>0.21</v>
      </c>
      <c r="N21" s="970">
        <f t="shared" si="1"/>
        <v>152.53250690160002</v>
      </c>
      <c r="P21" s="970">
        <f t="shared" si="2"/>
        <v>101.68833793440001</v>
      </c>
      <c r="R21" s="1039">
        <f>+R20</f>
        <v>2.3529411764705882E-2</v>
      </c>
      <c r="S21" s="1018" t="s">
        <v>1084</v>
      </c>
      <c r="T21" s="970">
        <f t="shared" si="0"/>
        <v>2.3926667749270591</v>
      </c>
    </row>
    <row r="22" spans="1:20" ht="12.75">
      <c r="A22" s="772">
        <f t="shared" ca="1" si="3"/>
        <v>11</v>
      </c>
      <c r="B22" s="979" t="s">
        <v>549</v>
      </c>
      <c r="C22" s="964"/>
      <c r="D22" s="965">
        <v>-2047</v>
      </c>
      <c r="E22" s="964"/>
      <c r="F22" s="965">
        <f>+'Tab 6b Restated ADIT'!E33/1000</f>
        <v>-2046.9722212190047</v>
      </c>
      <c r="G22" s="964"/>
      <c r="H22" s="967">
        <v>0.35</v>
      </c>
      <c r="J22" s="970">
        <f t="shared" si="4"/>
        <v>-5848.4920606257283</v>
      </c>
      <c r="L22" s="967">
        <v>0.21</v>
      </c>
      <c r="N22" s="970">
        <f t="shared" si="1"/>
        <v>-1228.183332731403</v>
      </c>
      <c r="P22" s="970">
        <f t="shared" si="2"/>
        <v>-818.78888848760175</v>
      </c>
      <c r="R22" s="1039">
        <v>0.2</v>
      </c>
      <c r="S22" s="966" t="s">
        <v>1054</v>
      </c>
      <c r="T22" s="970">
        <f t="shared" si="0"/>
        <v>-163.75777769752037</v>
      </c>
    </row>
    <row r="23" spans="1:20" ht="12.75">
      <c r="A23" s="772">
        <f t="shared" ca="1" si="3"/>
        <v>12</v>
      </c>
      <c r="B23" s="969" t="s">
        <v>992</v>
      </c>
      <c r="D23" s="986"/>
      <c r="F23" s="986">
        <f>+'Tab 6b Restated ADIT'!E32/1000</f>
        <v>-753.36532169345219</v>
      </c>
      <c r="H23" s="967">
        <v>0.35</v>
      </c>
      <c r="J23" s="986">
        <f t="shared" si="4"/>
        <v>-2152.4723476955778</v>
      </c>
      <c r="L23" s="967">
        <v>0.21</v>
      </c>
      <c r="N23" s="986">
        <f t="shared" si="1"/>
        <v>-452.01919301607131</v>
      </c>
      <c r="P23" s="986">
        <f t="shared" si="2"/>
        <v>-301.34612867738088</v>
      </c>
      <c r="R23" s="1039">
        <f>+R13</f>
        <v>0.2</v>
      </c>
      <c r="S23" s="966" t="s">
        <v>1055</v>
      </c>
      <c r="T23" s="986">
        <f t="shared" si="0"/>
        <v>-60.269225735476176</v>
      </c>
    </row>
    <row r="24" spans="1:20">
      <c r="B24" s="978"/>
      <c r="D24" s="970"/>
      <c r="P24" s="970"/>
      <c r="R24" s="978"/>
    </row>
    <row r="25" spans="1:20" ht="12.75">
      <c r="A25" s="772">
        <f t="shared" ca="1" si="3"/>
        <v>13</v>
      </c>
      <c r="B25" s="980" t="s">
        <v>1021</v>
      </c>
      <c r="C25" s="981"/>
      <c r="D25" s="982">
        <f>+SUM(D11:D22)</f>
        <v>-354705</v>
      </c>
      <c r="E25" s="981"/>
      <c r="F25" s="982">
        <f>+SUM(F11:F23)</f>
        <v>-353899.40165256523</v>
      </c>
      <c r="G25" s="981"/>
      <c r="H25" s="981"/>
      <c r="I25" s="981"/>
      <c r="J25" s="982">
        <f>+SUM(J11:J23)</f>
        <v>-1011141.1475787575</v>
      </c>
      <c r="K25" s="981"/>
      <c r="L25" s="981"/>
      <c r="M25" s="981"/>
      <c r="N25" s="982">
        <f>+SUM(N11:N23)</f>
        <v>-212339.64099153911</v>
      </c>
      <c r="O25" s="981"/>
      <c r="P25" s="982">
        <f>+SUM(P11:P23)</f>
        <v>-141559.76066102606</v>
      </c>
      <c r="Q25" s="981"/>
      <c r="R25" s="980"/>
      <c r="S25" s="981"/>
      <c r="T25" s="982">
        <f>+SUM(T11:T23)</f>
        <v>-4881.4492325238143</v>
      </c>
    </row>
    <row r="26" spans="1:20">
      <c r="B26" s="1009" t="s">
        <v>93</v>
      </c>
      <c r="D26" s="970">
        <f>+D25-'Tab 4 Adjustment Details'!E76</f>
        <v>2</v>
      </c>
      <c r="F26" s="970">
        <f>+F25-'Tab 4 Adjustment Details'!AC76</f>
        <v>1.5983474347740412</v>
      </c>
      <c r="P26" s="970"/>
      <c r="R26" s="978"/>
    </row>
    <row r="27" spans="1:20">
      <c r="B27" s="978"/>
      <c r="D27" s="976" t="s">
        <v>1048</v>
      </c>
      <c r="F27" s="976" t="s">
        <v>1049</v>
      </c>
      <c r="P27" s="970"/>
      <c r="R27" s="978"/>
    </row>
    <row r="28" spans="1:20">
      <c r="B28" s="978"/>
      <c r="P28" s="970"/>
      <c r="R28" s="978"/>
    </row>
    <row r="29" spans="1:20" ht="12.75">
      <c r="A29" s="772">
        <f t="shared" ref="A29" ca="1" si="5">+MAX(OFFSET($A$1,0,0,ROW($A29)-ROW($A$1),1))+1</f>
        <v>14</v>
      </c>
      <c r="B29" s="966" t="s">
        <v>1107</v>
      </c>
      <c r="F29" s="986">
        <f>+'Tab 4 Adjustment Details'!AM76</f>
        <v>-1229</v>
      </c>
      <c r="H29" s="967">
        <v>0.35</v>
      </c>
      <c r="J29" s="986">
        <f>+F29/H29</f>
        <v>-3511.4285714285716</v>
      </c>
      <c r="L29" s="967">
        <v>0.21</v>
      </c>
      <c r="N29" s="986">
        <f t="shared" ref="N29" si="6">+J29*L29</f>
        <v>-737.4</v>
      </c>
      <c r="P29" s="986">
        <f t="shared" si="2"/>
        <v>-491.6</v>
      </c>
      <c r="R29" s="1039">
        <v>1.8700000000000001E-2</v>
      </c>
      <c r="S29" s="966" t="s">
        <v>1056</v>
      </c>
      <c r="T29" s="987">
        <f>+R29*P29</f>
        <v>-9.1929200000000009</v>
      </c>
    </row>
    <row r="31" spans="1:20" ht="12.75">
      <c r="A31" s="772">
        <f t="shared" ref="A31" ca="1" si="7">+MAX(OFFSET($A$1,0,0,ROW($A31)-ROW($A$1),1))+1</f>
        <v>15</v>
      </c>
      <c r="B31" s="981" t="s">
        <v>1066</v>
      </c>
      <c r="C31" s="981"/>
      <c r="D31" s="981"/>
      <c r="E31" s="981"/>
      <c r="F31" s="982">
        <f>+F29+F25</f>
        <v>-355128.40165256523</v>
      </c>
      <c r="G31" s="981"/>
      <c r="H31" s="981"/>
      <c r="I31" s="981"/>
      <c r="J31" s="982">
        <f>+SUM(J29,J25)</f>
        <v>-1014652.576150186</v>
      </c>
      <c r="K31" s="981"/>
      <c r="L31" s="981"/>
      <c r="M31" s="981"/>
      <c r="N31" s="982">
        <f>+SUM(N29,N25)</f>
        <v>-213077.04099153911</v>
      </c>
      <c r="O31" s="981"/>
      <c r="P31" s="1145">
        <f>+SUM(P29,P25)</f>
        <v>-142051.36066102606</v>
      </c>
      <c r="Q31" s="981"/>
      <c r="R31" s="981"/>
      <c r="S31" s="981"/>
      <c r="T31" s="1146">
        <f>+SUM(T29,T25)</f>
        <v>-4890.6421525238147</v>
      </c>
    </row>
    <row r="32" spans="1:20">
      <c r="B32" s="975" t="s">
        <v>93</v>
      </c>
      <c r="F32" s="970">
        <f>+F31-'Tab 4 Adjustment Details'!AT76</f>
        <v>1.5983474347740412</v>
      </c>
    </row>
    <row r="33" spans="2:6">
      <c r="F33" s="976" t="s">
        <v>1050</v>
      </c>
    </row>
    <row r="35" spans="2:6">
      <c r="B35" s="966" t="s">
        <v>1087</v>
      </c>
    </row>
    <row r="36" spans="2:6">
      <c r="B36" s="966" t="s">
        <v>1106</v>
      </c>
    </row>
    <row r="37" spans="2:6">
      <c r="B37" s="966" t="s">
        <v>1085</v>
      </c>
    </row>
    <row r="38" spans="2:6">
      <c r="B38" s="966" t="s">
        <v>1086</v>
      </c>
    </row>
    <row r="39" spans="2:6">
      <c r="B39" s="966" t="s">
        <v>1108</v>
      </c>
    </row>
    <row r="40" spans="2:6">
      <c r="B40" s="966" t="s">
        <v>1091</v>
      </c>
    </row>
    <row r="41" spans="2:6">
      <c r="B41" s="966" t="s">
        <v>1093</v>
      </c>
    </row>
  </sheetData>
  <pageMargins left="0.7" right="0.7" top="0.75" bottom="0.75" header="0.3" footer="0.3"/>
  <pageSetup scale="75" orientation="landscape" horizontalDpi="0" verticalDpi="0" r:id="rId1"/>
  <headerFooter>
    <oddFooter>&amp;CElectric Services&amp;RTab 6a Adjustment TCJA-2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D5FFEA"/>
  </sheetPr>
  <dimension ref="A1:J53"/>
  <sheetViews>
    <sheetView tabSelected="1" zoomScaleNormal="100" zoomScaleSheetLayoutView="100" workbookViewId="0">
      <selection activeCell="P59" sqref="P59"/>
    </sheetView>
  </sheetViews>
  <sheetFormatPr defaultColWidth="11.42578125" defaultRowHeight="12.75"/>
  <cols>
    <col min="1" max="1" width="16.5703125" style="927" customWidth="1"/>
    <col min="2" max="2" width="23.140625" style="927" customWidth="1"/>
    <col min="3" max="3" width="6.42578125" style="927" customWidth="1"/>
    <col min="4" max="6" width="13.7109375" style="927" customWidth="1"/>
    <col min="7" max="7" width="5.5703125" style="927" customWidth="1"/>
    <col min="8" max="8" width="24.85546875" style="927" customWidth="1"/>
    <col min="9" max="9" width="17.5703125" style="927" customWidth="1"/>
    <col min="10" max="10" width="13.42578125" style="927" customWidth="1"/>
    <col min="11" max="16384" width="11.42578125" style="927"/>
  </cols>
  <sheetData>
    <row r="1" spans="1:10">
      <c r="A1" s="1019" t="s">
        <v>1067</v>
      </c>
      <c r="C1" s="928"/>
    </row>
    <row r="2" spans="1:10">
      <c r="C2" s="928"/>
    </row>
    <row r="3" spans="1:10">
      <c r="C3" s="928" t="s">
        <v>116</v>
      </c>
    </row>
    <row r="4" spans="1:10">
      <c r="C4" s="928" t="s">
        <v>969</v>
      </c>
    </row>
    <row r="5" spans="1:10">
      <c r="C5" s="929" t="s">
        <v>1114</v>
      </c>
    </row>
    <row r="8" spans="1:10">
      <c r="C8" s="928" t="s">
        <v>970</v>
      </c>
      <c r="D8" s="928" t="s">
        <v>971</v>
      </c>
      <c r="E8" s="928"/>
      <c r="F8" s="928"/>
    </row>
    <row r="9" spans="1:10">
      <c r="C9" s="929" t="s">
        <v>972</v>
      </c>
      <c r="D9" s="929" t="s">
        <v>91</v>
      </c>
      <c r="E9" s="929" t="s">
        <v>92</v>
      </c>
      <c r="F9" s="929" t="s">
        <v>75</v>
      </c>
    </row>
    <row r="10" spans="1:10">
      <c r="A10" s="927" t="s">
        <v>973</v>
      </c>
      <c r="H10" s="928"/>
      <c r="I10" s="928" t="s">
        <v>974</v>
      </c>
    </row>
    <row r="11" spans="1:10">
      <c r="C11" s="928"/>
      <c r="D11" s="930"/>
      <c r="E11" s="930"/>
      <c r="F11" s="930"/>
      <c r="I11" s="931" t="s">
        <v>975</v>
      </c>
    </row>
    <row r="12" spans="1:10">
      <c r="A12" s="927" t="s">
        <v>971</v>
      </c>
      <c r="B12" s="927" t="s">
        <v>68</v>
      </c>
      <c r="C12" s="928">
        <v>1</v>
      </c>
      <c r="D12" s="930">
        <v>-8324201</v>
      </c>
      <c r="E12" s="930">
        <f>D12*E43</f>
        <v>-5471497.3173000002</v>
      </c>
      <c r="F12" s="930">
        <f>D12*F43</f>
        <v>-2852703.6827000002</v>
      </c>
      <c r="H12" s="932" t="s">
        <v>976</v>
      </c>
      <c r="I12" s="933">
        <v>63113426</v>
      </c>
      <c r="J12" s="934">
        <f>ROUND(I12/$I$17,8)</f>
        <v>1.761006E-2</v>
      </c>
    </row>
    <row r="13" spans="1:10">
      <c r="B13" s="927" t="s">
        <v>69</v>
      </c>
      <c r="C13" s="928">
        <v>1</v>
      </c>
      <c r="D13" s="930">
        <v>-167114787</v>
      </c>
      <c r="E13" s="930">
        <f>D13*E43</f>
        <v>-109844549.49510001</v>
      </c>
      <c r="F13" s="930">
        <f>D13*F43</f>
        <v>-57270237.504900001</v>
      </c>
      <c r="H13" s="932" t="s">
        <v>69</v>
      </c>
      <c r="I13" s="933">
        <v>1267050901</v>
      </c>
      <c r="J13" s="934">
        <f>ROUND(I13/$I$17,8)</f>
        <v>0.35353560000000001</v>
      </c>
    </row>
    <row r="14" spans="1:10">
      <c r="B14" s="927" t="s">
        <v>70</v>
      </c>
      <c r="C14" s="928">
        <v>1</v>
      </c>
      <c r="D14" s="930">
        <v>-86405995</v>
      </c>
      <c r="E14" s="930">
        <f>D14*E43</f>
        <v>-56794660.513499998</v>
      </c>
      <c r="F14" s="930">
        <f>D14*F43</f>
        <v>-29611334.486499999</v>
      </c>
      <c r="H14" s="932" t="s">
        <v>70</v>
      </c>
      <c r="I14" s="933">
        <v>655123312</v>
      </c>
      <c r="J14" s="934">
        <f>ROUND(I14/$I$17,8)</f>
        <v>0.18279408999999999</v>
      </c>
    </row>
    <row r="15" spans="1:10">
      <c r="B15" s="927" t="s">
        <v>52</v>
      </c>
      <c r="C15" s="928">
        <v>10</v>
      </c>
      <c r="D15" s="930">
        <v>-198236675</v>
      </c>
      <c r="E15" s="930">
        <f>D15*E45</f>
        <v>-130743034.26274998</v>
      </c>
      <c r="F15" s="930">
        <f>D15*F45</f>
        <v>-67493640.737250015</v>
      </c>
      <c r="H15" s="932" t="s">
        <v>52</v>
      </c>
      <c r="I15" s="933">
        <v>1503014541</v>
      </c>
      <c r="J15" s="934">
        <f>ROUND(I15/$I$17,8)</f>
        <v>0.41937475000000002</v>
      </c>
    </row>
    <row r="16" spans="1:10">
      <c r="B16" s="927" t="s">
        <v>977</v>
      </c>
      <c r="C16" s="928">
        <v>13</v>
      </c>
      <c r="D16" s="930">
        <v>-12614123</v>
      </c>
      <c r="E16" s="930">
        <f>D16*E47</f>
        <v>-8404411.7312100008</v>
      </c>
      <c r="F16" s="930">
        <f>D16*F47</f>
        <v>-4209711.2687899992</v>
      </c>
      <c r="H16" s="932" t="s">
        <v>978</v>
      </c>
      <c r="I16" s="935">
        <v>95639264</v>
      </c>
      <c r="J16" s="936">
        <f>ROUND(I16/$I$17,8)</f>
        <v>2.6685500000000001E-2</v>
      </c>
    </row>
    <row r="17" spans="1:10">
      <c r="C17" s="928"/>
      <c r="D17" s="930"/>
      <c r="E17" s="930"/>
      <c r="F17" s="930"/>
      <c r="H17" s="932"/>
      <c r="I17" s="937">
        <f>SUM(I12:I16)</f>
        <v>3583941444</v>
      </c>
      <c r="J17" s="938">
        <f>SUM(J12:J16)</f>
        <v>1</v>
      </c>
    </row>
    <row r="18" spans="1:10">
      <c r="A18" s="927" t="s">
        <v>979</v>
      </c>
      <c r="B18" s="939" t="s">
        <v>980</v>
      </c>
      <c r="C18" s="928">
        <v>4</v>
      </c>
      <c r="D18" s="930">
        <v>-46935379.524132892</v>
      </c>
      <c r="E18" s="930">
        <f>D18*E44</f>
        <v>-32042783.601125523</v>
      </c>
      <c r="F18" s="930">
        <f>D18*F44</f>
        <v>-14892595.923007367</v>
      </c>
      <c r="H18" s="940" t="s">
        <v>981</v>
      </c>
      <c r="I18" s="941">
        <v>254564206</v>
      </c>
    </row>
    <row r="19" spans="1:10">
      <c r="A19" s="927" t="s">
        <v>979</v>
      </c>
      <c r="B19" s="927" t="s">
        <v>982</v>
      </c>
      <c r="C19" s="928">
        <v>4</v>
      </c>
      <c r="D19" s="942">
        <v>-512045.43237156683</v>
      </c>
      <c r="E19" s="942">
        <f>D19*E44</f>
        <v>-349573.41668006865</v>
      </c>
      <c r="F19" s="942">
        <f>D19*F44</f>
        <v>-162472.01569149818</v>
      </c>
      <c r="H19" s="940" t="s">
        <v>983</v>
      </c>
      <c r="I19" s="941">
        <v>121686318</v>
      </c>
    </row>
    <row r="20" spans="1:10">
      <c r="A20" s="927" t="s">
        <v>984</v>
      </c>
      <c r="C20" s="928"/>
      <c r="D20" s="930">
        <f>SUM(D12:D19)</f>
        <v>-520143205.95650446</v>
      </c>
      <c r="E20" s="930">
        <f>SUM(E12:E19)</f>
        <v>-343650510.33766562</v>
      </c>
      <c r="F20" s="930">
        <f>SUM(F12:F19)</f>
        <v>-176492695.61883888</v>
      </c>
      <c r="H20" s="940"/>
      <c r="I20" s="941"/>
    </row>
    <row r="21" spans="1:10">
      <c r="C21" s="928"/>
      <c r="D21" s="930"/>
      <c r="E21" s="930"/>
      <c r="F21" s="930"/>
      <c r="H21" s="940"/>
      <c r="I21" s="941"/>
    </row>
    <row r="22" spans="1:10">
      <c r="A22" s="927" t="s">
        <v>985</v>
      </c>
      <c r="C22" s="928">
        <v>1</v>
      </c>
      <c r="D22" s="930">
        <v>0</v>
      </c>
      <c r="E22" s="930">
        <f>D22*E43</f>
        <v>0</v>
      </c>
      <c r="F22" s="930">
        <f>D22*F43</f>
        <v>0</v>
      </c>
      <c r="H22" s="940" t="s">
        <v>986</v>
      </c>
      <c r="I22" s="933">
        <v>45068391</v>
      </c>
    </row>
    <row r="23" spans="1:10">
      <c r="A23" s="927" t="s">
        <v>664</v>
      </c>
      <c r="C23" s="928">
        <v>1</v>
      </c>
      <c r="D23" s="930">
        <v>0</v>
      </c>
      <c r="E23" s="930">
        <f>D23*E43</f>
        <v>0</v>
      </c>
      <c r="F23" s="930">
        <f>D23*F43</f>
        <v>0</v>
      </c>
      <c r="H23" s="940"/>
      <c r="I23" s="943"/>
    </row>
    <row r="24" spans="1:10">
      <c r="A24" s="927" t="s">
        <v>900</v>
      </c>
      <c r="C24" s="928">
        <v>1</v>
      </c>
      <c r="D24" s="944">
        <v>-11616516.85</v>
      </c>
      <c r="E24" s="944">
        <f>D24*E43</f>
        <v>-7635536.5255049998</v>
      </c>
      <c r="F24" s="944">
        <f>D24*F43</f>
        <v>-3980980.3244949998</v>
      </c>
      <c r="H24" s="940"/>
      <c r="I24" s="943"/>
    </row>
    <row r="25" spans="1:10">
      <c r="A25" s="927" t="s">
        <v>987</v>
      </c>
      <c r="C25" s="928">
        <v>1</v>
      </c>
      <c r="D25" s="942">
        <v>386765.32000000007</v>
      </c>
      <c r="E25" s="942">
        <f>D25*E43</f>
        <v>254220.84483600003</v>
      </c>
      <c r="F25" s="942">
        <f>D25*F43</f>
        <v>132544.47516400003</v>
      </c>
      <c r="H25" s="940"/>
      <c r="I25" s="943"/>
    </row>
    <row r="26" spans="1:10">
      <c r="A26" s="927" t="s">
        <v>988</v>
      </c>
      <c r="C26" s="928"/>
      <c r="D26" s="930">
        <f>SUM(D22:D25)</f>
        <v>-11229751.529999999</v>
      </c>
      <c r="E26" s="930">
        <f t="shared" ref="E26" si="0">SUM(E22:E25)</f>
        <v>-7381315.6806689994</v>
      </c>
      <c r="F26" s="930">
        <f>SUM(F22:F25)</f>
        <v>-3848435.8493309999</v>
      </c>
      <c r="H26" s="940"/>
      <c r="I26" s="943"/>
    </row>
    <row r="27" spans="1:10">
      <c r="C27" s="928"/>
      <c r="D27" s="944"/>
      <c r="E27" s="944"/>
      <c r="F27" s="944"/>
      <c r="H27" s="940"/>
      <c r="I27" s="943"/>
    </row>
    <row r="28" spans="1:10" ht="13.5" thickBot="1">
      <c r="A28" s="927" t="s">
        <v>989</v>
      </c>
      <c r="D28" s="945">
        <f>D20+D26</f>
        <v>-531372957.48650444</v>
      </c>
      <c r="E28" s="945">
        <f>E20+E26</f>
        <v>-351031826.01833463</v>
      </c>
      <c r="F28" s="945">
        <f>F20+F26</f>
        <v>-180341131.46816987</v>
      </c>
      <c r="H28" s="940" t="s">
        <v>990</v>
      </c>
      <c r="I28" s="946">
        <f>SUM(I17:I23)</f>
        <v>4005260359</v>
      </c>
    </row>
    <row r="29" spans="1:10" ht="13.5" thickTop="1">
      <c r="I29" s="946"/>
    </row>
    <row r="30" spans="1:10">
      <c r="H30" s="932"/>
      <c r="I30" s="947"/>
    </row>
    <row r="31" spans="1:10">
      <c r="A31" s="927" t="s">
        <v>991</v>
      </c>
      <c r="C31" s="928">
        <v>1</v>
      </c>
      <c r="D31" s="930">
        <v>-102294.37291666663</v>
      </c>
      <c r="E31" s="930">
        <f>D31*E43</f>
        <v>-67238.091318124978</v>
      </c>
      <c r="F31" s="930">
        <f>D31*F43</f>
        <v>-35056.281598541653</v>
      </c>
      <c r="G31" s="948"/>
      <c r="H31" s="932"/>
      <c r="I31" s="949"/>
    </row>
    <row r="32" spans="1:10">
      <c r="A32" s="950" t="s">
        <v>992</v>
      </c>
      <c r="C32" s="928">
        <v>4</v>
      </c>
      <c r="D32" s="944">
        <v>-1103508.6006934997</v>
      </c>
      <c r="E32" s="944">
        <f>D32*E44</f>
        <v>-753365.32169345219</v>
      </c>
      <c r="F32" s="944">
        <f>D32*F44</f>
        <v>-350143.27900004748</v>
      </c>
      <c r="G32" s="948"/>
      <c r="H32" s="932"/>
      <c r="I32" s="947"/>
    </row>
    <row r="33" spans="1:9">
      <c r="A33" s="927" t="s">
        <v>1115</v>
      </c>
      <c r="C33" s="928">
        <v>12</v>
      </c>
      <c r="D33" s="942">
        <v>-3100627.4367884588</v>
      </c>
      <c r="E33" s="942">
        <f>D33*E46</f>
        <v>-2046972.2212190048</v>
      </c>
      <c r="F33" s="942">
        <f>D33*F46</f>
        <v>-1053655.215569454</v>
      </c>
      <c r="H33" s="932"/>
      <c r="I33" s="947"/>
    </row>
    <row r="34" spans="1:9">
      <c r="A34" s="927" t="s">
        <v>993</v>
      </c>
      <c r="D34" s="942">
        <f>SUM(D31:D33)</f>
        <v>-4306430.4103986248</v>
      </c>
      <c r="E34" s="942">
        <f>SUM(E31:E33)</f>
        <v>-2867575.634230582</v>
      </c>
      <c r="F34" s="942">
        <f>SUM(F31:F33)</f>
        <v>-1438854.7761680433</v>
      </c>
      <c r="H34" s="932"/>
      <c r="I34" s="951"/>
    </row>
    <row r="35" spans="1:9">
      <c r="D35" s="930"/>
      <c r="E35" s="930"/>
      <c r="F35" s="930"/>
      <c r="I35" s="952"/>
    </row>
    <row r="36" spans="1:9" ht="13.5" thickBot="1">
      <c r="A36" s="927" t="s">
        <v>994</v>
      </c>
      <c r="C36" s="953" t="s">
        <v>995</v>
      </c>
      <c r="D36" s="954">
        <f>D28+D34</f>
        <v>-535679387.89690304</v>
      </c>
      <c r="E36" s="954">
        <f>E28+E34</f>
        <v>-353899401.65256518</v>
      </c>
      <c r="F36" s="954">
        <f>F28+F34</f>
        <v>-181779986.24433792</v>
      </c>
      <c r="H36" s="932"/>
      <c r="I36" s="938"/>
    </row>
    <row r="37" spans="1:9" ht="13.5" thickTop="1">
      <c r="E37" s="953" t="s">
        <v>996</v>
      </c>
      <c r="H37" s="932"/>
      <c r="I37" s="938"/>
    </row>
    <row r="38" spans="1:9">
      <c r="A38" s="927" t="s">
        <v>997</v>
      </c>
      <c r="D38" s="944">
        <f>SUM(E38:F38)</f>
        <v>-535679394</v>
      </c>
      <c r="E38" s="944">
        <v>-354705553</v>
      </c>
      <c r="F38" s="944">
        <v>-180973841</v>
      </c>
    </row>
    <row r="39" spans="1:9" ht="13.5" thickBot="1">
      <c r="A39" s="955"/>
      <c r="B39" s="955"/>
      <c r="C39" s="955"/>
      <c r="D39" s="956"/>
      <c r="E39" s="956"/>
      <c r="F39" s="956"/>
    </row>
    <row r="40" spans="1:9" s="955" customFormat="1" ht="14.25" thickTop="1" thickBot="1">
      <c r="A40" s="955" t="s">
        <v>25</v>
      </c>
      <c r="D40" s="956">
        <f>D36-D38</f>
        <v>6.1030969619750977</v>
      </c>
      <c r="E40" s="957">
        <f>E36-E38</f>
        <v>806151.34743481874</v>
      </c>
      <c r="F40" s="958">
        <f>F36-F38</f>
        <v>-806145.24433791637</v>
      </c>
      <c r="H40" s="958"/>
      <c r="I40" s="927"/>
    </row>
    <row r="41" spans="1:9" s="955" customFormat="1" ht="13.5" thickTop="1">
      <c r="A41" s="927"/>
      <c r="B41" s="927"/>
      <c r="C41" s="927"/>
      <c r="D41" s="927"/>
      <c r="E41" s="927"/>
      <c r="F41" s="927"/>
      <c r="H41" s="927"/>
      <c r="I41" s="927"/>
    </row>
    <row r="42" spans="1:9">
      <c r="A42" s="927" t="s">
        <v>998</v>
      </c>
    </row>
    <row r="43" spans="1:9">
      <c r="A43" s="927" t="s">
        <v>999</v>
      </c>
      <c r="C43" s="928">
        <v>1</v>
      </c>
      <c r="D43" s="934">
        <f>SUM(E43:F43)</f>
        <v>1</v>
      </c>
      <c r="E43" s="959">
        <v>0.6573</v>
      </c>
      <c r="F43" s="960">
        <f>1-E43</f>
        <v>0.3427</v>
      </c>
    </row>
    <row r="44" spans="1:9">
      <c r="A44" s="927" t="s">
        <v>1000</v>
      </c>
      <c r="C44" s="928">
        <v>4</v>
      </c>
      <c r="D44" s="934">
        <f>SUM(E44:F44)</f>
        <v>1</v>
      </c>
      <c r="E44" s="959">
        <v>0.68269999999999997</v>
      </c>
      <c r="F44" s="960">
        <f>1-E44</f>
        <v>0.31730000000000003</v>
      </c>
      <c r="H44" s="927" t="s">
        <v>1001</v>
      </c>
    </row>
    <row r="45" spans="1:9">
      <c r="A45" s="927" t="s">
        <v>1002</v>
      </c>
      <c r="C45" s="928">
        <v>10</v>
      </c>
      <c r="D45" s="934">
        <f>SUM(E45:F45)</f>
        <v>1</v>
      </c>
      <c r="E45" s="959">
        <v>0.65952999999999995</v>
      </c>
      <c r="F45" s="960">
        <f t="shared" ref="F45:F47" si="1">1-E45</f>
        <v>0.34047000000000005</v>
      </c>
      <c r="H45" s="927" t="s">
        <v>1001</v>
      </c>
    </row>
    <row r="46" spans="1:9">
      <c r="A46" s="927" t="s">
        <v>1003</v>
      </c>
      <c r="C46" s="928">
        <v>12</v>
      </c>
      <c r="D46" s="934">
        <f>SUM(E46:F46)</f>
        <v>1</v>
      </c>
      <c r="E46" s="959">
        <v>0.66017999999999999</v>
      </c>
      <c r="F46" s="960">
        <f t="shared" si="1"/>
        <v>0.33982000000000001</v>
      </c>
      <c r="H46" s="927" t="s">
        <v>1004</v>
      </c>
    </row>
    <row r="47" spans="1:9">
      <c r="A47" s="927" t="s">
        <v>1005</v>
      </c>
      <c r="C47" s="928">
        <v>13</v>
      </c>
      <c r="D47" s="934">
        <f>SUM(E47:F47)</f>
        <v>1</v>
      </c>
      <c r="E47" s="959">
        <v>0.66627000000000003</v>
      </c>
      <c r="F47" s="960">
        <f t="shared" si="1"/>
        <v>0.33372999999999997</v>
      </c>
    </row>
    <row r="48" spans="1:9">
      <c r="A48" s="927" t="s">
        <v>941</v>
      </c>
      <c r="C48" s="928" t="s">
        <v>1006</v>
      </c>
      <c r="D48" s="934"/>
      <c r="E48" s="934"/>
      <c r="F48" s="934"/>
      <c r="H48" s="955"/>
      <c r="I48" s="955"/>
    </row>
    <row r="49" spans="1:9">
      <c r="H49" s="955"/>
      <c r="I49" s="955"/>
    </row>
    <row r="50" spans="1:9">
      <c r="A50" s="927" t="s">
        <v>1007</v>
      </c>
    </row>
    <row r="51" spans="1:9">
      <c r="A51" s="927" t="s">
        <v>1008</v>
      </c>
    </row>
    <row r="53" spans="1:9">
      <c r="A53" s="961"/>
      <c r="B53" s="962"/>
      <c r="C53" s="962"/>
      <c r="D53" s="962"/>
      <c r="E53" s="961"/>
    </row>
  </sheetData>
  <pageMargins left="0.75" right="0.75" top="0.75" bottom="0.75" header="0.5" footer="0.5"/>
  <pageSetup scale="75" fitToWidth="0" fitToHeight="0" orientation="portrait" r:id="rId1"/>
  <headerFooter alignWithMargins="0">
    <oddFooter>&amp;CElectric Services&amp;RTab 6b Restated ADIT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8F7E4"/>
  </sheetPr>
  <dimension ref="A1:H38"/>
  <sheetViews>
    <sheetView tabSelected="1" zoomScaleNormal="100" workbookViewId="0">
      <selection activeCell="P59" sqref="P59"/>
    </sheetView>
  </sheetViews>
  <sheetFormatPr defaultRowHeight="12.75"/>
  <cols>
    <col min="1" max="1" width="6.7109375" customWidth="1"/>
    <col min="2" max="2" width="48.42578125" customWidth="1"/>
    <col min="3" max="3" width="16.5703125" customWidth="1"/>
    <col min="4" max="7" width="13" customWidth="1"/>
  </cols>
  <sheetData>
    <row r="1" spans="1:8">
      <c r="A1" s="981" t="s">
        <v>1028</v>
      </c>
    </row>
    <row r="2" spans="1:8">
      <c r="A2" s="981" t="s">
        <v>1044</v>
      </c>
    </row>
    <row r="3" spans="1:8">
      <c r="A3" s="1024" t="s">
        <v>1068</v>
      </c>
    </row>
    <row r="4" spans="1:8">
      <c r="D4" s="972"/>
      <c r="E4" s="972"/>
      <c r="F4" s="972"/>
      <c r="G4" s="972"/>
      <c r="H4" s="972"/>
    </row>
    <row r="5" spans="1:8">
      <c r="D5" s="972"/>
      <c r="E5" s="972"/>
      <c r="F5" s="972"/>
      <c r="G5" s="972"/>
      <c r="H5" s="972"/>
    </row>
    <row r="6" spans="1:8">
      <c r="A6" s="198" t="s">
        <v>8</v>
      </c>
      <c r="D6" s="972"/>
      <c r="E6" s="972"/>
      <c r="F6" s="972"/>
      <c r="G6" s="972"/>
      <c r="H6" s="972"/>
    </row>
    <row r="7" spans="1:8">
      <c r="A7" s="772">
        <f ca="1">+MAX(OFFSET($A$1,0,0,ROW($A7)-ROW($A$1),1))+1</f>
        <v>1</v>
      </c>
      <c r="B7" s="1022" t="s">
        <v>1092</v>
      </c>
      <c r="C7" s="198"/>
      <c r="E7" s="972"/>
    </row>
    <row r="8" spans="1:8" ht="18.75">
      <c r="A8" s="772">
        <f ca="1">+MAX(OFFSET($A$1,0,0,ROW($A8)-ROW($A$1),1))+1</f>
        <v>2</v>
      </c>
      <c r="B8" t="s">
        <v>24</v>
      </c>
      <c r="C8" s="1040" t="s">
        <v>1088</v>
      </c>
      <c r="D8" s="1013">
        <v>1315891</v>
      </c>
      <c r="E8" s="972"/>
    </row>
    <row r="9" spans="1:8" ht="18.75">
      <c r="A9" s="772">
        <f t="shared" ref="A9:A20" ca="1" si="0">+MAX(OFFSET($A$1,0,0,ROW($A9)-ROW($A$1),1))+1</f>
        <v>3</v>
      </c>
      <c r="B9" t="s">
        <v>1034</v>
      </c>
      <c r="C9" s="1040" t="s">
        <v>1089</v>
      </c>
      <c r="D9" s="1012">
        <v>0.48499999999999999</v>
      </c>
      <c r="E9" s="972"/>
    </row>
    <row r="10" spans="1:8">
      <c r="A10" s="772">
        <f t="shared" ca="1" si="0"/>
        <v>4</v>
      </c>
      <c r="B10" t="s">
        <v>1037</v>
      </c>
      <c r="C10" s="198" t="str">
        <f ca="1">"Line "&amp;A8&amp;" * Line "&amp;A9</f>
        <v>Line 2 * Line 3</v>
      </c>
      <c r="D10" s="1013">
        <f>+D8*D9</f>
        <v>638207.13500000001</v>
      </c>
      <c r="E10" s="972"/>
    </row>
    <row r="11" spans="1:8">
      <c r="C11" s="198"/>
      <c r="D11" s="1011"/>
      <c r="E11" s="972"/>
    </row>
    <row r="12" spans="1:8" ht="18.75">
      <c r="A12" s="772">
        <f t="shared" ca="1" si="0"/>
        <v>5</v>
      </c>
      <c r="B12" t="s">
        <v>1035</v>
      </c>
      <c r="C12" s="1040" t="s">
        <v>1089</v>
      </c>
      <c r="D12" s="1012">
        <v>9.5000000000000001E-2</v>
      </c>
      <c r="E12" s="972"/>
    </row>
    <row r="13" spans="1:8">
      <c r="C13" s="198"/>
      <c r="D13" s="974"/>
      <c r="E13" s="972"/>
    </row>
    <row r="14" spans="1:8">
      <c r="A14" s="772">
        <f t="shared" ca="1" si="0"/>
        <v>6</v>
      </c>
      <c r="B14" t="s">
        <v>1036</v>
      </c>
      <c r="C14" s="198" t="str">
        <f ca="1">"Line "&amp;A12&amp;" * (1 - 35%)"</f>
        <v>Line 5 * (1 - 35%)</v>
      </c>
      <c r="D14" s="974">
        <f>+D12/(1-0.35)</f>
        <v>0.14615384615384616</v>
      </c>
    </row>
    <row r="15" spans="1:8">
      <c r="A15" s="772">
        <f t="shared" ca="1" si="0"/>
        <v>7</v>
      </c>
      <c r="B15" t="s">
        <v>1039</v>
      </c>
      <c r="C15" s="198" t="str">
        <f ca="1">"Line "&amp;A10&amp;" * Line "&amp;A12</f>
        <v>Line 4 * Line 5</v>
      </c>
      <c r="D15" s="973">
        <f>+D14*D10</f>
        <v>93276.427423076922</v>
      </c>
    </row>
    <row r="16" spans="1:8">
      <c r="C16" s="198"/>
      <c r="D16" s="974"/>
    </row>
    <row r="17" spans="1:7">
      <c r="A17" s="772">
        <f t="shared" ca="1" si="0"/>
        <v>8</v>
      </c>
      <c r="B17" t="s">
        <v>1038</v>
      </c>
      <c r="C17" s="198" t="str">
        <f ca="1">"Line "&amp;A15&amp;" * (1 - 21%)"</f>
        <v>Line 7 * (1 - 21%)</v>
      </c>
      <c r="D17" s="974">
        <f>+D12/(1-0.21)</f>
        <v>0.12025316455696203</v>
      </c>
    </row>
    <row r="18" spans="1:7">
      <c r="A18" s="772">
        <f t="shared" ca="1" si="0"/>
        <v>9</v>
      </c>
      <c r="B18" t="s">
        <v>1040</v>
      </c>
      <c r="C18" s="198" t="str">
        <f ca="1">"Line "&amp;A13&amp;" * Line "&amp;A15</f>
        <v>Line  * Line 7</v>
      </c>
      <c r="D18" s="973">
        <f>+D17*D10</f>
        <v>76746.427626582285</v>
      </c>
    </row>
    <row r="19" spans="1:7">
      <c r="C19" s="198"/>
      <c r="D19" s="963"/>
    </row>
    <row r="20" spans="1:7">
      <c r="A20" s="772">
        <f t="shared" ca="1" si="0"/>
        <v>10</v>
      </c>
      <c r="B20" s="1014" t="s">
        <v>1042</v>
      </c>
      <c r="C20" s="198" t="str">
        <f ca="1">"Line "&amp;A18&amp;" * Line "&amp;A19</f>
        <v xml:space="preserve">Line 9 * Line </v>
      </c>
      <c r="D20" s="1148">
        <f>+D18-D15</f>
        <v>-16529.999796494638</v>
      </c>
    </row>
    <row r="21" spans="1:7">
      <c r="C21" s="198"/>
      <c r="D21" s="963"/>
    </row>
    <row r="22" spans="1:7">
      <c r="C22" s="198"/>
      <c r="D22" s="963"/>
    </row>
    <row r="23" spans="1:7">
      <c r="A23" s="772">
        <f t="shared" ref="A23:A25" ca="1" si="1">+MAX(OFFSET($A$1,0,0,ROW($A23)-ROW($A$1),1))+1</f>
        <v>11</v>
      </c>
      <c r="B23" s="1022" t="s">
        <v>1070</v>
      </c>
      <c r="C23" s="198"/>
      <c r="D23" s="1021">
        <v>43101</v>
      </c>
      <c r="E23" s="1021">
        <f>+EDATE(D23,1)</f>
        <v>43132</v>
      </c>
      <c r="F23" s="1021">
        <f>+EDATE(E23,1)</f>
        <v>43160</v>
      </c>
      <c r="G23" s="1021">
        <f>+EDATE(F23,1)</f>
        <v>43191</v>
      </c>
    </row>
    <row r="24" spans="1:7">
      <c r="C24" s="198"/>
      <c r="D24" s="963"/>
      <c r="E24" s="963"/>
      <c r="F24" s="963"/>
      <c r="G24" s="963"/>
    </row>
    <row r="25" spans="1:7">
      <c r="A25" s="772">
        <f t="shared" ca="1" si="1"/>
        <v>12</v>
      </c>
      <c r="B25" t="s">
        <v>1071</v>
      </c>
      <c r="C25" s="198" t="str">
        <f ca="1">"Line "&amp;A20&amp;" / 12"</f>
        <v>Line 10 / 12</v>
      </c>
      <c r="D25" s="963">
        <f>-D20/12</f>
        <v>1377.4999830412198</v>
      </c>
      <c r="E25" s="963">
        <f>+D25</f>
        <v>1377.4999830412198</v>
      </c>
      <c r="F25" s="963">
        <f>+E25</f>
        <v>1377.4999830412198</v>
      </c>
      <c r="G25" s="963">
        <f>+F25</f>
        <v>1377.4999830412198</v>
      </c>
    </row>
    <row r="26" spans="1:7">
      <c r="A26" s="772"/>
      <c r="C26" s="198"/>
      <c r="D26" s="963"/>
      <c r="E26" s="963"/>
      <c r="F26" s="963"/>
      <c r="G26" s="963"/>
    </row>
    <row r="27" spans="1:7">
      <c r="A27" s="772">
        <f t="shared" ref="A27:A28" ca="1" si="2">+MAX(OFFSET($A$1,0,0,ROW($A27)-ROW($A$1),1))+1</f>
        <v>13</v>
      </c>
      <c r="B27" t="s">
        <v>1045</v>
      </c>
      <c r="C27" s="198" t="s">
        <v>1051</v>
      </c>
      <c r="D27" s="1016">
        <f>-'Tab 6a Adjustment TCJA-2'!T31/12</f>
        <v>407.55351271031788</v>
      </c>
      <c r="E27" s="1016">
        <f>+D27</f>
        <v>407.55351271031788</v>
      </c>
      <c r="F27" s="1016">
        <f>+E27</f>
        <v>407.55351271031788</v>
      </c>
      <c r="G27" s="1016">
        <f>+F27</f>
        <v>407.55351271031788</v>
      </c>
    </row>
    <row r="28" spans="1:7">
      <c r="A28" s="772">
        <f t="shared" ca="1" si="2"/>
        <v>14</v>
      </c>
      <c r="B28" t="s">
        <v>1046</v>
      </c>
      <c r="C28" s="198" t="str">
        <f ca="1">+"Line "&amp;A27&amp;" / (1-21%)"</f>
        <v>Line 13 / (1-21%)</v>
      </c>
      <c r="D28" s="963">
        <f>+D27/(1-0.21)</f>
        <v>515.89052241812385</v>
      </c>
      <c r="E28" s="963">
        <f>+E27/(1-0.21)</f>
        <v>515.89052241812385</v>
      </c>
      <c r="F28" s="963">
        <f>+F27/(1-0.21)</f>
        <v>515.89052241812385</v>
      </c>
      <c r="G28" s="963">
        <f>+G27/(1-0.21)</f>
        <v>515.89052241812385</v>
      </c>
    </row>
    <row r="29" spans="1:7">
      <c r="C29" s="198"/>
      <c r="D29" s="963"/>
      <c r="E29" s="963"/>
      <c r="F29" s="963"/>
      <c r="G29" s="963"/>
    </row>
    <row r="30" spans="1:7">
      <c r="A30" s="772">
        <f t="shared" ref="A30" ca="1" si="3">+MAX(OFFSET($A$1,0,0,ROW($A30)-ROW($A$1),1))+1</f>
        <v>15</v>
      </c>
      <c r="B30" t="s">
        <v>1047</v>
      </c>
      <c r="C30" s="198" t="str">
        <f ca="1">+"Line "&amp;A27&amp;" + Line "&amp;A28</f>
        <v>Line 13 + Line 14</v>
      </c>
      <c r="D30" s="963">
        <f>+SUM(D25:D27)</f>
        <v>1785.0534957515376</v>
      </c>
      <c r="E30" s="963">
        <f>+SUM(E25:E27)</f>
        <v>1785.0534957515376</v>
      </c>
      <c r="F30" s="963">
        <f>+SUM(F25:F27)</f>
        <v>1785.0534957515376</v>
      </c>
      <c r="G30" s="963">
        <f>+SUM(G25:G27)</f>
        <v>1785.0534957515376</v>
      </c>
    </row>
    <row r="31" spans="1:7">
      <c r="C31" s="198"/>
    </row>
    <row r="32" spans="1:7">
      <c r="A32" s="772">
        <f t="shared" ref="A32:A38" ca="1" si="4">+MAX(OFFSET($A$1,0,0,ROW($A32)-ROW($A$1),1))+1</f>
        <v>16</v>
      </c>
      <c r="B32" t="s">
        <v>1043</v>
      </c>
      <c r="C32" s="198"/>
      <c r="D32" s="974">
        <f>+'Tab 2 Rev. Req. Calc.'!N10+'Tab 2 Rev. Req. Calc.'!N12/0.79/12</f>
        <v>3.1441350210970463E-2</v>
      </c>
      <c r="E32" s="974">
        <f>+D32</f>
        <v>3.1441350210970463E-2</v>
      </c>
      <c r="F32" s="974">
        <f>+E32</f>
        <v>3.1441350210970463E-2</v>
      </c>
      <c r="G32" s="974">
        <f>+F32</f>
        <v>3.1441350210970463E-2</v>
      </c>
    </row>
    <row r="33" spans="1:7">
      <c r="C33" s="198"/>
    </row>
    <row r="34" spans="1:7">
      <c r="A34" s="772">
        <f t="shared" ca="1" si="4"/>
        <v>17</v>
      </c>
      <c r="B34" t="s">
        <v>1012</v>
      </c>
      <c r="C34" s="198"/>
    </row>
    <row r="35" spans="1:7">
      <c r="A35" s="772">
        <f t="shared" ca="1" si="4"/>
        <v>18</v>
      </c>
      <c r="B35" t="s">
        <v>1013</v>
      </c>
      <c r="C35" s="198"/>
      <c r="D35" s="963">
        <v>0</v>
      </c>
      <c r="E35" s="963">
        <f>+D38</f>
        <v>1785.0534957515376</v>
      </c>
      <c r="F35" s="963">
        <f>+E38</f>
        <v>3570.1069915030753</v>
      </c>
      <c r="G35" s="963">
        <f>+F38</f>
        <v>5355.1604872546131</v>
      </c>
    </row>
    <row r="36" spans="1:7">
      <c r="A36" s="772">
        <f t="shared" ca="1" si="4"/>
        <v>19</v>
      </c>
      <c r="B36" t="s">
        <v>1014</v>
      </c>
      <c r="C36" s="198" t="str">
        <f ca="1">"Line " &amp;A30</f>
        <v>Line 15</v>
      </c>
      <c r="D36" s="963">
        <f>+D30</f>
        <v>1785.0534957515376</v>
      </c>
      <c r="E36" s="963">
        <f t="shared" ref="E36:G36" si="5">+E30</f>
        <v>1785.0534957515376</v>
      </c>
      <c r="F36" s="963">
        <f t="shared" si="5"/>
        <v>1785.0534957515376</v>
      </c>
      <c r="G36" s="963">
        <f t="shared" si="5"/>
        <v>1785.0534957515376</v>
      </c>
    </row>
    <row r="37" spans="1:7" ht="22.5">
      <c r="A37" s="772">
        <f t="shared" ca="1" si="4"/>
        <v>20</v>
      </c>
      <c r="B37" t="s">
        <v>31</v>
      </c>
      <c r="C37" s="1020" t="str">
        <f ca="1">"Line "&amp;A32&amp;" * (Line "&amp;A34&amp;" + Line "&amp;A35&amp;" / 2 )"</f>
        <v>Line 16 * (Line 17 + Line 18 / 2 )</v>
      </c>
      <c r="D37" s="1016">
        <f>+D35*D32+D36/2*D32</f>
        <v>28.062246052620587</v>
      </c>
      <c r="E37" s="1016">
        <f>+E35*E32+E36/2*E32</f>
        <v>84.186738157861754</v>
      </c>
      <c r="F37" s="1016">
        <f>+F35*F32+F36/2*F32</f>
        <v>140.31123026310294</v>
      </c>
      <c r="G37" s="1016">
        <f>+G35*G32+G36/2*G32</f>
        <v>196.4357223683441</v>
      </c>
    </row>
    <row r="38" spans="1:7">
      <c r="A38" s="772">
        <f t="shared" ca="1" si="4"/>
        <v>21</v>
      </c>
      <c r="B38" t="s">
        <v>1015</v>
      </c>
      <c r="C38" s="198" t="str">
        <f ca="1">"∑ Lines " &amp;A35&amp;":"&amp;A37</f>
        <v>∑ Lines 18:20</v>
      </c>
      <c r="D38" s="963">
        <f>+D35+D36</f>
        <v>1785.0534957515376</v>
      </c>
      <c r="E38" s="963">
        <f>+E35+E36</f>
        <v>3570.1069915030753</v>
      </c>
      <c r="F38" s="963">
        <f>+F35+F36</f>
        <v>5355.1604872546131</v>
      </c>
      <c r="G38" s="963">
        <f>+G35+G36</f>
        <v>7140.2139830061506</v>
      </c>
    </row>
  </sheetData>
  <pageMargins left="0.7" right="0.7" top="0.75" bottom="0.75" header="0.3" footer="0.3"/>
  <pageSetup scale="75" orientation="landscape" horizontalDpi="0" verticalDpi="0" r:id="rId1"/>
  <headerFooter>
    <oddFooter xml:space="preserve">&amp;CElectric Services&amp;RTab 7a Deferral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8F7E4"/>
  </sheetPr>
  <dimension ref="A1:M33"/>
  <sheetViews>
    <sheetView tabSelected="1" zoomScaleNormal="100" zoomScaleSheetLayoutView="85" workbookViewId="0">
      <selection activeCell="P59" sqref="P59"/>
    </sheetView>
  </sheetViews>
  <sheetFormatPr defaultRowHeight="12.75"/>
  <cols>
    <col min="1" max="1" width="3" customWidth="1"/>
    <col min="3" max="3" width="3" customWidth="1"/>
    <col min="5" max="5" width="3" customWidth="1"/>
    <col min="7" max="7" width="3" customWidth="1"/>
    <col min="9" max="9" width="3" customWidth="1"/>
    <col min="10" max="10" width="9.5703125" bestFit="1" customWidth="1"/>
    <col min="11" max="11" width="3" customWidth="1"/>
    <col min="13" max="13" width="3" customWidth="1"/>
  </cols>
  <sheetData>
    <row r="1" spans="1:12">
      <c r="A1" s="981" t="s">
        <v>1028</v>
      </c>
    </row>
    <row r="2" spans="1:12">
      <c r="A2" s="981" t="s">
        <v>1075</v>
      </c>
    </row>
    <row r="3" spans="1:12">
      <c r="A3" s="1024" t="s">
        <v>1068</v>
      </c>
    </row>
    <row r="6" spans="1:12">
      <c r="B6" t="s">
        <v>1072</v>
      </c>
      <c r="D6" s="198" t="s">
        <v>1016</v>
      </c>
      <c r="E6" s="198"/>
      <c r="F6" s="198" t="s">
        <v>828</v>
      </c>
      <c r="G6" s="198"/>
      <c r="H6" s="198" t="s">
        <v>31</v>
      </c>
      <c r="I6" s="198"/>
      <c r="J6" s="198" t="s">
        <v>31</v>
      </c>
      <c r="K6" s="198"/>
      <c r="L6" s="198" t="s">
        <v>1074</v>
      </c>
    </row>
    <row r="7" spans="1:12">
      <c r="B7" s="1023"/>
      <c r="D7" s="1025" t="s">
        <v>1012</v>
      </c>
      <c r="E7" s="198"/>
      <c r="F7" s="1025"/>
      <c r="G7" s="198"/>
      <c r="H7" s="1025" t="s">
        <v>956</v>
      </c>
      <c r="I7" s="198"/>
      <c r="J7" s="1025"/>
      <c r="K7" s="198"/>
      <c r="L7" s="1025" t="s">
        <v>1012</v>
      </c>
    </row>
    <row r="8" spans="1:12">
      <c r="B8" s="972">
        <v>43221</v>
      </c>
      <c r="D8" s="963">
        <f>+'Tab 7a Deferral '!G38</f>
        <v>7140.2139830061506</v>
      </c>
      <c r="F8" s="1015">
        <v>-456.91637904631273</v>
      </c>
      <c r="H8" s="974">
        <f>+'Tab 7a Deferral '!G32</f>
        <v>3.1441350210970463E-2</v>
      </c>
      <c r="J8" s="963">
        <f>+(D8-F8/0.5)*H8</f>
        <v>253.23010420241198</v>
      </c>
      <c r="L8" s="963">
        <f>+D8+F8+J8</f>
        <v>6936.5277081622498</v>
      </c>
    </row>
    <row r="9" spans="1:12">
      <c r="B9" s="972">
        <f>+EDATE(B8,1)</f>
        <v>43252</v>
      </c>
      <c r="D9" s="963">
        <f>+L8</f>
        <v>6936.5277081622498</v>
      </c>
      <c r="F9" s="1026">
        <f>+$F$8</f>
        <v>-456.91637904631273</v>
      </c>
      <c r="H9" s="974">
        <f>+H8</f>
        <v>3.1441350210970463E-2</v>
      </c>
      <c r="J9" s="963">
        <f>+(D9-F9/0.5)*H9</f>
        <v>246.82593270187689</v>
      </c>
      <c r="L9" s="963">
        <f>+D9+F9+J9</f>
        <v>6726.437261817814</v>
      </c>
    </row>
    <row r="10" spans="1:12">
      <c r="B10" s="972">
        <f t="shared" ref="B10:B31" si="0">+EDATE(B9,1)</f>
        <v>43282</v>
      </c>
      <c r="D10" s="963">
        <f t="shared" ref="D10:D31" si="1">+L9</f>
        <v>6726.437261817814</v>
      </c>
      <c r="F10" s="1026">
        <f t="shared" ref="F10:F31" si="2">+$F$8</f>
        <v>-456.91637904631273</v>
      </c>
      <c r="H10" s="974">
        <f t="shared" ref="H10:H31" si="3">+H9</f>
        <v>3.1441350210970463E-2</v>
      </c>
      <c r="J10" s="963">
        <f t="shared" ref="J10:J31" si="4">+(D10-F10/0.5)*H10</f>
        <v>240.2204054023824</v>
      </c>
      <c r="L10" s="963">
        <f t="shared" ref="L10:L31" si="5">+D10+F10+J10</f>
        <v>6509.7412881738837</v>
      </c>
    </row>
    <row r="11" spans="1:12">
      <c r="B11" s="972">
        <f t="shared" si="0"/>
        <v>43313</v>
      </c>
      <c r="D11" s="963">
        <f t="shared" si="1"/>
        <v>6509.7412881738837</v>
      </c>
      <c r="F11" s="1026">
        <f t="shared" si="2"/>
        <v>-456.91637904631273</v>
      </c>
      <c r="H11" s="974">
        <f t="shared" si="3"/>
        <v>3.1441350210970463E-2</v>
      </c>
      <c r="J11" s="963">
        <f t="shared" si="4"/>
        <v>233.40719140573637</v>
      </c>
      <c r="L11" s="963">
        <f t="shared" si="5"/>
        <v>6286.2321005333079</v>
      </c>
    </row>
    <row r="12" spans="1:12">
      <c r="B12" s="972">
        <f t="shared" si="0"/>
        <v>43344</v>
      </c>
      <c r="D12" s="963">
        <f t="shared" si="1"/>
        <v>6286.2321005333079</v>
      </c>
      <c r="F12" s="1026">
        <f t="shared" si="2"/>
        <v>-456.91637904631273</v>
      </c>
      <c r="H12" s="974">
        <f t="shared" si="3"/>
        <v>3.1441350210970463E-2</v>
      </c>
      <c r="J12" s="963">
        <f t="shared" si="4"/>
        <v>226.37976076175951</v>
      </c>
      <c r="L12" s="963">
        <f t="shared" si="5"/>
        <v>6055.6954822487551</v>
      </c>
    </row>
    <row r="13" spans="1:12">
      <c r="B13" s="972">
        <f t="shared" si="0"/>
        <v>43374</v>
      </c>
      <c r="D13" s="963">
        <f t="shared" si="1"/>
        <v>6055.6954822487551</v>
      </c>
      <c r="F13" s="1026">
        <f t="shared" si="2"/>
        <v>-456.91637904631273</v>
      </c>
      <c r="H13" s="974">
        <f t="shared" si="3"/>
        <v>3.1441350210970463E-2</v>
      </c>
      <c r="J13" s="963">
        <f t="shared" si="4"/>
        <v>219.13137820982206</v>
      </c>
      <c r="L13" s="963">
        <f t="shared" si="5"/>
        <v>5817.9104814122647</v>
      </c>
    </row>
    <row r="14" spans="1:12">
      <c r="B14" s="972">
        <f t="shared" si="0"/>
        <v>43405</v>
      </c>
      <c r="D14" s="963">
        <f t="shared" si="1"/>
        <v>5817.9104814122647</v>
      </c>
      <c r="F14" s="1026">
        <f t="shared" si="2"/>
        <v>-456.91637904631273</v>
      </c>
      <c r="H14" s="974">
        <f t="shared" si="3"/>
        <v>3.1441350210970463E-2</v>
      </c>
      <c r="J14" s="963">
        <f t="shared" si="4"/>
        <v>211.65509672360605</v>
      </c>
      <c r="L14" s="963">
        <f t="shared" si="5"/>
        <v>5572.6491990895584</v>
      </c>
    </row>
    <row r="15" spans="1:12">
      <c r="B15" s="972">
        <f t="shared" si="0"/>
        <v>43435</v>
      </c>
      <c r="D15" s="963">
        <f t="shared" si="1"/>
        <v>5572.6491990895584</v>
      </c>
      <c r="F15" s="1026">
        <f t="shared" si="2"/>
        <v>-456.91637904631273</v>
      </c>
      <c r="H15" s="974">
        <f t="shared" si="3"/>
        <v>3.1441350210970463E-2</v>
      </c>
      <c r="J15" s="963">
        <f t="shared" si="4"/>
        <v>203.94375085290616</v>
      </c>
      <c r="L15" s="963">
        <f t="shared" si="5"/>
        <v>5319.676570896152</v>
      </c>
    </row>
    <row r="16" spans="1:12">
      <c r="B16" s="972">
        <f t="shared" si="0"/>
        <v>43466</v>
      </c>
      <c r="D16" s="963">
        <f t="shared" si="1"/>
        <v>5319.676570896152</v>
      </c>
      <c r="F16" s="1026">
        <f t="shared" si="2"/>
        <v>-456.91637904631273</v>
      </c>
      <c r="H16" s="974">
        <f t="shared" si="3"/>
        <v>3.1441350210970463E-2</v>
      </c>
      <c r="J16" s="963">
        <f t="shared" si="4"/>
        <v>195.98994985608763</v>
      </c>
      <c r="L16" s="963">
        <f t="shared" si="5"/>
        <v>5058.7501417059275</v>
      </c>
    </row>
    <row r="17" spans="2:13">
      <c r="B17" s="972">
        <f t="shared" si="0"/>
        <v>43497</v>
      </c>
      <c r="D17" s="963">
        <f t="shared" si="1"/>
        <v>5058.7501417059275</v>
      </c>
      <c r="F17" s="1026">
        <f t="shared" si="2"/>
        <v>-456.91637904631273</v>
      </c>
      <c r="H17" s="974">
        <f t="shared" si="3"/>
        <v>3.1441350210970463E-2</v>
      </c>
      <c r="J17" s="963">
        <f t="shared" si="4"/>
        <v>187.78607061661981</v>
      </c>
      <c r="L17" s="963">
        <f t="shared" si="5"/>
        <v>4789.6198332762351</v>
      </c>
    </row>
    <row r="18" spans="2:13">
      <c r="B18" s="972">
        <f t="shared" si="0"/>
        <v>43525</v>
      </c>
      <c r="D18" s="963">
        <f t="shared" si="1"/>
        <v>4789.6198332762351</v>
      </c>
      <c r="F18" s="1026">
        <f t="shared" si="2"/>
        <v>-456.91637904631273</v>
      </c>
      <c r="H18" s="974">
        <f t="shared" si="3"/>
        <v>3.1441350210970463E-2</v>
      </c>
      <c r="J18" s="963">
        <f t="shared" si="4"/>
        <v>179.32425033689535</v>
      </c>
      <c r="L18" s="963">
        <f t="shared" si="5"/>
        <v>4512.0277045668181</v>
      </c>
    </row>
    <row r="19" spans="2:13">
      <c r="B19" s="972">
        <f t="shared" si="0"/>
        <v>43556</v>
      </c>
      <c r="D19" s="963">
        <f t="shared" si="1"/>
        <v>4512.0277045668181</v>
      </c>
      <c r="F19" s="1026">
        <f t="shared" si="2"/>
        <v>-456.91637904631273</v>
      </c>
      <c r="H19" s="974">
        <f t="shared" si="3"/>
        <v>3.1441350210970463E-2</v>
      </c>
      <c r="J19" s="963">
        <f t="shared" si="4"/>
        <v>170.59637900233378</v>
      </c>
      <c r="L19" s="963">
        <f t="shared" si="5"/>
        <v>4225.7077045228389</v>
      </c>
    </row>
    <row r="20" spans="2:13">
      <c r="B20" s="972">
        <f t="shared" si="0"/>
        <v>43586</v>
      </c>
      <c r="D20" s="963">
        <f t="shared" si="1"/>
        <v>4225.7077045228389</v>
      </c>
      <c r="F20" s="1026">
        <f t="shared" si="2"/>
        <v>-456.91637904631273</v>
      </c>
      <c r="H20" s="974">
        <f t="shared" si="3"/>
        <v>3.1441350210970463E-2</v>
      </c>
      <c r="J20" s="963">
        <f t="shared" si="4"/>
        <v>161.59409160854597</v>
      </c>
      <c r="L20" s="963">
        <f t="shared" si="5"/>
        <v>3930.3854170850723</v>
      </c>
    </row>
    <row r="21" spans="2:13">
      <c r="B21" s="972">
        <f t="shared" si="0"/>
        <v>43617</v>
      </c>
      <c r="D21" s="963">
        <f t="shared" si="1"/>
        <v>3930.3854170850723</v>
      </c>
      <c r="F21" s="1026">
        <f t="shared" si="2"/>
        <v>-456.91637904631273</v>
      </c>
      <c r="H21" s="974">
        <f t="shared" si="3"/>
        <v>3.1441350210970463E-2</v>
      </c>
      <c r="J21" s="963">
        <f t="shared" si="4"/>
        <v>152.30876014411027</v>
      </c>
      <c r="L21" s="963">
        <f t="shared" si="5"/>
        <v>3625.7777981828699</v>
      </c>
    </row>
    <row r="22" spans="2:13">
      <c r="B22" s="972">
        <f t="shared" si="0"/>
        <v>43647</v>
      </c>
      <c r="D22" s="963">
        <f t="shared" si="1"/>
        <v>3625.7777981828699</v>
      </c>
      <c r="F22" s="1026">
        <f t="shared" si="2"/>
        <v>-456.91637904631273</v>
      </c>
      <c r="H22" s="974">
        <f t="shared" si="3"/>
        <v>3.1441350210970463E-2</v>
      </c>
      <c r="J22" s="963">
        <f t="shared" si="4"/>
        <v>142.7314853212763</v>
      </c>
      <c r="L22" s="963">
        <f t="shared" si="5"/>
        <v>3311.5929044578334</v>
      </c>
    </row>
    <row r="23" spans="2:13">
      <c r="B23" s="972">
        <f t="shared" si="0"/>
        <v>43678</v>
      </c>
      <c r="D23" s="963">
        <f t="shared" si="1"/>
        <v>3311.5929044578334</v>
      </c>
      <c r="F23" s="1026">
        <f t="shared" si="2"/>
        <v>-456.91637904631273</v>
      </c>
      <c r="H23" s="974">
        <f t="shared" si="3"/>
        <v>3.1441350210970463E-2</v>
      </c>
      <c r="J23" s="963">
        <f t="shared" si="4"/>
        <v>132.85308804667088</v>
      </c>
      <c r="L23" s="963">
        <f t="shared" si="5"/>
        <v>2987.5296134581918</v>
      </c>
    </row>
    <row r="24" spans="2:13">
      <c r="B24" s="972">
        <f t="shared" si="0"/>
        <v>43709</v>
      </c>
      <c r="D24" s="963">
        <f t="shared" si="1"/>
        <v>2987.5296134581918</v>
      </c>
      <c r="F24" s="1026">
        <f t="shared" si="2"/>
        <v>-456.91637904631273</v>
      </c>
      <c r="H24" s="974">
        <f t="shared" si="3"/>
        <v>3.1441350210970463E-2</v>
      </c>
      <c r="J24" s="963">
        <f t="shared" si="4"/>
        <v>122.66410062383152</v>
      </c>
      <c r="L24" s="963">
        <f t="shared" si="5"/>
        <v>2653.2773350357106</v>
      </c>
    </row>
    <row r="25" spans="2:13">
      <c r="B25" s="972">
        <f t="shared" si="0"/>
        <v>43739</v>
      </c>
      <c r="D25" s="963">
        <f t="shared" si="1"/>
        <v>2653.2773350357106</v>
      </c>
      <c r="F25" s="1026">
        <f t="shared" si="2"/>
        <v>-456.91637904631273</v>
      </c>
      <c r="H25" s="974">
        <f t="shared" si="3"/>
        <v>3.1441350210970463E-2</v>
      </c>
      <c r="J25" s="963">
        <f t="shared" si="4"/>
        <v>112.15475767913549</v>
      </c>
      <c r="L25" s="963">
        <f t="shared" si="5"/>
        <v>2308.5157136685334</v>
      </c>
    </row>
    <row r="26" spans="2:13">
      <c r="B26" s="972">
        <f t="shared" si="0"/>
        <v>43770</v>
      </c>
      <c r="D26" s="963">
        <f t="shared" si="1"/>
        <v>2308.5157136685334</v>
      </c>
      <c r="F26" s="1026">
        <f t="shared" si="2"/>
        <v>-456.91637904631273</v>
      </c>
      <c r="H26" s="974">
        <f t="shared" si="3"/>
        <v>3.1441350210970463E-2</v>
      </c>
      <c r="J26" s="963">
        <f t="shared" si="4"/>
        <v>101.31498680242807</v>
      </c>
      <c r="L26" s="963">
        <f t="shared" si="5"/>
        <v>1952.914321424649</v>
      </c>
    </row>
    <row r="27" spans="2:13">
      <c r="B27" s="972">
        <f t="shared" si="0"/>
        <v>43800</v>
      </c>
      <c r="D27" s="963">
        <f t="shared" si="1"/>
        <v>1952.914321424649</v>
      </c>
      <c r="F27" s="1026">
        <f t="shared" si="2"/>
        <v>-456.91637904631273</v>
      </c>
      <c r="H27" s="974">
        <f t="shared" si="3"/>
        <v>3.1441350210970463E-2</v>
      </c>
      <c r="J27" s="963">
        <f t="shared" si="4"/>
        <v>90.134398893379412</v>
      </c>
      <c r="L27" s="963">
        <f t="shared" si="5"/>
        <v>1586.1323412717156</v>
      </c>
    </row>
    <row r="28" spans="2:13">
      <c r="B28" s="972">
        <f t="shared" si="0"/>
        <v>43831</v>
      </c>
      <c r="D28" s="963">
        <f t="shared" si="1"/>
        <v>1586.1323412717156</v>
      </c>
      <c r="F28" s="1026">
        <f t="shared" si="2"/>
        <v>-456.91637904631273</v>
      </c>
      <c r="H28" s="974">
        <f t="shared" si="3"/>
        <v>3.1441350210970463E-2</v>
      </c>
      <c r="J28" s="963">
        <f t="shared" si="4"/>
        <v>78.602278204317813</v>
      </c>
      <c r="L28" s="963">
        <f t="shared" si="5"/>
        <v>1207.8182404297208</v>
      </c>
    </row>
    <row r="29" spans="2:13">
      <c r="B29" s="972">
        <f t="shared" si="0"/>
        <v>43862</v>
      </c>
      <c r="D29" s="963">
        <f t="shared" si="1"/>
        <v>1207.8182404297208</v>
      </c>
      <c r="F29" s="1026">
        <f t="shared" si="2"/>
        <v>-456.91637904631273</v>
      </c>
      <c r="H29" s="974">
        <f t="shared" si="3"/>
        <v>3.1441350210970463E-2</v>
      </c>
      <c r="J29" s="963">
        <f t="shared" si="4"/>
        <v>66.707572069996274</v>
      </c>
      <c r="L29" s="963">
        <f t="shared" si="5"/>
        <v>817.60943345340434</v>
      </c>
    </row>
    <row r="30" spans="2:13">
      <c r="B30" s="972">
        <f t="shared" si="0"/>
        <v>43891</v>
      </c>
      <c r="D30" s="963">
        <f t="shared" si="1"/>
        <v>817.60943345340434</v>
      </c>
      <c r="F30" s="1026">
        <f t="shared" si="2"/>
        <v>-456.91637904631273</v>
      </c>
      <c r="H30" s="974">
        <f t="shared" si="3"/>
        <v>3.1441350210970463E-2</v>
      </c>
      <c r="J30" s="963">
        <f t="shared" si="4"/>
        <v>54.438880314448923</v>
      </c>
      <c r="L30" s="963">
        <f t="shared" si="5"/>
        <v>415.13193472154052</v>
      </c>
    </row>
    <row r="31" spans="2:13">
      <c r="B31" s="972">
        <f t="shared" si="0"/>
        <v>43922</v>
      </c>
      <c r="D31" s="963">
        <f t="shared" si="1"/>
        <v>415.13193472154052</v>
      </c>
      <c r="F31" s="1026">
        <f t="shared" si="2"/>
        <v>-456.91637904631273</v>
      </c>
      <c r="H31" s="974">
        <f t="shared" si="3"/>
        <v>3.1441350210970463E-2</v>
      </c>
      <c r="J31" s="963">
        <f t="shared" si="4"/>
        <v>41.784444324784978</v>
      </c>
      <c r="L31" s="963">
        <f t="shared" si="5"/>
        <v>1.2768452961609E-11</v>
      </c>
      <c r="M31" t="s">
        <v>1069</v>
      </c>
    </row>
    <row r="33" spans="2:6">
      <c r="B33" s="1014" t="s">
        <v>1073</v>
      </c>
      <c r="C33" s="1014"/>
      <c r="D33" s="1014"/>
      <c r="E33" s="1014"/>
      <c r="F33" s="1015">
        <f>+F8*12</f>
        <v>-5482.9965485557532</v>
      </c>
    </row>
  </sheetData>
  <pageMargins left="0.7" right="0.7" top="0.75" bottom="0.75" header="0.3" footer="0.3"/>
  <pageSetup scale="75" orientation="portrait" horizontalDpi="0" verticalDpi="0" r:id="rId1"/>
  <headerFooter>
    <oddFooter>&amp;CElectric Services&amp;RTab 7b Deferral Amort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6"/>
  <sheetViews>
    <sheetView view="pageBreakPreview" zoomScale="130" zoomScaleNormal="115" zoomScaleSheetLayoutView="130" workbookViewId="0">
      <selection sqref="A1:F1"/>
    </sheetView>
  </sheetViews>
  <sheetFormatPr defaultColWidth="11.42578125" defaultRowHeight="12.75"/>
  <cols>
    <col min="1" max="1" width="11.28515625" style="26" customWidth="1"/>
    <col min="2" max="2" width="12.140625" style="26" customWidth="1"/>
    <col min="3" max="3" width="45" style="26" customWidth="1"/>
    <col min="4" max="4" width="9.7109375" style="299" customWidth="1"/>
    <col min="5" max="5" width="10.85546875" style="299" customWidth="1"/>
    <col min="6" max="6" width="8.7109375" style="58" customWidth="1"/>
    <col min="7" max="7" width="11.42578125" style="30" hidden="1" customWidth="1"/>
    <col min="8" max="8" width="11.42578125" style="223" hidden="1" customWidth="1"/>
    <col min="9" max="9" width="10.5703125" style="429" customWidth="1"/>
    <col min="10" max="10" width="9.42578125" style="484" customWidth="1"/>
    <col min="11" max="11" width="9.5703125" style="26" customWidth="1"/>
    <col min="12" max="12" width="15" style="26" customWidth="1"/>
    <col min="13" max="16384" width="11.42578125" style="26"/>
  </cols>
  <sheetData>
    <row r="1" spans="1:16">
      <c r="A1" s="1105">
        <f>'Tab 4 Adjustment Details'!A2</f>
        <v>0</v>
      </c>
      <c r="B1" s="1105"/>
      <c r="C1" s="1105"/>
      <c r="D1" s="1105"/>
      <c r="E1" s="1105"/>
      <c r="F1" s="1105"/>
    </row>
    <row r="2" spans="1:16">
      <c r="A2" s="1125" t="s">
        <v>77</v>
      </c>
      <c r="B2" s="1125"/>
      <c r="C2" s="1125"/>
      <c r="D2" s="1125"/>
      <c r="E2" s="1125"/>
      <c r="F2" s="1125"/>
    </row>
    <row r="3" spans="1:16">
      <c r="A3" s="1125" t="s">
        <v>78</v>
      </c>
      <c r="B3" s="1125"/>
      <c r="C3" s="1125"/>
      <c r="D3" s="1125"/>
      <c r="E3" s="1125"/>
      <c r="F3" s="1125"/>
    </row>
    <row r="4" spans="1:16">
      <c r="A4" s="1126" t="str">
        <f>'Tab 4 Adjustment Details'!A5</f>
        <v>TWELVE MONTHS ENDED DECEMBER 31, 2016</v>
      </c>
      <c r="B4" s="1126"/>
      <c r="C4" s="1126"/>
      <c r="D4" s="1126"/>
      <c r="E4" s="1126"/>
      <c r="F4" s="1126"/>
    </row>
    <row r="5" spans="1:16" ht="5.25" customHeight="1"/>
    <row r="7" spans="1:16">
      <c r="D7" s="300"/>
      <c r="E7" s="301" t="s">
        <v>78</v>
      </c>
      <c r="F7" s="59"/>
      <c r="G7" s="47" t="s">
        <v>274</v>
      </c>
      <c r="H7" s="220" t="s">
        <v>275</v>
      </c>
    </row>
    <row r="8" spans="1:16">
      <c r="A8" s="34" t="s">
        <v>79</v>
      </c>
      <c r="B8" s="420" t="s">
        <v>602</v>
      </c>
      <c r="C8" s="59" t="s">
        <v>143</v>
      </c>
      <c r="D8" s="301" t="s">
        <v>81</v>
      </c>
      <c r="E8" s="301" t="s">
        <v>24</v>
      </c>
      <c r="F8" s="59" t="s">
        <v>82</v>
      </c>
      <c r="I8" s="26" t="s">
        <v>746</v>
      </c>
    </row>
    <row r="9" spans="1:16">
      <c r="A9" s="221" t="s">
        <v>717</v>
      </c>
      <c r="B9" s="221"/>
      <c r="C9" s="64"/>
      <c r="D9" s="302"/>
      <c r="E9" s="302"/>
      <c r="F9" s="64"/>
      <c r="I9" s="430" t="s">
        <v>274</v>
      </c>
      <c r="J9" s="485" t="s">
        <v>275</v>
      </c>
      <c r="K9" s="26" t="s">
        <v>627</v>
      </c>
    </row>
    <row r="10" spans="1:16">
      <c r="A10" s="284">
        <f>'Tab 4 Adjustment Details'!E$10</f>
        <v>1</v>
      </c>
      <c r="B10" s="428" t="str">
        <f>'Tab 4 Adjustment Details'!E$11</f>
        <v>E-ROO</v>
      </c>
      <c r="C10" s="38" t="str">
        <f>TRIM(CONCATENATE('Tab 4 Adjustment Details'!E$7," ",'Tab 4 Adjustment Details'!E$8," ",'Tab 4 Adjustment Details'!E$9))</f>
        <v>Results of Operations</v>
      </c>
      <c r="D10" s="322">
        <f>'Tab 4 Adjustment Details'!E$57</f>
        <v>110557</v>
      </c>
      <c r="E10" s="322">
        <f>'Tab 4 Adjustment Details'!E$82</f>
        <v>1444926</v>
      </c>
      <c r="F10" s="237">
        <f>D10/E10</f>
        <v>7.6513952963681187E-2</v>
      </c>
      <c r="G10" s="30" t="s">
        <v>280</v>
      </c>
      <c r="I10" s="213" t="s">
        <v>277</v>
      </c>
      <c r="K10" s="213" t="s">
        <v>279</v>
      </c>
      <c r="L10" s="634"/>
      <c r="M10" s="634"/>
    </row>
    <row r="11" spans="1:16" s="55" customFormat="1">
      <c r="A11" s="284">
        <f>'Tab 4 Adjustment Details'!F$10</f>
        <v>1.01</v>
      </c>
      <c r="B11" s="428" t="str">
        <f>'Tab 4 Adjustment Details'!F$11</f>
        <v>E-DFIT</v>
      </c>
      <c r="C11" s="38" t="str">
        <f>TRIM(CONCATENATE('Tab 4 Adjustment Details'!F$7," ",'Tab 4 Adjustment Details'!F$8," ",'Tab 4 Adjustment Details'!F$9))</f>
        <v>Deferred FIT Rate Base</v>
      </c>
      <c r="D11" s="106">
        <f>'Tab 4 Adjustment Details'!F$57</f>
        <v>7.5602799999999997</v>
      </c>
      <c r="E11" s="106">
        <f>'Tab 4 Adjustment Details'!F$82</f>
        <v>806</v>
      </c>
      <c r="F11" s="139"/>
      <c r="G11" s="30" t="s">
        <v>273</v>
      </c>
      <c r="I11" s="213" t="s">
        <v>674</v>
      </c>
      <c r="K11" s="213" t="s">
        <v>279</v>
      </c>
      <c r="L11" s="634"/>
      <c r="M11" s="634"/>
    </row>
    <row r="12" spans="1:16" s="55" customFormat="1">
      <c r="A12" s="284">
        <f>'Tab 4 Adjustment Details'!G$10</f>
        <v>1.02</v>
      </c>
      <c r="B12" s="428" t="str">
        <f>'Tab 4 Adjustment Details'!G$11</f>
        <v>E-DDC</v>
      </c>
      <c r="C12" s="38" t="str">
        <f>TRIM(CONCATENATE('Tab 4 Adjustment Details'!G$7," ",'Tab 4 Adjustment Details'!G$8," ",'Tab 4 Adjustment Details'!G$9))</f>
        <v>Deferred Debits and Credits</v>
      </c>
      <c r="D12" s="106">
        <f>'Tab 4 Adjustment Details'!G$57</f>
        <v>-7.8000000000000007</v>
      </c>
      <c r="E12" s="106">
        <f>'Tab 4 Adjustment Details'!G$82</f>
        <v>0</v>
      </c>
      <c r="F12" s="139"/>
      <c r="G12" s="30" t="s">
        <v>280</v>
      </c>
      <c r="H12" s="223"/>
      <c r="I12" s="213" t="s">
        <v>745</v>
      </c>
      <c r="K12" s="213" t="s">
        <v>279</v>
      </c>
    </row>
    <row r="13" spans="1:16" s="135" customFormat="1">
      <c r="A13" s="284">
        <f>'Tab 4 Adjustment Details'!H$10</f>
        <v>1.03</v>
      </c>
      <c r="B13" s="428" t="str">
        <f>'Tab 4 Adjustment Details'!H$11</f>
        <v xml:space="preserve">E-WC </v>
      </c>
      <c r="C13" s="38" t="str">
        <f>TRIM(CONCATENATE('Tab 4 Adjustment Details'!H$7," ",'Tab 4 Adjustment Details'!H$8," ",'Tab 4 Adjustment Details'!H$9))</f>
        <v>Working Capital</v>
      </c>
      <c r="D13" s="106">
        <f>'Tab 4 Adjustment Details'!H$57</f>
        <v>-28.196279999999998</v>
      </c>
      <c r="E13" s="246">
        <f>'Tab 4 Adjustment Details'!H$82</f>
        <v>-3006</v>
      </c>
      <c r="F13" s="136"/>
      <c r="G13" s="30" t="s">
        <v>280</v>
      </c>
      <c r="H13" s="223"/>
      <c r="I13" s="213" t="s">
        <v>277</v>
      </c>
      <c r="K13" s="213" t="s">
        <v>279</v>
      </c>
    </row>
    <row r="14" spans="1:16" s="48" customFormat="1">
      <c r="A14" s="284">
        <f>'Tab 4 Adjustment Details'!I$10</f>
        <v>2.0099999999999998</v>
      </c>
      <c r="B14" s="428" t="str">
        <f>'Tab 4 Adjustment Details'!I$11</f>
        <v>E-EBO</v>
      </c>
      <c r="C14" s="38" t="str">
        <f>TRIM(CONCATENATE('Tab 4 Adjustment Details'!I$7," ",'Tab 4 Adjustment Details'!I$8," ",'Tab 4 Adjustment Details'!I$9))</f>
        <v>Eliminate B &amp; O Taxes</v>
      </c>
      <c r="D14" s="106">
        <f>'Tab 4 Adjustment Details'!I$57</f>
        <v>-95.550000000000011</v>
      </c>
      <c r="E14" s="106">
        <f>'Tab 4 Adjustment Details'!I$82</f>
        <v>0</v>
      </c>
      <c r="F14" s="58"/>
      <c r="G14" s="30" t="s">
        <v>280</v>
      </c>
      <c r="H14" s="223"/>
      <c r="I14" s="213" t="s">
        <v>674</v>
      </c>
      <c r="K14" s="213" t="s">
        <v>279</v>
      </c>
    </row>
    <row r="15" spans="1:16" s="48" customFormat="1">
      <c r="A15" s="284">
        <f>'Tab 4 Adjustment Details'!J$10</f>
        <v>2.0199999999999996</v>
      </c>
      <c r="B15" s="428" t="str">
        <f>'Tab 4 Adjustment Details'!J$11</f>
        <v>E-RPT</v>
      </c>
      <c r="C15" s="38" t="str">
        <f>TRIM(CONCATENATE('Tab 4 Adjustment Details'!J$7," ",'Tab 4 Adjustment Details'!J$8," ",'Tab 4 Adjustment Details'!J$9))</f>
        <v>Restate Property Tax</v>
      </c>
      <c r="D15" s="106">
        <f>'Tab 4 Adjustment Details'!J$57</f>
        <v>162.5</v>
      </c>
      <c r="E15" s="106">
        <f>'Tab 4 Adjustment Details'!J$82</f>
        <v>0</v>
      </c>
      <c r="F15" s="58"/>
      <c r="G15" s="486" t="s">
        <v>280</v>
      </c>
      <c r="H15" s="223"/>
      <c r="I15" s="213" t="s">
        <v>277</v>
      </c>
      <c r="K15" s="213" t="s">
        <v>279</v>
      </c>
      <c r="L15" s="178"/>
      <c r="M15" s="178"/>
      <c r="N15" s="178"/>
      <c r="O15" s="178"/>
      <c r="P15" s="178"/>
    </row>
    <row r="16" spans="1:16" s="48" customFormat="1">
      <c r="A16" s="284">
        <f>'Tab 4 Adjustment Details'!K$10</f>
        <v>2.0299999999999994</v>
      </c>
      <c r="B16" s="428" t="str">
        <f>'Tab 4 Adjustment Details'!K$11</f>
        <v>E-UE</v>
      </c>
      <c r="C16" s="38" t="str">
        <f>TRIM(CONCATENATE('Tab 4 Adjustment Details'!K$7," ",'Tab 4 Adjustment Details'!K$8," ",'Tab 4 Adjustment Details'!K$9))</f>
        <v>Uncollect. Expense</v>
      </c>
      <c r="D16" s="106">
        <f>'Tab 4 Adjustment Details'!K$57</f>
        <v>-858.65000000000009</v>
      </c>
      <c r="E16" s="106">
        <f>'Tab 4 Adjustment Details'!K$82</f>
        <v>0</v>
      </c>
      <c r="F16" s="58"/>
      <c r="G16" s="30" t="s">
        <v>280</v>
      </c>
      <c r="H16" s="223"/>
      <c r="I16" s="213" t="s">
        <v>300</v>
      </c>
      <c r="K16" s="213" t="s">
        <v>279</v>
      </c>
    </row>
    <row r="17" spans="1:12" s="48" customFormat="1">
      <c r="A17" s="284">
        <f>'Tab 4 Adjustment Details'!L$10</f>
        <v>2.0399999999999991</v>
      </c>
      <c r="B17" s="428" t="str">
        <f>'Tab 4 Adjustment Details'!L$11</f>
        <v>E-RE</v>
      </c>
      <c r="C17" s="38" t="str">
        <f>TRIM(CONCATENATE('Tab 4 Adjustment Details'!L$7," ",'Tab 4 Adjustment Details'!L$8," ",'Tab 4 Adjustment Details'!L$9))</f>
        <v>Regulatory Expense</v>
      </c>
      <c r="D17" s="106">
        <f>'Tab 4 Adjustment Details'!L$57</f>
        <v>-4.5500000000000007</v>
      </c>
      <c r="E17" s="106">
        <f>'Tab 4 Adjustment Details'!L$82</f>
        <v>0</v>
      </c>
      <c r="F17" s="58"/>
      <c r="G17" s="30" t="s">
        <v>281</v>
      </c>
      <c r="H17" s="223"/>
      <c r="I17" s="213" t="s">
        <v>745</v>
      </c>
      <c r="K17" s="213" t="s">
        <v>279</v>
      </c>
    </row>
    <row r="18" spans="1:12" s="48" customFormat="1">
      <c r="A18" s="284">
        <f>'Tab 4 Adjustment Details'!M$10</f>
        <v>2.0499999999999989</v>
      </c>
      <c r="B18" s="428" t="str">
        <f>'Tab 4 Adjustment Details'!M$11</f>
        <v>E-ID</v>
      </c>
      <c r="C18" s="38" t="str">
        <f>TRIM(CONCATENATE('Tab 4 Adjustment Details'!M$7," ",'Tab 4 Adjustment Details'!M$8," ",'Tab 4 Adjustment Details'!M$9))</f>
        <v>Injuries and Damages</v>
      </c>
      <c r="D18" s="106">
        <f>'Tab 4 Adjustment Details'!M$57</f>
        <v>-98.15</v>
      </c>
      <c r="E18" s="106">
        <f>'Tab 4 Adjustment Details'!M$82</f>
        <v>0</v>
      </c>
      <c r="F18" s="58"/>
      <c r="G18" s="30" t="s">
        <v>281</v>
      </c>
      <c r="H18" s="223"/>
      <c r="I18" s="213" t="s">
        <v>745</v>
      </c>
      <c r="K18" s="213" t="s">
        <v>279</v>
      </c>
    </row>
    <row r="19" spans="1:12" s="135" customFormat="1">
      <c r="A19" s="284">
        <f>'Tab 4 Adjustment Details'!N$10</f>
        <v>2.0599999999999987</v>
      </c>
      <c r="B19" s="428" t="str">
        <f>'Tab 4 Adjustment Details'!N$11</f>
        <v xml:space="preserve">E-FIT </v>
      </c>
      <c r="C19" s="38" t="str">
        <f>TRIM(CONCATENATE('Tab 4 Adjustment Details'!N$7," ",'Tab 4 Adjustment Details'!N$8," ",'Tab 4 Adjustment Details'!N$9))</f>
        <v>FIT/DFIT/ ITC Expense</v>
      </c>
      <c r="D19" s="246">
        <f>'Tab 4 Adjustment Details'!N$57</f>
        <v>-68.999999999999986</v>
      </c>
      <c r="E19" s="106">
        <f>'Tab 4 Adjustment Details'!N$82</f>
        <v>0</v>
      </c>
      <c r="F19" s="136"/>
      <c r="G19" s="30" t="s">
        <v>273</v>
      </c>
      <c r="I19" s="213" t="s">
        <v>674</v>
      </c>
      <c r="J19" s="213"/>
      <c r="K19" s="213" t="s">
        <v>279</v>
      </c>
    </row>
    <row r="20" spans="1:12">
      <c r="A20" s="284">
        <f>'Tab 4 Adjustment Details'!O$10</f>
        <v>2.0699999999999985</v>
      </c>
      <c r="B20" s="428" t="str">
        <f>'Tab 4 Adjustment Details'!O$11</f>
        <v>E-OSC</v>
      </c>
      <c r="C20" s="38" t="str">
        <f>TRIM(CONCATENATE('Tab 4 Adjustment Details'!O$7," ",'Tab 4 Adjustment Details'!O$8," ",'Tab 4 Adjustment Details'!O$9))</f>
        <v>Office Space Charges to Non-Utility</v>
      </c>
      <c r="D20" s="106">
        <f>'Tab 4 Adjustment Details'!O$57</f>
        <v>20.149999999999999</v>
      </c>
      <c r="E20" s="106">
        <f>'Tab 4 Adjustment Details'!O$82</f>
        <v>0</v>
      </c>
      <c r="G20" s="30" t="s">
        <v>280</v>
      </c>
      <c r="I20" s="213" t="s">
        <v>300</v>
      </c>
      <c r="K20" s="213" t="s">
        <v>279</v>
      </c>
    </row>
    <row r="21" spans="1:12" s="135" customFormat="1">
      <c r="A21" s="284">
        <f>'Tab 4 Adjustment Details'!P$10</f>
        <v>2.0799999999999983</v>
      </c>
      <c r="B21" s="428" t="str">
        <f>'Tab 4 Adjustment Details'!P$11</f>
        <v>E-RET</v>
      </c>
      <c r="C21" s="38" t="str">
        <f>TRIM(CONCATENATE('Tab 4 Adjustment Details'!P$7," ",'Tab 4 Adjustment Details'!P$8," ",'Tab 4 Adjustment Details'!P$9))</f>
        <v>Restate Excise Taxes</v>
      </c>
      <c r="D21" s="106">
        <f>'Tab 4 Adjustment Details'!P$57</f>
        <v>40.299999999999997</v>
      </c>
      <c r="E21" s="106">
        <f>'Tab 4 Adjustment Details'!P$82</f>
        <v>0</v>
      </c>
      <c r="F21" s="139"/>
      <c r="G21" s="30" t="s">
        <v>280</v>
      </c>
      <c r="H21" s="223"/>
      <c r="I21" s="213" t="s">
        <v>674</v>
      </c>
      <c r="K21" s="213" t="s">
        <v>279</v>
      </c>
      <c r="L21" s="515"/>
    </row>
    <row r="22" spans="1:12" s="135" customFormat="1">
      <c r="A22" s="284">
        <f>'Tab 4 Adjustment Details'!Q$10</f>
        <v>2.0899999999999981</v>
      </c>
      <c r="B22" s="428" t="str">
        <f>'Tab 4 Adjustment Details'!Q$11</f>
        <v>E-NGL</v>
      </c>
      <c r="C22" s="38" t="str">
        <f>TRIM(CONCATENATE('Tab 4 Adjustment Details'!Q$7," ",'Tab 4 Adjustment Details'!Q$8," ",'Tab 4 Adjustment Details'!Q$9))</f>
        <v>Net Gains / Losses</v>
      </c>
      <c r="D22" s="106">
        <f>'Tab 4 Adjustment Details'!Q$57</f>
        <v>61.1</v>
      </c>
      <c r="E22" s="106">
        <f>'Tab 4 Adjustment Details'!Q$82</f>
        <v>0</v>
      </c>
      <c r="F22" s="139"/>
      <c r="G22" s="30" t="s">
        <v>281</v>
      </c>
      <c r="H22" s="223"/>
      <c r="I22" s="213" t="s">
        <v>745</v>
      </c>
      <c r="K22" s="213" t="s">
        <v>279</v>
      </c>
    </row>
    <row r="23" spans="1:12">
      <c r="A23" s="284">
        <f>'Tab 4 Adjustment Details'!R$10</f>
        <v>2.0999999999999979</v>
      </c>
      <c r="B23" s="428" t="str">
        <f>'Tab 4 Adjustment Details'!R$11</f>
        <v>E-WN</v>
      </c>
      <c r="C23" s="38" t="str">
        <f>TRIM(CONCATENATE('Tab 4 Adjustment Details'!R$7," ",'Tab 4 Adjustment Details'!R$8," ",'Tab 4 Adjustment Details'!R$9))</f>
        <v>Weather Normalization</v>
      </c>
      <c r="D23" s="106">
        <f>'Tab 4 Adjustment Details'!R$57</f>
        <v>824.85</v>
      </c>
      <c r="E23" s="106">
        <f>'Tab 4 Adjustment Details'!R$82</f>
        <v>0</v>
      </c>
      <c r="F23" s="63"/>
      <c r="G23" s="30" t="s">
        <v>278</v>
      </c>
      <c r="I23" s="213" t="s">
        <v>674</v>
      </c>
      <c r="K23" s="213" t="s">
        <v>279</v>
      </c>
    </row>
    <row r="24" spans="1:12" s="135" customFormat="1">
      <c r="A24" s="284">
        <f>'Tab 4 Adjustment Details'!S$10</f>
        <v>2.1099999999999977</v>
      </c>
      <c r="B24" s="428" t="str">
        <f>'Tab 4 Adjustment Details'!S$11</f>
        <v>E-EAS</v>
      </c>
      <c r="C24" s="38" t="str">
        <f>TRIM(CONCATENATE('Tab 4 Adjustment Details'!S$7," ",'Tab 4 Adjustment Details'!S$8," ",'Tab 4 Adjustment Details'!S$9))</f>
        <v>Eliminate Adder Schedules</v>
      </c>
      <c r="D24" s="246">
        <f>'Tab 4 Adjustment Details'!S$57</f>
        <v>0</v>
      </c>
      <c r="E24" s="106">
        <f>'Tab 4 Adjustment Details'!T$82</f>
        <v>0</v>
      </c>
      <c r="F24" s="136"/>
      <c r="G24" s="505" t="s">
        <v>284</v>
      </c>
      <c r="H24" s="227"/>
      <c r="I24" s="213" t="s">
        <v>745</v>
      </c>
      <c r="K24" s="213" t="s">
        <v>279</v>
      </c>
    </row>
    <row r="25" spans="1:12" s="135" customFormat="1">
      <c r="A25" s="284">
        <f>'Tab 4 Adjustment Details'!T$10</f>
        <v>2.1199999999999974</v>
      </c>
      <c r="B25" s="428" t="str">
        <f>'Tab 4 Adjustment Details'!T$11</f>
        <v>E-MR</v>
      </c>
      <c r="C25" s="38" t="str">
        <f>TRIM(CONCATENATE('Tab 4 Adjustment Details'!T$7," ",'Tab 4 Adjustment Details'!T$8," ",'Tab 4 Adjustment Details'!T$9))</f>
        <v>Misc. Restating Non-Util / Non- Recurring Expenses</v>
      </c>
      <c r="D25" s="246">
        <f>'Tab 4 Adjustment Details'!T$57</f>
        <v>-969.15</v>
      </c>
      <c r="E25" s="106">
        <f>'Tab 4 Adjustment Details'!T$82</f>
        <v>0</v>
      </c>
      <c r="F25" s="136"/>
      <c r="G25" s="30" t="s">
        <v>284</v>
      </c>
      <c r="H25" s="227"/>
      <c r="I25" s="213" t="s">
        <v>745</v>
      </c>
      <c r="K25" s="213" t="s">
        <v>279</v>
      </c>
      <c r="L25" s="299"/>
    </row>
    <row r="26" spans="1:12" s="48" customFormat="1">
      <c r="A26" s="284">
        <f>'Tab 4 Adjustment Details'!U$10</f>
        <v>2.1299999999999972</v>
      </c>
      <c r="B26" s="428" t="str">
        <f>'Tab 4 Adjustment Details'!U$11</f>
        <v>E-EWPC</v>
      </c>
      <c r="C26" s="38" t="str">
        <f>TRIM(CONCATENATE('Tab 4 Adjustment Details'!U$7," ",'Tab 4 Adjustment Details'!U$8," ",'Tab 4 Adjustment Details'!U$9))</f>
        <v>Eliminate WA Power Cost Defer</v>
      </c>
      <c r="D26" s="106">
        <f>'Tab 4 Adjustment Details'!U$57</f>
        <v>4386</v>
      </c>
      <c r="E26" s="106">
        <f>'Tab 4 Adjustment Details'!U$82</f>
        <v>0</v>
      </c>
      <c r="F26" s="58"/>
      <c r="G26" s="30" t="s">
        <v>276</v>
      </c>
      <c r="H26" s="225" t="s">
        <v>282</v>
      </c>
      <c r="I26" s="213" t="s">
        <v>301</v>
      </c>
      <c r="K26" s="213" t="s">
        <v>279</v>
      </c>
    </row>
    <row r="27" spans="1:12" s="48" customFormat="1">
      <c r="A27" s="284">
        <f>'Tab 4 Adjustment Details'!V$10</f>
        <v>2.139999999999997</v>
      </c>
      <c r="B27" s="428" t="str">
        <f>'Tab 4 Adjustment Details'!V$11</f>
        <v>E-NPS</v>
      </c>
      <c r="C27" s="38" t="str">
        <f>TRIM(CONCATENATE('Tab 4 Adjustment Details'!V$7," ",'Tab 4 Adjustment Details'!V$8," ",'Tab 4 Adjustment Details'!V$9))</f>
        <v>Nez Perce Settlement Adjustment</v>
      </c>
      <c r="D27" s="106">
        <f>'Tab 4 Adjustment Details'!V$57</f>
        <v>2.6</v>
      </c>
      <c r="E27" s="106">
        <f>'Tab 4 Adjustment Details'!V$82</f>
        <v>0</v>
      </c>
      <c r="F27" s="58"/>
      <c r="G27" s="30" t="s">
        <v>280</v>
      </c>
      <c r="H27" s="223"/>
      <c r="I27" s="213" t="s">
        <v>277</v>
      </c>
      <c r="K27" s="213" t="s">
        <v>279</v>
      </c>
    </row>
    <row r="28" spans="1:12" s="48" customFormat="1">
      <c r="A28" s="284">
        <f>'Tab 4 Adjustment Details'!W$10</f>
        <v>2.1499999999999968</v>
      </c>
      <c r="B28" s="428" t="str">
        <f>'Tab 4 Adjustment Details'!W$11</f>
        <v>E-RI</v>
      </c>
      <c r="C28" s="38" t="str">
        <f>TRIM(CONCATENATE('Tab 4 Adjustment Details'!W$7," ",'Tab 4 Adjustment Details'!W$8," ",'Tab 4 Adjustment Details'!W$9))</f>
        <v>Restating Incentives</v>
      </c>
      <c r="D28" s="106">
        <f>'Tab 4 Adjustment Details'!W$57</f>
        <v>406.9</v>
      </c>
      <c r="E28" s="106">
        <f>'Tab 4 Adjustment Details'!W$82</f>
        <v>0</v>
      </c>
      <c r="F28" s="58"/>
      <c r="G28" s="722" t="s">
        <v>280</v>
      </c>
      <c r="H28" s="223"/>
      <c r="I28" s="213" t="s">
        <v>301</v>
      </c>
      <c r="K28" s="213" t="s">
        <v>279</v>
      </c>
    </row>
    <row r="29" spans="1:12" s="163" customFormat="1">
      <c r="A29" s="527">
        <f>'Tab 4 Adjustment Details'!X$10</f>
        <v>2.1599999999999966</v>
      </c>
      <c r="B29" s="475" t="str">
        <f>'Tab 4 Adjustment Details'!X$11</f>
        <v>E-PMM</v>
      </c>
      <c r="C29" s="476" t="str">
        <f>TRIM(CONCATENATE('Tab 4 Adjustment Details'!X$7," ",'Tab 4 Adjustment Details'!X$8," ",'Tab 4 Adjustment Details'!X$9))</f>
        <v>Normalize CS2/Colstrip Major Maint</v>
      </c>
      <c r="D29" s="236">
        <f>'Tab 4 Adjustment Details'!X$57</f>
        <v>763.1</v>
      </c>
      <c r="E29" s="553">
        <f>'Tab 4 Adjustment Details'!X$82</f>
        <v>0</v>
      </c>
      <c r="F29" s="528"/>
      <c r="G29" s="514"/>
      <c r="H29" s="526"/>
      <c r="I29" s="213" t="s">
        <v>279</v>
      </c>
      <c r="K29" s="213" t="s">
        <v>279</v>
      </c>
      <c r="L29" s="531"/>
    </row>
    <row r="30" spans="1:12" s="169" customFormat="1">
      <c r="A30" s="285">
        <f>'Tab 4 Adjustment Details'!Y$10</f>
        <v>2.1699999999999964</v>
      </c>
      <c r="B30" s="428" t="str">
        <f>'Tab 4 Adjustment Details'!Y$11</f>
        <v>E-RDI</v>
      </c>
      <c r="C30" s="229" t="str">
        <f>TRIM(CONCATENATE('Tab 4 Adjustment Details'!Y$7," ",'Tab 4 Adjustment Details'!Y$8," ",'Tab 4 Adjustment Details'!Y$9))</f>
        <v>Restate Debt Interest</v>
      </c>
      <c r="D30" s="181">
        <f>'Tab 4 Adjustment Details'!Y$57</f>
        <v>-202.00000000000003</v>
      </c>
      <c r="E30" s="181">
        <f>'Tab 4 Adjustment Details'!Y$82</f>
        <v>0</v>
      </c>
      <c r="F30" s="171"/>
      <c r="G30" s="234" t="s">
        <v>279</v>
      </c>
      <c r="H30" s="224"/>
      <c r="I30" s="213" t="s">
        <v>279</v>
      </c>
      <c r="K30" s="213" t="s">
        <v>279</v>
      </c>
      <c r="L30" s="618"/>
    </row>
    <row r="31" spans="1:12" s="135" customFormat="1" ht="12" customHeight="1">
      <c r="A31" s="284">
        <f>'Tab 4 Adjustment Details'!AA$10</f>
        <v>2.1799999999999962</v>
      </c>
      <c r="B31" s="428" t="str">
        <f>'Tab 4 Adjustment Details'!Z$11</f>
        <v>E-APS</v>
      </c>
      <c r="C31" s="229" t="str">
        <f>TRIM(CONCATENATE('Tab 4 Adjustment Details'!Z$7," ",'Tab 4 Adjustment Details'!Z$8," ",'Tab 4 Adjustment Details'!Z$9))</f>
        <v>Authorized Power Supply</v>
      </c>
      <c r="D31" s="553">
        <f>'Tab 4 Adjustment Details'!Z$57</f>
        <v>-7696</v>
      </c>
      <c r="E31" s="553">
        <f>'Tab 4 Adjustment Details'!Z$82</f>
        <v>0</v>
      </c>
      <c r="F31" s="136"/>
      <c r="G31" s="440" t="s">
        <v>284</v>
      </c>
      <c r="H31" s="227"/>
      <c r="I31" s="213" t="s">
        <v>674</v>
      </c>
      <c r="K31" s="213" t="s">
        <v>279</v>
      </c>
    </row>
    <row r="32" spans="1:12" s="135" customFormat="1" hidden="1">
      <c r="A32" s="284">
        <f>'Tab 4 Adjustment Details'!AB$10</f>
        <v>2.1899999999999959</v>
      </c>
      <c r="B32" s="428" t="str">
        <f>'Tab 4 Adjustment Details'!AB$11</f>
        <v>OPEN</v>
      </c>
      <c r="C32" s="38" t="str">
        <f>TRIM(CONCATENATE('Tab 4 Adjustment Details'!AB$7," ",'Tab 4 Adjustment Details'!AB$8," ",'Tab 4 Adjustment Details'!AB$9))</f>
        <v>OPEN</v>
      </c>
      <c r="D32" s="299">
        <f>'Tab 4 Adjustment Details'!AB$57</f>
        <v>0</v>
      </c>
      <c r="E32" s="299">
        <f>'Tab 4 Adjustment Details'!AB$82</f>
        <v>0</v>
      </c>
      <c r="F32" s="136"/>
      <c r="G32" s="30" t="s">
        <v>280</v>
      </c>
      <c r="H32" s="223"/>
      <c r="J32" s="26"/>
      <c r="K32" s="55"/>
    </row>
    <row r="33" spans="1:12" s="112" customFormat="1" ht="20.25" hidden="1" customHeight="1">
      <c r="A33" s="235"/>
      <c r="B33" s="235"/>
      <c r="C33" s="167"/>
      <c r="D33" s="495"/>
      <c r="E33" s="495"/>
      <c r="F33" s="175"/>
      <c r="G33" s="43"/>
      <c r="H33" s="224"/>
      <c r="J33" s="26"/>
    </row>
    <row r="34" spans="1:12" ht="13.5" thickBot="1">
      <c r="A34" s="43"/>
      <c r="B34" s="43"/>
      <c r="C34" s="163" t="s">
        <v>84</v>
      </c>
      <c r="D34" s="496">
        <f>SUM(D10:D33)</f>
        <v>107203.01400000002</v>
      </c>
      <c r="E34" s="496">
        <f>SUM(E10:E33)</f>
        <v>1442726</v>
      </c>
      <c r="F34" s="193">
        <f>D34/E34</f>
        <v>7.4305872355526978E-2</v>
      </c>
      <c r="G34" s="43"/>
      <c r="H34" s="224"/>
      <c r="I34" s="26"/>
      <c r="J34" s="26"/>
    </row>
    <row r="35" spans="1:12" ht="13.5" thickTop="1">
      <c r="A35" s="222" t="s">
        <v>309</v>
      </c>
      <c r="B35" s="222"/>
      <c r="C35" s="163"/>
      <c r="D35" s="303"/>
      <c r="E35" s="304"/>
      <c r="F35" s="237"/>
      <c r="G35" s="43"/>
      <c r="H35" s="224"/>
      <c r="I35" s="26"/>
      <c r="J35" s="26"/>
    </row>
    <row r="36" spans="1:12">
      <c r="A36" s="284">
        <f>'Tab 4 Adjustment Details'!AD$10</f>
        <v>3.01</v>
      </c>
      <c r="B36" s="428" t="str">
        <f>'Tab 4 Adjustment Details'!AD$11</f>
        <v>E-PTR</v>
      </c>
      <c r="C36" s="38" t="str">
        <f>TRIM(CONCATENATE('Tab 4 Adjustment Details'!AD$7," ",'Tab 4 Adjustment Details'!AD$8," ",'Tab 4 Adjustment Details'!AD$9))</f>
        <v>Pro Forma Trans/Power Sup Non-ERM Rev/Exp</v>
      </c>
      <c r="D36" s="299">
        <f>'Tab 4 Adjustment Details'!AD$57</f>
        <v>-65.650000000000006</v>
      </c>
      <c r="E36" s="299">
        <f>'Tab 4 Adjustment Details'!AD$82</f>
        <v>0</v>
      </c>
      <c r="G36" s="228" t="s">
        <v>279</v>
      </c>
      <c r="I36" s="213" t="s">
        <v>674</v>
      </c>
      <c r="J36" s="213"/>
      <c r="K36" s="213" t="s">
        <v>279</v>
      </c>
    </row>
    <row r="37" spans="1:12" s="163" customFormat="1">
      <c r="A37" s="285">
        <f>'Tab 4 Adjustment Details'!AE$10</f>
        <v>3.0199999999999996</v>
      </c>
      <c r="B37" s="428" t="str">
        <f>'Tab 4 Adjustment Details'!AE$11</f>
        <v>E-PLN</v>
      </c>
      <c r="C37" s="229" t="str">
        <f>TRIM(CONCATENATE('Tab 4 Adjustment Details'!AE$7," ",'Tab 4 Adjustment Details'!AE$8," ",'Tab 4 Adjustment Details'!AE$9))</f>
        <v>Pro Forma Labor Non-Exec</v>
      </c>
      <c r="D37" s="322">
        <f>'Tab 4 Adjustment Details'!AE$57</f>
        <v>-997.19360000000017</v>
      </c>
      <c r="E37" s="322">
        <f>'Tab 4 Adjustment Details'!AE$82</f>
        <v>0</v>
      </c>
      <c r="F37" s="172"/>
      <c r="G37" s="234" t="s">
        <v>279</v>
      </c>
      <c r="H37" s="224"/>
      <c r="I37" s="213" t="s">
        <v>301</v>
      </c>
      <c r="J37" s="632"/>
      <c r="K37" s="213" t="s">
        <v>279</v>
      </c>
    </row>
    <row r="38" spans="1:12" s="163" customFormat="1">
      <c r="A38" s="285">
        <f>'Tab 4 Adjustment Details'!AF$10</f>
        <v>3.0299999999999994</v>
      </c>
      <c r="B38" s="441" t="str">
        <f>'Tab 4 Adjustment Details'!AF$11</f>
        <v>E-PLE</v>
      </c>
      <c r="C38" s="229" t="str">
        <f>TRIM(CONCATENATE('Tab 4 Adjustment Details'!AF$7," ",'Tab 4 Adjustment Details'!AF$8," ",'Tab 4 Adjustment Details'!AF$9))</f>
        <v>Pro Forma Labor Exec</v>
      </c>
      <c r="D38" s="322">
        <f>'Tab 4 Adjustment Details'!AF$57</f>
        <v>21.450000000000003</v>
      </c>
      <c r="E38" s="322">
        <f>'Tab 4 Adjustment Details'!AF$82</f>
        <v>0</v>
      </c>
      <c r="F38" s="175"/>
      <c r="G38" s="43" t="s">
        <v>281</v>
      </c>
      <c r="H38" s="224"/>
      <c r="I38" s="213" t="s">
        <v>301</v>
      </c>
      <c r="K38" s="213" t="s">
        <v>279</v>
      </c>
    </row>
    <row r="39" spans="1:12" s="163" customFormat="1">
      <c r="A39" s="285">
        <f>'Tab 4 Adjustment Details'!AG$10</f>
        <v>3.0399999999999991</v>
      </c>
      <c r="B39" s="441" t="str">
        <f>'Tab 4 Adjustment Details'!AG$11</f>
        <v>E-PEB</v>
      </c>
      <c r="C39" s="229" t="str">
        <f>TRIM(CONCATENATE('Tab 4 Adjustment Details'!AG$7," ",'Tab 4 Adjustment Details'!AG$8," ",'Tab 4 Adjustment Details'!AG$9))</f>
        <v>Pro Forma Employee Benefits</v>
      </c>
      <c r="D39" s="322">
        <f>'Tab 4 Adjustment Details'!AG$57</f>
        <v>234</v>
      </c>
      <c r="E39" s="322">
        <f>'Tab 4 Adjustment Details'!AG$82</f>
        <v>0</v>
      </c>
      <c r="F39" s="175"/>
      <c r="G39" s="43" t="s">
        <v>281</v>
      </c>
      <c r="H39" s="224"/>
      <c r="I39" s="213" t="s">
        <v>301</v>
      </c>
      <c r="J39" s="632"/>
      <c r="K39" s="213" t="s">
        <v>279</v>
      </c>
    </row>
    <row r="40" spans="1:12">
      <c r="A40" s="285">
        <f>'Tab 4 Adjustment Details'!AH$10</f>
        <v>3.0499999999999989</v>
      </c>
      <c r="B40" s="428" t="str">
        <f>'Tab 4 Adjustment Details'!AH$11</f>
        <v>E-PI</v>
      </c>
      <c r="C40" s="229" t="str">
        <f>TRIM(CONCATENATE('Tab 4 Adjustment Details'!AH$7," ",'Tab 4 Adjustment Details'!AH$8," ",'Tab 4 Adjustment Details'!AH$9))</f>
        <v>Pro Forma Incentive Expenses</v>
      </c>
      <c r="D40" s="181">
        <f>'Tab 4 Adjustment Details'!AH$57</f>
        <v>-77.349999999999994</v>
      </c>
      <c r="E40" s="181">
        <f>'Tab 4 Adjustment Details'!AH$82</f>
        <v>0</v>
      </c>
      <c r="F40" s="199"/>
      <c r="G40" s="234" t="s">
        <v>279</v>
      </c>
      <c r="H40" s="224"/>
      <c r="I40" s="213" t="s">
        <v>301</v>
      </c>
      <c r="J40" s="163"/>
      <c r="K40" s="213" t="s">
        <v>279</v>
      </c>
    </row>
    <row r="41" spans="1:12" s="48" customFormat="1">
      <c r="A41" s="284">
        <f>'Tab 4 Adjustment Details'!AI$10</f>
        <v>3.0599999999999987</v>
      </c>
      <c r="B41" s="428" t="str">
        <f>'Tab 4 Adjustment Details'!AI$11</f>
        <v>E-PPT</v>
      </c>
      <c r="C41" s="38" t="str">
        <f>TRIM(CONCATENATE('Tab 4 Adjustment Details'!AI$7," ",'Tab 4 Adjustment Details'!AI$8," ",'Tab 4 Adjustment Details'!AI$9))</f>
        <v>Pro Forma Property Tax</v>
      </c>
      <c r="D41" s="322">
        <f>'Tab 4 Adjustment Details'!AI$57</f>
        <v>-1597.7</v>
      </c>
      <c r="E41" s="322">
        <f>'Tab 4 Adjustment Details'!AI$82</f>
        <v>0</v>
      </c>
      <c r="F41" s="58"/>
      <c r="G41" s="30" t="s">
        <v>281</v>
      </c>
      <c r="H41" s="223"/>
      <c r="I41" s="213" t="s">
        <v>277</v>
      </c>
      <c r="J41" s="213"/>
      <c r="K41" s="213" t="s">
        <v>279</v>
      </c>
    </row>
    <row r="42" spans="1:12" s="48" customFormat="1">
      <c r="A42" s="284">
        <f>'Tab 4 Adjustment Details'!AJ$10</f>
        <v>3.0699999999999985</v>
      </c>
      <c r="B42" s="428" t="str">
        <f>'Tab 4 Adjustment Details'!AJ$11</f>
        <v>E-CI</v>
      </c>
      <c r="C42" s="38" t="str">
        <f>TRIM(CONCATENATE('Tab 4 Adjustment Details'!AJ$7," ",'Tab 4 Adjustment Details'!AJ$8," ",'Tab 4 Adjustment Details'!AJ$9))</f>
        <v>Pro Forma IS/IT Expense</v>
      </c>
      <c r="D42" s="322">
        <f>'Tab 4 Adjustment Details'!AJ$57</f>
        <v>-451.1</v>
      </c>
      <c r="E42" s="322">
        <f>'Tab 4 Adjustment Details'!AJ$82</f>
        <v>0</v>
      </c>
      <c r="F42" s="58"/>
      <c r="G42" s="705" t="s">
        <v>281</v>
      </c>
      <c r="H42" s="223"/>
      <c r="I42" s="213" t="s">
        <v>745</v>
      </c>
      <c r="K42" s="213" t="s">
        <v>279</v>
      </c>
    </row>
    <row r="43" spans="1:12" s="48" customFormat="1">
      <c r="A43" s="523">
        <f>'Tab 4 Adjustment Details'!AK$10</f>
        <v>3.0799999999999983</v>
      </c>
      <c r="B43" s="524" t="str">
        <f>'Tab 4 Adjustment Details'!AK$11</f>
        <v>E-PREV</v>
      </c>
      <c r="C43" s="44" t="str">
        <f>TRIM(CONCATENATE('Tab 4 Adjustment Details'!AK$7," ",'Tab 4 Adjustment Details'!AK$8," ",'Tab 4 Adjustment Details'!AK$9))</f>
        <v>Pro Forma Revenue Normalization</v>
      </c>
      <c r="D43" s="322">
        <f>'Tab 4 Adjustment Details'!AK$57</f>
        <v>-3285.75</v>
      </c>
      <c r="E43" s="322">
        <f>'Tab 4 Adjustment Details'!AK$82</f>
        <v>0</v>
      </c>
      <c r="F43" s="64"/>
      <c r="G43" s="31" t="s">
        <v>281</v>
      </c>
      <c r="H43" s="525"/>
      <c r="I43" s="189" t="s">
        <v>724</v>
      </c>
      <c r="K43" s="213" t="s">
        <v>279</v>
      </c>
      <c r="L43" s="148"/>
    </row>
    <row r="44" spans="1:12" s="163" customFormat="1">
      <c r="A44" s="285">
        <f>'Tab 4 Adjustment Details'!AL$10</f>
        <v>3.0899999999999981</v>
      </c>
      <c r="B44" s="441" t="str">
        <f>'Tab 4 Adjustment Details'!AL$11</f>
        <v>E-PRA</v>
      </c>
      <c r="C44" s="229" t="str">
        <f>TRIM(CONCATENATE('Tab 4 Adjustment Details'!AL$7," ",'Tab 4 Adjustment Details'!AL$8," ",'Tab 4 Adjustment Details'!AL$9))</f>
        <v>Pro Forma Def. Debits, Credits &amp; Regulatory Amorts</v>
      </c>
      <c r="D44" s="322">
        <f>'Tab 4 Adjustment Details'!AL$57</f>
        <v>1016.5045200000001</v>
      </c>
      <c r="E44" s="322">
        <f>'Tab 4 Adjustment Details'!AL$82</f>
        <v>-5346</v>
      </c>
      <c r="F44" s="175"/>
      <c r="G44" s="43" t="s">
        <v>277</v>
      </c>
      <c r="H44" s="224"/>
      <c r="I44" s="213" t="s">
        <v>745</v>
      </c>
      <c r="K44" s="213" t="s">
        <v>279</v>
      </c>
    </row>
    <row r="45" spans="1:12" s="163" customFormat="1">
      <c r="A45" s="527">
        <f>'Tab 4 Adjustment Details'!AM$10</f>
        <v>3.0999999999999979</v>
      </c>
      <c r="B45" s="475" t="str">
        <f>'Tab 4 Adjustment Details'!AM$11</f>
        <v>E-PCAP16</v>
      </c>
      <c r="C45" s="476" t="str">
        <f>TRIM(CONCATENATE('Tab 4 Adjustment Details'!AM$7," ",'Tab 4 Adjustment Details'!AM$8," ",'Tab 4 Adjustment Details'!AM$9))</f>
        <v>Pro Forma 2017 Threshhold Capital Adds</v>
      </c>
      <c r="D45" s="304">
        <f>'Tab 4 Adjustment Details'!AM$57</f>
        <v>-31.65224628694844</v>
      </c>
      <c r="E45" s="304">
        <f>'Tab 4 Adjustment Details'!AM$82</f>
        <v>5564.7925067219157</v>
      </c>
      <c r="F45" s="528"/>
      <c r="G45" s="514" t="s">
        <v>277</v>
      </c>
      <c r="H45" s="526"/>
      <c r="I45" s="632" t="s">
        <v>281</v>
      </c>
      <c r="J45" s="213"/>
      <c r="K45" s="213" t="s">
        <v>279</v>
      </c>
      <c r="L45" s="531"/>
    </row>
    <row r="46" spans="1:12" s="169" customFormat="1">
      <c r="A46" s="527">
        <f>'Tab 4 Adjustment Details'!AN$10</f>
        <v>3.1099999999999977</v>
      </c>
      <c r="B46" s="524" t="str">
        <f>'Tab 4 Adjustment Details'!AN$11</f>
        <v>E-POFF</v>
      </c>
      <c r="C46" s="476" t="str">
        <f>TRIM(CONCATENATE('Tab 4 Adjustment Details'!AN$7," ",'Tab 4 Adjustment Details'!AN$8," ",'Tab 4 Adjustment Details'!AN$9))</f>
        <v>Pro Forma O&amp;M Offsets</v>
      </c>
      <c r="D46" s="304">
        <f>'Tab 4 Adjustment Details'!AN$57</f>
        <v>641.54999999999995</v>
      </c>
      <c r="E46" s="304">
        <f>'Tab 4 Adjustment Details'!AN$82</f>
        <v>0</v>
      </c>
      <c r="F46" s="528"/>
      <c r="G46" s="529" t="s">
        <v>288</v>
      </c>
      <c r="H46" s="526"/>
      <c r="I46" s="213" t="s">
        <v>635</v>
      </c>
      <c r="K46" s="213" t="s">
        <v>279</v>
      </c>
      <c r="L46" s="530"/>
    </row>
    <row r="47" spans="1:12" s="169" customFormat="1">
      <c r="A47" s="527">
        <f>'Tab 4 Adjustment Details'!AO$10</f>
        <v>3.1199999999999974</v>
      </c>
      <c r="B47" s="524" t="str">
        <f>'Tab 4 Adjustment Details'!AO$11</f>
        <v>E-PDF</v>
      </c>
      <c r="C47" s="476" t="str">
        <f>TRIM(CONCATENATE('Tab 4 Adjustment Details'!AO$7," ",'Tab 4 Adjustment Details'!AO$8," ",'Tab 4 Adjustment Details'!AO$9))</f>
        <v>Pro Forma Director Fees Exp</v>
      </c>
      <c r="D47" s="304">
        <f>'Tab 4 Adjustment Details'!AO$57</f>
        <v>0</v>
      </c>
      <c r="E47" s="553">
        <f>'Tab 4 Adjustment Details'!AO$82</f>
        <v>0</v>
      </c>
      <c r="F47" s="528"/>
      <c r="G47" s="529" t="s">
        <v>288</v>
      </c>
      <c r="H47" s="526"/>
      <c r="I47" s="213" t="s">
        <v>279</v>
      </c>
      <c r="J47" s="213"/>
      <c r="K47" s="213" t="s">
        <v>279</v>
      </c>
      <c r="L47" s="530"/>
    </row>
    <row r="48" spans="1:12" s="169" customFormat="1">
      <c r="A48" s="527">
        <f>'Tab 4 Adjustment Details'!AP$10</f>
        <v>3.1299999999999972</v>
      </c>
      <c r="B48" s="524" t="str">
        <f>'Tab 4 Adjustment Details'!AP$11</f>
        <v>E-PNM</v>
      </c>
      <c r="C48" s="476" t="str">
        <f>TRIM(CONCATENATE('Tab 4 Adjustment Details'!AP$7," ",'Tab 4 Adjustment Details'!AP$8," ",'Tab 4 Adjustment Details'!AP$9))</f>
        <v>PF Normalize CS2/Colstrip Major Maint</v>
      </c>
      <c r="D48" s="304">
        <f>'Tab 4 Adjustment Details'!AP$57</f>
        <v>-225.55</v>
      </c>
      <c r="E48" s="553">
        <f>'Tab 4 Adjustment Details'!AP$82</f>
        <v>0</v>
      </c>
      <c r="F48" s="528"/>
      <c r="G48" s="529" t="s">
        <v>288</v>
      </c>
      <c r="H48" s="526"/>
      <c r="I48" s="213" t="s">
        <v>279</v>
      </c>
      <c r="K48" s="213" t="s">
        <v>279</v>
      </c>
      <c r="L48" s="530"/>
    </row>
    <row r="49" spans="1:12" s="169" customFormat="1">
      <c r="A49" s="527">
        <f>'Tab 4 Adjustment Details'!AQ$10</f>
        <v>3.139999999999997</v>
      </c>
      <c r="B49" s="524" t="str">
        <f>'Tab 4 Adjustment Details'!AQ$11</f>
        <v>E-PUEI</v>
      </c>
      <c r="C49" s="476" t="str">
        <f>TRIM(CONCATENATE('Tab 4 Adjustment Details'!AQ$7," ",'Tab 4 Adjustment Details'!AQ$8," ",'Tab 4 Adjustment Details'!AQ$9))</f>
        <v>Pro Forma Underground Equip Inspection</v>
      </c>
      <c r="D49" s="708">
        <f>'Tab 4 Adjustment Details'!AQ$57</f>
        <v>-345.8</v>
      </c>
      <c r="E49" s="768">
        <f>'Tab 4 Adjustment Details'!AQ$82</f>
        <v>0</v>
      </c>
      <c r="F49" s="709"/>
      <c r="G49" s="529" t="s">
        <v>288</v>
      </c>
      <c r="H49" s="526"/>
      <c r="I49" s="213" t="s">
        <v>279</v>
      </c>
      <c r="K49" s="213" t="s">
        <v>279</v>
      </c>
      <c r="L49" s="530"/>
    </row>
    <row r="50" spans="1:12">
      <c r="A50" s="705"/>
      <c r="B50" s="705"/>
      <c r="C50" s="729" t="s">
        <v>769</v>
      </c>
      <c r="D50" s="769">
        <f>SUM(D34:D49)</f>
        <v>102038.77267371307</v>
      </c>
      <c r="E50" s="769">
        <f>SUM(E34:E49)</f>
        <v>1442944.7925067218</v>
      </c>
      <c r="F50" s="770">
        <f>D50/E50</f>
        <v>7.0715645673767341E-2</v>
      </c>
      <c r="G50" s="705"/>
      <c r="I50" s="26"/>
      <c r="J50" s="26"/>
    </row>
    <row r="51" spans="1:12" s="169" customFormat="1">
      <c r="A51" s="527"/>
      <c r="B51" s="524"/>
      <c r="C51" s="476"/>
      <c r="D51" s="304"/>
      <c r="E51" s="304"/>
      <c r="F51" s="528"/>
      <c r="G51" s="529"/>
      <c r="H51" s="526"/>
      <c r="J51" s="213"/>
      <c r="K51" s="189"/>
      <c r="L51" s="530"/>
    </row>
    <row r="52" spans="1:12" s="163" customFormat="1">
      <c r="A52" s="527">
        <f>'Tab 4 Adjustment Details'!AS$10</f>
        <v>4</v>
      </c>
      <c r="B52" s="475" t="str">
        <f>'Tab 4 Adjustment Details'!AS$11</f>
        <v>E-PPS</v>
      </c>
      <c r="C52" s="476" t="str">
        <f>TRIM(CONCATENATE('Tab 4 Adjustment Details'!AS$7," ",'Tab 4 Adjustment Details'!AS$8," ",'Tab 4 Adjustment Details'!AS$9))</f>
        <v>Pro Forma Power Supply &amp; Transm Revs</v>
      </c>
      <c r="D52" s="304">
        <f>'Tab 4 Adjustment Details'!AS$57</f>
        <v>0</v>
      </c>
      <c r="E52" s="304">
        <f>'Tab 4 Adjustment Details'!AS$82</f>
        <v>0</v>
      </c>
      <c r="F52" s="200"/>
      <c r="G52" s="234" t="s">
        <v>279</v>
      </c>
      <c r="H52" s="224"/>
      <c r="I52" s="632" t="s">
        <v>674</v>
      </c>
      <c r="K52" s="213" t="s">
        <v>279</v>
      </c>
    </row>
    <row r="53" spans="1:12" s="178" customFormat="1">
      <c r="A53" s="706"/>
      <c r="B53" s="725"/>
      <c r="C53" s="707"/>
      <c r="D53" s="708"/>
      <c r="E53" s="708"/>
      <c r="F53" s="709"/>
      <c r="G53" s="514"/>
      <c r="H53" s="526"/>
      <c r="I53" s="726"/>
      <c r="J53" s="514"/>
      <c r="K53" s="152"/>
      <c r="L53" s="250"/>
    </row>
    <row r="54" spans="1:12" s="163" customFormat="1" ht="13.5" thickBot="1">
      <c r="B54" s="723"/>
      <c r="C54" s="454" t="s">
        <v>770</v>
      </c>
      <c r="D54" s="727">
        <f>D50+D52</f>
        <v>102038.77267371307</v>
      </c>
      <c r="E54" s="727">
        <f>E50+E52</f>
        <v>1442944.7925067218</v>
      </c>
      <c r="F54" s="728">
        <f>D54/E54</f>
        <v>7.0715645673767341E-2</v>
      </c>
      <c r="G54" s="723"/>
      <c r="H54" s="224"/>
      <c r="I54" s="723"/>
    </row>
    <row r="55" spans="1:12" ht="13.5" thickTop="1">
      <c r="A55" s="222"/>
      <c r="B55" s="705"/>
      <c r="C55" s="710"/>
      <c r="D55" s="304"/>
      <c r="E55" s="304"/>
      <c r="F55" s="711"/>
      <c r="G55" s="705"/>
      <c r="I55" s="705"/>
      <c r="J55" s="26"/>
    </row>
    <row r="56" spans="1:12">
      <c r="A56" s="222" t="s">
        <v>629</v>
      </c>
      <c r="B56" s="766" t="s">
        <v>630</v>
      </c>
      <c r="C56" s="152" t="s">
        <v>138</v>
      </c>
      <c r="D56" s="305"/>
      <c r="E56" s="305"/>
      <c r="F56" s="126"/>
      <c r="I56" s="213" t="s">
        <v>300</v>
      </c>
      <c r="J56" s="26"/>
      <c r="K56" s="213" t="s">
        <v>279</v>
      </c>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8" orientation="portrait" horizontalDpi="1200" verticalDpi="1200" r:id="rId3"/>
  <headerFooter alignWithMargins="0">
    <oddHeader xml:space="preserve">&amp;C
</oddHeader>
    <oddFooter xml:space="preserve">&amp;C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P82"/>
  <sheetViews>
    <sheetView view="pageBreakPreview" zoomScale="90" zoomScaleNormal="100" zoomScaleSheetLayoutView="90" workbookViewId="0">
      <pane xSplit="4" ySplit="10" topLeftCell="E11" activePane="bottomRight" state="frozen"/>
      <selection activeCell="D42" sqref="D42"/>
      <selection pane="topRight" activeCell="D42" sqref="D42"/>
      <selection pane="bottomLeft" activeCell="D42" sqref="D42"/>
      <selection pane="bottomRight" activeCell="E11" sqref="E11"/>
    </sheetView>
  </sheetViews>
  <sheetFormatPr defaultColWidth="10.7109375" defaultRowHeight="12"/>
  <cols>
    <col min="1" max="1" width="4.7109375" style="534" customWidth="1"/>
    <col min="2" max="3" width="1.7109375" style="533" customWidth="1"/>
    <col min="4" max="4" width="33.7109375" style="533" customWidth="1"/>
    <col min="5" max="5" width="18.85546875" style="560" customWidth="1"/>
    <col min="6" max="33" width="18.85546875" style="559" customWidth="1"/>
    <col min="34" max="42" width="20.42578125" style="559" customWidth="1"/>
    <col min="43" max="44" width="20.42578125" style="533" customWidth="1"/>
    <col min="45" max="16384" width="10.7109375" style="533"/>
  </cols>
  <sheetData>
    <row r="1" spans="1:42">
      <c r="E1" s="560" t="s">
        <v>302</v>
      </c>
      <c r="F1" s="560" t="s">
        <v>308</v>
      </c>
      <c r="G1" s="560" t="s">
        <v>308</v>
      </c>
      <c r="H1" s="560" t="s">
        <v>308</v>
      </c>
      <c r="I1" s="560" t="s">
        <v>308</v>
      </c>
      <c r="J1" s="560" t="s">
        <v>308</v>
      </c>
      <c r="K1" s="560" t="s">
        <v>308</v>
      </c>
      <c r="L1" s="560" t="s">
        <v>308</v>
      </c>
      <c r="M1" s="560" t="s">
        <v>308</v>
      </c>
      <c r="N1" s="560" t="s">
        <v>308</v>
      </c>
      <c r="O1" s="560" t="s">
        <v>308</v>
      </c>
      <c r="P1" s="560" t="s">
        <v>308</v>
      </c>
      <c r="Q1" s="560" t="s">
        <v>308</v>
      </c>
      <c r="R1" s="560" t="s">
        <v>308</v>
      </c>
      <c r="S1" s="560" t="s">
        <v>308</v>
      </c>
      <c r="T1" s="560" t="s">
        <v>308</v>
      </c>
      <c r="U1" s="560" t="s">
        <v>308</v>
      </c>
      <c r="V1" s="560" t="s">
        <v>308</v>
      </c>
      <c r="W1" s="560" t="s">
        <v>308</v>
      </c>
      <c r="X1" s="560" t="s">
        <v>308</v>
      </c>
      <c r="Y1" s="560" t="s">
        <v>308</v>
      </c>
      <c r="Z1" s="560" t="s">
        <v>308</v>
      </c>
      <c r="AA1" s="560" t="s">
        <v>308</v>
      </c>
      <c r="AB1" s="560" t="s">
        <v>308</v>
      </c>
      <c r="AC1" s="560" t="s">
        <v>308</v>
      </c>
      <c r="AD1" s="560" t="s">
        <v>308</v>
      </c>
      <c r="AE1" s="560" t="s">
        <v>308</v>
      </c>
      <c r="AF1" s="560" t="s">
        <v>308</v>
      </c>
      <c r="AG1" s="560" t="s">
        <v>308</v>
      </c>
      <c r="AH1" s="560" t="s">
        <v>308</v>
      </c>
      <c r="AI1" s="560" t="s">
        <v>308</v>
      </c>
      <c r="AJ1" s="560" t="s">
        <v>308</v>
      </c>
      <c r="AK1" s="560" t="s">
        <v>308</v>
      </c>
      <c r="AL1" s="560" t="s">
        <v>308</v>
      </c>
      <c r="AM1" s="560" t="s">
        <v>308</v>
      </c>
      <c r="AN1" s="560" t="s">
        <v>308</v>
      </c>
      <c r="AO1" s="560" t="s">
        <v>308</v>
      </c>
      <c r="AP1" s="560" t="s">
        <v>308</v>
      </c>
    </row>
    <row r="2" spans="1:42" ht="5.25" customHeight="1">
      <c r="D2" s="534"/>
      <c r="E2" s="558"/>
    </row>
    <row r="3" spans="1:42">
      <c r="A3" s="734">
        <f>'Tab 4 Adjustment Details'!A2</f>
        <v>0</v>
      </c>
      <c r="D3" s="534"/>
      <c r="E3" s="533"/>
      <c r="F3" s="561"/>
      <c r="G3" s="561"/>
      <c r="H3" s="561"/>
      <c r="I3" s="561"/>
      <c r="J3" s="561"/>
      <c r="K3" s="561"/>
      <c r="L3" s="561"/>
      <c r="M3" s="561"/>
      <c r="N3" s="561"/>
      <c r="O3" s="561"/>
      <c r="P3" s="561"/>
      <c r="Q3" s="561"/>
      <c r="R3" s="561"/>
      <c r="S3" s="561"/>
      <c r="T3" s="561"/>
      <c r="U3" s="561"/>
      <c r="V3" s="561"/>
      <c r="W3" s="561"/>
      <c r="X3" s="561"/>
      <c r="Y3" s="561"/>
      <c r="Z3" s="1127" t="str">
        <f>'Tab 4 Adjustment Details'!Z3</f>
        <v>(Authorized P.S. @ Authorized P/T ratio)</v>
      </c>
      <c r="AA3" s="561"/>
      <c r="AB3" s="561"/>
      <c r="AC3" s="561"/>
      <c r="AD3" s="561"/>
      <c r="AE3" s="561"/>
      <c r="AF3" s="561"/>
      <c r="AG3" s="561"/>
      <c r="AH3" s="561"/>
      <c r="AI3" s="561"/>
      <c r="AJ3" s="561"/>
      <c r="AK3" s="561"/>
      <c r="AL3" s="561"/>
      <c r="AM3" s="561"/>
      <c r="AN3" s="561"/>
      <c r="AO3" s="561"/>
      <c r="AP3" s="561"/>
    </row>
    <row r="4" spans="1:42">
      <c r="A4" s="734" t="str">
        <f>'Tab 4 Adjustment Details'!A3</f>
        <v xml:space="preserve">WASHINGTON ELECTRIC RESULTS - PRO FORMA </v>
      </c>
      <c r="D4" s="534"/>
      <c r="F4" s="561"/>
      <c r="G4" s="561"/>
      <c r="H4" s="561"/>
      <c r="I4" s="561"/>
      <c r="J4" s="561"/>
      <c r="K4" s="561"/>
      <c r="L4" s="561"/>
      <c r="M4" s="561"/>
      <c r="N4" s="561"/>
      <c r="O4" s="561"/>
      <c r="P4" s="561"/>
      <c r="Q4" s="561"/>
      <c r="R4" s="561"/>
      <c r="S4" s="561"/>
      <c r="T4" s="561"/>
      <c r="U4" s="561"/>
      <c r="V4" s="561"/>
      <c r="W4" s="561"/>
      <c r="X4" s="561"/>
      <c r="Y4" s="561"/>
      <c r="Z4" s="1127"/>
      <c r="AA4" s="561"/>
      <c r="AB4" s="561"/>
      <c r="AC4" s="561"/>
      <c r="AD4" s="561"/>
      <c r="AE4" s="561"/>
      <c r="AF4" s="561"/>
      <c r="AG4" s="561"/>
      <c r="AH4" s="561"/>
      <c r="AI4" s="561"/>
      <c r="AJ4" s="561"/>
      <c r="AK4" s="561"/>
      <c r="AL4" s="561"/>
      <c r="AM4" s="561"/>
      <c r="AN4" s="561"/>
      <c r="AO4" s="561"/>
      <c r="AP4" s="561"/>
    </row>
    <row r="5" spans="1:42">
      <c r="A5" s="734" t="str">
        <f>'Tab 4 Adjustment Details'!A5</f>
        <v>TWELVE MONTHS ENDED DECEMBER 31, 2016</v>
      </c>
      <c r="D5" s="534"/>
      <c r="Z5" s="1127"/>
      <c r="AO5" s="589">
        <f>'Tab 4 Adjustment Details'!AS5</f>
        <v>0</v>
      </c>
    </row>
    <row r="6" spans="1:42" s="536" customFormat="1">
      <c r="A6" s="734" t="str">
        <f>'Tab 4 Adjustment Details'!A6</f>
        <v xml:space="preserve">(000'S OF DOLLARS)  </v>
      </c>
      <c r="D6" s="535"/>
      <c r="E6" s="562"/>
      <c r="F6" s="563"/>
      <c r="G6" s="563"/>
      <c r="H6" s="563"/>
      <c r="I6" s="563"/>
      <c r="J6" s="563"/>
      <c r="K6" s="563"/>
      <c r="L6" s="563"/>
      <c r="M6" s="563"/>
      <c r="N6" s="563"/>
      <c r="O6" s="563"/>
      <c r="P6" s="563"/>
      <c r="Q6" s="563"/>
      <c r="R6" s="563"/>
      <c r="S6" s="563"/>
      <c r="T6" s="563"/>
      <c r="U6" s="563"/>
      <c r="V6" s="563"/>
      <c r="W6" s="563"/>
      <c r="X6" s="563"/>
      <c r="Y6" s="563"/>
      <c r="Z6" s="1127"/>
      <c r="AA6" s="765" t="str">
        <f>'Tab 4 Adjustment Details'!AD6</f>
        <v>NON ERM</v>
      </c>
      <c r="AB6" s="563"/>
      <c r="AC6" s="563"/>
      <c r="AD6" s="563"/>
      <c r="AE6" s="563"/>
      <c r="AF6" s="563"/>
      <c r="AG6" s="563"/>
      <c r="AH6" s="563"/>
      <c r="AI6" s="563"/>
      <c r="AJ6" s="563"/>
      <c r="AK6" s="563"/>
      <c r="AL6" s="563"/>
      <c r="AM6" s="563"/>
      <c r="AN6" s="563"/>
      <c r="AO6" s="590" t="str">
        <f>'Tab 4 Adjustment Details'!AS6</f>
        <v>Contested</v>
      </c>
      <c r="AP6" s="563"/>
    </row>
    <row r="7" spans="1:42" s="536" customFormat="1" ht="12" customHeight="1">
      <c r="A7" s="422"/>
      <c r="B7" s="542"/>
      <c r="C7" s="542"/>
      <c r="D7" s="542"/>
      <c r="F7" s="589" t="str">
        <f>'Tab 4 Adjustment Details'!F7</f>
        <v xml:space="preserve">Deferred </v>
      </c>
      <c r="G7" s="589" t="str">
        <f>'Tab 4 Adjustment Details'!G7</f>
        <v xml:space="preserve">Deferred </v>
      </c>
      <c r="H7" s="589" t="str">
        <f>'Tab 4 Adjustment Details'!H7</f>
        <v>Working</v>
      </c>
      <c r="I7" s="589" t="str">
        <f>'Tab 4 Adjustment Details'!I7</f>
        <v>Eliminate</v>
      </c>
      <c r="J7" s="589" t="str">
        <f>'Tab 4 Adjustment Details'!J7</f>
        <v>Restate</v>
      </c>
      <c r="K7" s="589" t="str">
        <f>'Tab 4 Adjustment Details'!K7</f>
        <v>Uncollect.</v>
      </c>
      <c r="L7" s="589" t="str">
        <f>'Tab 4 Adjustment Details'!L7</f>
        <v>Regulatory</v>
      </c>
      <c r="M7" s="589" t="str">
        <f>'Tab 4 Adjustment Details'!M7</f>
        <v>Injuries</v>
      </c>
      <c r="N7" s="589" t="str">
        <f>'Tab 4 Adjustment Details'!N7</f>
        <v>FIT/DFIT/</v>
      </c>
      <c r="O7" s="589" t="str">
        <f>'Tab 4 Adjustment Details'!O7</f>
        <v>Office Space</v>
      </c>
      <c r="P7" s="589" t="str">
        <f>'Tab 4 Adjustment Details'!P7</f>
        <v>Restate</v>
      </c>
      <c r="Q7" s="589" t="str">
        <f>'Tab 4 Adjustment Details'!Q7</f>
        <v>Net</v>
      </c>
      <c r="R7" s="589" t="str">
        <f>'Tab 4 Adjustment Details'!R7</f>
        <v xml:space="preserve">Weather </v>
      </c>
      <c r="S7" s="589" t="str">
        <f>'Tab 4 Adjustment Details'!S7</f>
        <v>Eliminate</v>
      </c>
      <c r="T7" s="589" t="str">
        <f>'Tab 4 Adjustment Details'!T7</f>
        <v>Misc. Restating</v>
      </c>
      <c r="U7" s="589" t="str">
        <f>'Tab 4 Adjustment Details'!U7</f>
        <v>Eliminate</v>
      </c>
      <c r="V7" s="589" t="str">
        <f>'Tab 4 Adjustment Details'!V7</f>
        <v>Nez Perce</v>
      </c>
      <c r="W7" s="589" t="str">
        <f>'Tab 4 Adjustment Details'!W7</f>
        <v xml:space="preserve">Restating </v>
      </c>
      <c r="X7" s="589" t="str">
        <f>'Tab 4 Adjustment Details'!X7</f>
        <v>Normalize</v>
      </c>
      <c r="Y7" s="589" t="str">
        <f>'Tab 4 Adjustment Details'!Y7</f>
        <v>Restate</v>
      </c>
      <c r="Z7" s="589" t="str">
        <f>'Tab 4 Adjustment Details'!Z7</f>
        <v xml:space="preserve">Authorized </v>
      </c>
      <c r="AA7" s="589" t="str">
        <f>'Tab 4 Adjustment Details'!AD7</f>
        <v xml:space="preserve">Pro Forma </v>
      </c>
      <c r="AB7" s="589" t="str">
        <f>'Tab 4 Adjustment Details'!AE7</f>
        <v xml:space="preserve">Pro Forma </v>
      </c>
      <c r="AC7" s="589" t="str">
        <f>'Tab 4 Adjustment Details'!AF7</f>
        <v xml:space="preserve">Pro Forma </v>
      </c>
      <c r="AD7" s="589" t="str">
        <f>'Tab 4 Adjustment Details'!AG7</f>
        <v xml:space="preserve">Pro Forma </v>
      </c>
      <c r="AE7" s="589" t="str">
        <f>'Tab 4 Adjustment Details'!AH7</f>
        <v xml:space="preserve">Pro Forma </v>
      </c>
      <c r="AF7" s="589" t="str">
        <f>'Tab 4 Adjustment Details'!AI7</f>
        <v xml:space="preserve">Pro Forma </v>
      </c>
      <c r="AG7" s="589" t="str">
        <f>'Tab 4 Adjustment Details'!AJ7</f>
        <v xml:space="preserve">Pro Forma </v>
      </c>
      <c r="AH7" s="589" t="str">
        <f>'Tab 4 Adjustment Details'!AK7</f>
        <v>Pro Forma</v>
      </c>
      <c r="AI7" s="589" t="str">
        <f>'Tab 4 Adjustment Details'!AL7</f>
        <v xml:space="preserve">Pro Forma </v>
      </c>
      <c r="AJ7" s="589" t="str">
        <f>'Tab 4 Adjustment Details'!AM7</f>
        <v xml:space="preserve">Pro Forma </v>
      </c>
      <c r="AK7" s="589" t="str">
        <f>'Tab 4 Adjustment Details'!AN7</f>
        <v xml:space="preserve">Pro Forma </v>
      </c>
      <c r="AL7" s="589" t="str">
        <f>'Tab 4 Adjustment Details'!AO7</f>
        <v xml:space="preserve">Pro Forma </v>
      </c>
      <c r="AM7" s="589" t="str">
        <f>'Tab 4 Adjustment Details'!AP7</f>
        <v>PF Normalize</v>
      </c>
      <c r="AN7" s="589" t="str">
        <f>'Tab 4 Adjustment Details'!AQ7</f>
        <v>Pro Forma</v>
      </c>
      <c r="AO7" s="589" t="str">
        <f>'Tab 4 Adjustment Details'!AS7</f>
        <v xml:space="preserve">Pro Forma </v>
      </c>
      <c r="AP7" s="589" t="e">
        <f>'Tab 4 Adjustment Details'!#REF!</f>
        <v>#REF!</v>
      </c>
    </row>
    <row r="8" spans="1:42" s="536" customFormat="1">
      <c r="A8" s="422" t="str">
        <f>'Tab 4 Adjustment Details'!A8</f>
        <v>Ln</v>
      </c>
      <c r="B8" s="542"/>
      <c r="C8" s="542"/>
      <c r="D8" s="542"/>
      <c r="E8" s="720" t="s">
        <v>296</v>
      </c>
      <c r="F8" s="589" t="str">
        <f>'Tab 4 Adjustment Details'!F8</f>
        <v>FIT</v>
      </c>
      <c r="G8" s="589" t="str">
        <f>'Tab 4 Adjustment Details'!G8</f>
        <v xml:space="preserve">Debits and </v>
      </c>
      <c r="H8" s="589" t="str">
        <f>'Tab 4 Adjustment Details'!H8</f>
        <v>Capital</v>
      </c>
      <c r="I8" s="589" t="str">
        <f>'Tab 4 Adjustment Details'!I8</f>
        <v>B &amp; O</v>
      </c>
      <c r="J8" s="589" t="str">
        <f>'Tab 4 Adjustment Details'!J8</f>
        <v>Property</v>
      </c>
      <c r="K8" s="589" t="str">
        <f>'Tab 4 Adjustment Details'!K8</f>
        <v>Expense</v>
      </c>
      <c r="L8" s="589" t="str">
        <f>'Tab 4 Adjustment Details'!L8</f>
        <v>Expense</v>
      </c>
      <c r="M8" s="589" t="str">
        <f>'Tab 4 Adjustment Details'!M8</f>
        <v xml:space="preserve">and </v>
      </c>
      <c r="N8" s="589" t="str">
        <f>'Tab 4 Adjustment Details'!N8</f>
        <v>ITC</v>
      </c>
      <c r="O8" s="589" t="str">
        <f>'Tab 4 Adjustment Details'!O8</f>
        <v>Charges to</v>
      </c>
      <c r="P8" s="589" t="str">
        <f>'Tab 4 Adjustment Details'!P8</f>
        <v>Excise</v>
      </c>
      <c r="Q8" s="589" t="str">
        <f>'Tab 4 Adjustment Details'!Q8</f>
        <v xml:space="preserve">Gains / </v>
      </c>
      <c r="R8" s="589" t="str">
        <f>'Tab 4 Adjustment Details'!R8</f>
        <v>Normalization</v>
      </c>
      <c r="S8" s="589" t="str">
        <f>'Tab 4 Adjustment Details'!S8</f>
        <v>Adder</v>
      </c>
      <c r="T8" s="589" t="str">
        <f>'Tab 4 Adjustment Details'!T8</f>
        <v>Non-Util / Non-</v>
      </c>
      <c r="U8" s="589" t="str">
        <f>'Tab 4 Adjustment Details'!U8</f>
        <v>WA Power</v>
      </c>
      <c r="V8" s="589" t="str">
        <f>'Tab 4 Adjustment Details'!V8</f>
        <v>Settlement</v>
      </c>
      <c r="W8" s="589" t="str">
        <f>'Tab 4 Adjustment Details'!W8</f>
        <v>Incentives</v>
      </c>
      <c r="X8" s="589" t="str">
        <f>'Tab 4 Adjustment Details'!X8</f>
        <v>CS2/Colstrip</v>
      </c>
      <c r="Y8" s="589" t="str">
        <f>'Tab 4 Adjustment Details'!Y8</f>
        <v>Debt</v>
      </c>
      <c r="Z8" s="589" t="str">
        <f>'Tab 4 Adjustment Details'!Z8</f>
        <v>Power</v>
      </c>
      <c r="AA8" s="589" t="str">
        <f>'Tab 4 Adjustment Details'!AD8</f>
        <v>Trans/Power Sup</v>
      </c>
      <c r="AB8" s="589" t="str">
        <f>'Tab 4 Adjustment Details'!AE8</f>
        <v>Labor</v>
      </c>
      <c r="AC8" s="589" t="str">
        <f>'Tab 4 Adjustment Details'!AF8</f>
        <v>Labor</v>
      </c>
      <c r="AD8" s="589" t="str">
        <f>'Tab 4 Adjustment Details'!AG8</f>
        <v xml:space="preserve">Employee </v>
      </c>
      <c r="AE8" s="589" t="str">
        <f>'Tab 4 Adjustment Details'!AH8</f>
        <v>Incentive</v>
      </c>
      <c r="AF8" s="589" t="str">
        <f>'Tab 4 Adjustment Details'!AI8</f>
        <v>Property</v>
      </c>
      <c r="AG8" s="589" t="str">
        <f>'Tab 4 Adjustment Details'!AJ8</f>
        <v>IS/IT</v>
      </c>
      <c r="AH8" s="589" t="str">
        <f>'Tab 4 Adjustment Details'!AK8</f>
        <v xml:space="preserve">Revenue </v>
      </c>
      <c r="AI8" s="589" t="str">
        <f>'Tab 4 Adjustment Details'!AL8</f>
        <v>Def. Debits, Credits &amp;</v>
      </c>
      <c r="AJ8" s="589" t="str">
        <f>'Tab 4 Adjustment Details'!AM8</f>
        <v>2017 Threshhold</v>
      </c>
      <c r="AK8" s="589" t="str">
        <f>'Tab 4 Adjustment Details'!AN8</f>
        <v xml:space="preserve">O&amp;M </v>
      </c>
      <c r="AL8" s="589" t="str">
        <f>'Tab 4 Adjustment Details'!AO8</f>
        <v xml:space="preserve">Director </v>
      </c>
      <c r="AM8" s="589" t="str">
        <f>'Tab 4 Adjustment Details'!AP8</f>
        <v>CS2/Colstrip</v>
      </c>
      <c r="AN8" s="589" t="str">
        <f>'Tab 4 Adjustment Details'!AQ8</f>
        <v>Underground</v>
      </c>
      <c r="AO8" s="589" t="str">
        <f>'Tab 4 Adjustment Details'!AS8</f>
        <v>Power Supply</v>
      </c>
      <c r="AP8" s="589" t="e">
        <f>'Tab 4 Adjustment Details'!#REF!</f>
        <v>#REF!</v>
      </c>
    </row>
    <row r="9" spans="1:42" s="536" customFormat="1" ht="11.25" customHeight="1">
      <c r="A9" s="426" t="str">
        <f>'Tab 4 Adjustment Details'!A9</f>
        <v>No.</v>
      </c>
      <c r="B9" s="545"/>
      <c r="C9" s="427" t="s">
        <v>22</v>
      </c>
      <c r="D9" s="545"/>
      <c r="E9" s="423" t="s">
        <v>297</v>
      </c>
      <c r="F9" s="590" t="str">
        <f>'Tab 4 Adjustment Details'!F9</f>
        <v>Rate Base</v>
      </c>
      <c r="G9" s="590" t="str">
        <f>'Tab 4 Adjustment Details'!G9</f>
        <v>Credits</v>
      </c>
      <c r="H9" s="590" t="str">
        <f>'Tab 4 Adjustment Details'!H9</f>
        <v xml:space="preserve"> </v>
      </c>
      <c r="I9" s="590" t="str">
        <f>'Tab 4 Adjustment Details'!I9</f>
        <v>Taxes</v>
      </c>
      <c r="J9" s="590" t="str">
        <f>'Tab 4 Adjustment Details'!J9</f>
        <v>Tax</v>
      </c>
      <c r="K9" s="590" t="str">
        <f>'Tab 4 Adjustment Details'!K9</f>
        <v xml:space="preserve"> </v>
      </c>
      <c r="L9" s="590" t="str">
        <f>'Tab 4 Adjustment Details'!L9</f>
        <v xml:space="preserve"> </v>
      </c>
      <c r="M9" s="590" t="str">
        <f>'Tab 4 Adjustment Details'!M9</f>
        <v>Damages</v>
      </c>
      <c r="N9" s="590" t="str">
        <f>'Tab 4 Adjustment Details'!N9</f>
        <v>Expense</v>
      </c>
      <c r="O9" s="590" t="str">
        <f>'Tab 4 Adjustment Details'!O9</f>
        <v>Non-Utility</v>
      </c>
      <c r="P9" s="590" t="str">
        <f>'Tab 4 Adjustment Details'!P9</f>
        <v>Taxes</v>
      </c>
      <c r="Q9" s="590" t="str">
        <f>'Tab 4 Adjustment Details'!Q9</f>
        <v>Losses</v>
      </c>
      <c r="R9" s="590" t="str">
        <f>'Tab 4 Adjustment Details'!R9</f>
        <v xml:space="preserve"> </v>
      </c>
      <c r="S9" s="590" t="str">
        <f>'Tab 4 Adjustment Details'!S9</f>
        <v>Schedules</v>
      </c>
      <c r="T9" s="590" t="str">
        <f>'Tab 4 Adjustment Details'!T9</f>
        <v>Recurring Expenses</v>
      </c>
      <c r="U9" s="590" t="str">
        <f>'Tab 4 Adjustment Details'!U9</f>
        <v>Cost Defer</v>
      </c>
      <c r="V9" s="590" t="str">
        <f>'Tab 4 Adjustment Details'!V9</f>
        <v>Adjustment</v>
      </c>
      <c r="W9" s="590">
        <f>'Tab 4 Adjustment Details'!W9</f>
        <v>0</v>
      </c>
      <c r="X9" s="590" t="str">
        <f>'Tab 4 Adjustment Details'!X9</f>
        <v>Major Maint</v>
      </c>
      <c r="Y9" s="590" t="str">
        <f>'Tab 4 Adjustment Details'!Y9</f>
        <v>Interest</v>
      </c>
      <c r="Z9" s="590" t="str">
        <f>'Tab 4 Adjustment Details'!Z9</f>
        <v>Supply</v>
      </c>
      <c r="AA9" s="590" t="str">
        <f>'Tab 4 Adjustment Details'!AD9</f>
        <v>Non-ERM Rev/Exp</v>
      </c>
      <c r="AB9" s="590" t="str">
        <f>'Tab 4 Adjustment Details'!AE9</f>
        <v>Non-Exec</v>
      </c>
      <c r="AC9" s="590" t="str">
        <f>'Tab 4 Adjustment Details'!AF9</f>
        <v>Exec</v>
      </c>
      <c r="AD9" s="590" t="str">
        <f>'Tab 4 Adjustment Details'!AG9</f>
        <v>Benefits</v>
      </c>
      <c r="AE9" s="590" t="str">
        <f>'Tab 4 Adjustment Details'!AH9</f>
        <v>Expenses</v>
      </c>
      <c r="AF9" s="590" t="str">
        <f>'Tab 4 Adjustment Details'!AI9</f>
        <v>Tax</v>
      </c>
      <c r="AG9" s="590" t="str">
        <f>'Tab 4 Adjustment Details'!AJ9</f>
        <v>Expense</v>
      </c>
      <c r="AH9" s="590" t="str">
        <f>'Tab 4 Adjustment Details'!AK9</f>
        <v>Normalization</v>
      </c>
      <c r="AI9" s="590" t="str">
        <f>'Tab 4 Adjustment Details'!AL9</f>
        <v>Regulatory Amorts</v>
      </c>
      <c r="AJ9" s="590" t="str">
        <f>'Tab 4 Adjustment Details'!AM9</f>
        <v>Capital Adds</v>
      </c>
      <c r="AK9" s="590" t="str">
        <f>'Tab 4 Adjustment Details'!AN9</f>
        <v xml:space="preserve"> Offsets</v>
      </c>
      <c r="AL9" s="590" t="str">
        <f>'Tab 4 Adjustment Details'!AO9</f>
        <v>Fees Exp</v>
      </c>
      <c r="AM9" s="590" t="str">
        <f>'Tab 4 Adjustment Details'!AP9</f>
        <v>Major Maint</v>
      </c>
      <c r="AN9" s="590" t="str">
        <f>'Tab 4 Adjustment Details'!AQ9</f>
        <v>Equip Inspection</v>
      </c>
      <c r="AO9" s="590" t="str">
        <f>'Tab 4 Adjustment Details'!AS9</f>
        <v>&amp; Transm Revs</v>
      </c>
      <c r="AP9" s="590" t="e">
        <f>'Tab 4 Adjustment Details'!#REF!</f>
        <v>#REF!</v>
      </c>
    </row>
    <row r="10" spans="1:42" s="585" customFormat="1">
      <c r="B10" s="588" t="s">
        <v>603</v>
      </c>
      <c r="E10" s="587">
        <v>1</v>
      </c>
      <c r="F10" s="586">
        <f>'Tab 4 Adjustment Details'!F10</f>
        <v>1.01</v>
      </c>
      <c r="G10" s="586">
        <f>'Tab 4 Adjustment Details'!G10</f>
        <v>1.02</v>
      </c>
      <c r="H10" s="586">
        <f>'Tab 4 Adjustment Details'!H10</f>
        <v>1.03</v>
      </c>
      <c r="I10" s="586">
        <f>'Tab 4 Adjustment Details'!I10</f>
        <v>2.0099999999999998</v>
      </c>
      <c r="J10" s="586">
        <f>'Tab 4 Adjustment Details'!J10</f>
        <v>2.0199999999999996</v>
      </c>
      <c r="K10" s="586">
        <f>'Tab 4 Adjustment Details'!K10</f>
        <v>2.0299999999999994</v>
      </c>
      <c r="L10" s="586">
        <f>'Tab 4 Adjustment Details'!L10</f>
        <v>2.0399999999999991</v>
      </c>
      <c r="M10" s="586">
        <f>'Tab 4 Adjustment Details'!M10</f>
        <v>2.0499999999999989</v>
      </c>
      <c r="N10" s="586">
        <f>'Tab 4 Adjustment Details'!N10</f>
        <v>2.0599999999999987</v>
      </c>
      <c r="O10" s="586">
        <f>'Tab 4 Adjustment Details'!O10</f>
        <v>2.0699999999999985</v>
      </c>
      <c r="P10" s="586">
        <f>'Tab 4 Adjustment Details'!P10</f>
        <v>2.0799999999999983</v>
      </c>
      <c r="Q10" s="586">
        <f>'Tab 4 Adjustment Details'!Q10</f>
        <v>2.0899999999999981</v>
      </c>
      <c r="R10" s="586">
        <f>'Tab 4 Adjustment Details'!R10</f>
        <v>2.0999999999999979</v>
      </c>
      <c r="S10" s="586">
        <f>'Tab 4 Adjustment Details'!S10</f>
        <v>2.1099999999999977</v>
      </c>
      <c r="T10" s="586">
        <f>'Tab 4 Adjustment Details'!T10</f>
        <v>2.1199999999999974</v>
      </c>
      <c r="U10" s="586">
        <f>'Tab 4 Adjustment Details'!U10</f>
        <v>2.1299999999999972</v>
      </c>
      <c r="V10" s="586">
        <f>'Tab 4 Adjustment Details'!V10</f>
        <v>2.139999999999997</v>
      </c>
      <c r="W10" s="586">
        <f>'Tab 4 Adjustment Details'!W10</f>
        <v>2.1499999999999968</v>
      </c>
      <c r="X10" s="586">
        <f>'Tab 4 Adjustment Details'!X10</f>
        <v>2.1599999999999966</v>
      </c>
      <c r="Y10" s="586">
        <f>'Tab 4 Adjustment Details'!Y10</f>
        <v>2.1699999999999964</v>
      </c>
      <c r="Z10" s="586">
        <f>'Tab 4 Adjustment Details'!Z10</f>
        <v>2.1799999999999962</v>
      </c>
      <c r="AA10" s="586">
        <f>'Tab 4 Adjustment Details'!AD10</f>
        <v>3.01</v>
      </c>
      <c r="AB10" s="586">
        <f>'Tab 4 Adjustment Details'!AE10</f>
        <v>3.0199999999999996</v>
      </c>
      <c r="AC10" s="586">
        <f>'Tab 4 Adjustment Details'!AF10</f>
        <v>3.0299999999999994</v>
      </c>
      <c r="AD10" s="586">
        <f>'Tab 4 Adjustment Details'!AG10</f>
        <v>3.0399999999999991</v>
      </c>
      <c r="AE10" s="586">
        <f>'Tab 4 Adjustment Details'!AH10</f>
        <v>3.0499999999999989</v>
      </c>
      <c r="AF10" s="586">
        <f>'Tab 4 Adjustment Details'!AI10</f>
        <v>3.0599999999999987</v>
      </c>
      <c r="AG10" s="586">
        <f>'Tab 4 Adjustment Details'!AJ10</f>
        <v>3.0699999999999985</v>
      </c>
      <c r="AH10" s="586">
        <f>'Tab 4 Adjustment Details'!AK10</f>
        <v>3.0799999999999983</v>
      </c>
      <c r="AI10" s="586">
        <f>'Tab 4 Adjustment Details'!AL10</f>
        <v>3.0899999999999981</v>
      </c>
      <c r="AJ10" s="586">
        <f>'Tab 4 Adjustment Details'!AM10</f>
        <v>3.0999999999999979</v>
      </c>
      <c r="AK10" s="586">
        <f>'Tab 4 Adjustment Details'!AN10</f>
        <v>3.1099999999999977</v>
      </c>
      <c r="AL10" s="586">
        <f>'Tab 4 Adjustment Details'!AO10</f>
        <v>3.1199999999999974</v>
      </c>
      <c r="AM10" s="586">
        <f>'Tab 4 Adjustment Details'!AP10</f>
        <v>3.1299999999999972</v>
      </c>
      <c r="AN10" s="586">
        <f>'Tab 4 Adjustment Details'!AQ10</f>
        <v>3.139999999999997</v>
      </c>
      <c r="AO10" s="586">
        <f>'Tab 4 Adjustment Details'!AS10</f>
        <v>4</v>
      </c>
      <c r="AP10" s="586" t="e">
        <f>'Tab 4 Adjustment Details'!#REF!</f>
        <v>#REF!</v>
      </c>
    </row>
    <row r="11" spans="1:42" s="585" customFormat="1">
      <c r="A11" s="424"/>
      <c r="B11" s="425" t="s">
        <v>604</v>
      </c>
      <c r="C11" s="424"/>
      <c r="D11" s="424"/>
      <c r="E11" s="591" t="str">
        <f>'Tab 4 Adjustment Details'!E11</f>
        <v>E-ROO</v>
      </c>
      <c r="F11" s="591" t="str">
        <f>'Tab 4 Adjustment Details'!F11</f>
        <v>E-DFIT</v>
      </c>
      <c r="G11" s="591" t="str">
        <f>'Tab 4 Adjustment Details'!G11</f>
        <v>E-DDC</v>
      </c>
      <c r="H11" s="591" t="str">
        <f>'Tab 4 Adjustment Details'!H11</f>
        <v xml:space="preserve">E-WC </v>
      </c>
      <c r="I11" s="591" t="str">
        <f>'Tab 4 Adjustment Details'!I11</f>
        <v>E-EBO</v>
      </c>
      <c r="J11" s="591" t="str">
        <f>'Tab 4 Adjustment Details'!J11</f>
        <v>E-RPT</v>
      </c>
      <c r="K11" s="591" t="str">
        <f>'Tab 4 Adjustment Details'!K11</f>
        <v>E-UE</v>
      </c>
      <c r="L11" s="591" t="str">
        <f>'Tab 4 Adjustment Details'!L11</f>
        <v>E-RE</v>
      </c>
      <c r="M11" s="591" t="str">
        <f>'Tab 4 Adjustment Details'!M11</f>
        <v>E-ID</v>
      </c>
      <c r="N11" s="591" t="str">
        <f>'Tab 4 Adjustment Details'!N11</f>
        <v xml:space="preserve">E-FIT </v>
      </c>
      <c r="O11" s="591" t="str">
        <f>'Tab 4 Adjustment Details'!O11</f>
        <v>E-OSC</v>
      </c>
      <c r="P11" s="591" t="str">
        <f>'Tab 4 Adjustment Details'!P11</f>
        <v>E-RET</v>
      </c>
      <c r="Q11" s="591" t="str">
        <f>'Tab 4 Adjustment Details'!Q11</f>
        <v>E-NGL</v>
      </c>
      <c r="R11" s="591" t="str">
        <f>'Tab 4 Adjustment Details'!R11</f>
        <v>E-WN</v>
      </c>
      <c r="S11" s="591" t="str">
        <f>'Tab 4 Adjustment Details'!S11</f>
        <v>E-EAS</v>
      </c>
      <c r="T11" s="591" t="str">
        <f>'Tab 4 Adjustment Details'!T11</f>
        <v>E-MR</v>
      </c>
      <c r="U11" s="591" t="str">
        <f>'Tab 4 Adjustment Details'!U11</f>
        <v>E-EWPC</v>
      </c>
      <c r="V11" s="591" t="str">
        <f>'Tab 4 Adjustment Details'!V11</f>
        <v>E-NPS</v>
      </c>
      <c r="W11" s="591" t="str">
        <f>'Tab 4 Adjustment Details'!W11</f>
        <v>E-RI</v>
      </c>
      <c r="X11" s="591" t="str">
        <f>'Tab 4 Adjustment Details'!X11</f>
        <v>E-PMM</v>
      </c>
      <c r="Y11" s="591" t="str">
        <f>'Tab 4 Adjustment Details'!Y11</f>
        <v>E-RDI</v>
      </c>
      <c r="Z11" s="591" t="str">
        <f>'Tab 4 Adjustment Details'!Z11</f>
        <v>E-APS</v>
      </c>
      <c r="AA11" s="591" t="str">
        <f>'Tab 4 Adjustment Details'!AD11</f>
        <v>E-PTR</v>
      </c>
      <c r="AB11" s="591" t="str">
        <f>'Tab 4 Adjustment Details'!AE11</f>
        <v>E-PLN</v>
      </c>
      <c r="AC11" s="591" t="str">
        <f>'Tab 4 Adjustment Details'!AF11</f>
        <v>E-PLE</v>
      </c>
      <c r="AD11" s="591" t="str">
        <f>'Tab 4 Adjustment Details'!AG11</f>
        <v>E-PEB</v>
      </c>
      <c r="AE11" s="591" t="str">
        <f>'Tab 4 Adjustment Details'!AH11</f>
        <v>E-PI</v>
      </c>
      <c r="AF11" s="591" t="str">
        <f>'Tab 4 Adjustment Details'!AI11</f>
        <v>E-PPT</v>
      </c>
      <c r="AG11" s="591" t="str">
        <f>'Tab 4 Adjustment Details'!AJ11</f>
        <v>E-CI</v>
      </c>
      <c r="AH11" s="591" t="str">
        <f>'Tab 4 Adjustment Details'!AK11</f>
        <v>E-PREV</v>
      </c>
      <c r="AI11" s="591" t="str">
        <f>'Tab 4 Adjustment Details'!AL11</f>
        <v>E-PRA</v>
      </c>
      <c r="AJ11" s="591" t="str">
        <f>'Tab 4 Adjustment Details'!AM11</f>
        <v>E-PCAP16</v>
      </c>
      <c r="AK11" s="591" t="str">
        <f>'Tab 4 Adjustment Details'!AN11</f>
        <v>E-POFF</v>
      </c>
      <c r="AL11" s="591" t="str">
        <f>'Tab 4 Adjustment Details'!AO11</f>
        <v>E-PDF</v>
      </c>
      <c r="AM11" s="591" t="str">
        <f>'Tab 4 Adjustment Details'!AP11</f>
        <v>E-PNM</v>
      </c>
      <c r="AN11" s="591" t="str">
        <f>'Tab 4 Adjustment Details'!AQ11</f>
        <v>E-PUEI</v>
      </c>
      <c r="AO11" s="591" t="str">
        <f>'Tab 4 Adjustment Details'!AS11</f>
        <v>E-PPS</v>
      </c>
      <c r="AP11" s="591" t="e">
        <f>'Tab 4 Adjustment Details'!#REF!</f>
        <v>#REF!</v>
      </c>
    </row>
    <row r="12" spans="1:42" s="585" customFormat="1">
      <c r="B12" s="588"/>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row>
    <row r="13" spans="1:42">
      <c r="B13" s="533" t="str">
        <f>'Tab 4 Adjustment Details'!B13</f>
        <v xml:space="preserve">REVENUES  </v>
      </c>
    </row>
    <row r="14" spans="1:42" s="547" customFormat="1">
      <c r="A14" s="546">
        <f ca="1">'Tab 4 Adjustment Details'!A14</f>
        <v>1</v>
      </c>
      <c r="B14" s="547" t="str">
        <f>'Tab 4 Adjustment Details'!B14</f>
        <v xml:space="preserve">Total General Business  </v>
      </c>
      <c r="E14" s="576">
        <f>'Tab 4 Adjustment Details'!E14</f>
        <v>516333</v>
      </c>
      <c r="F14" s="584">
        <f>'Tab 4 Adjustment Details'!F14</f>
        <v>0</v>
      </c>
      <c r="G14" s="584">
        <f>'Tab 4 Adjustment Details'!G14</f>
        <v>0</v>
      </c>
      <c r="H14" s="584">
        <f>'Tab 4 Adjustment Details'!H14</f>
        <v>0</v>
      </c>
      <c r="I14" s="584">
        <f>'Tab 4 Adjustment Details'!I14</f>
        <v>-17807</v>
      </c>
      <c r="J14" s="584">
        <f>'Tab 4 Adjustment Details'!J14</f>
        <v>0</v>
      </c>
      <c r="K14" s="584">
        <f>'Tab 4 Adjustment Details'!K14</f>
        <v>0</v>
      </c>
      <c r="L14" s="584">
        <f>'Tab 4 Adjustment Details'!L14</f>
        <v>0</v>
      </c>
      <c r="M14" s="584">
        <f>'Tab 4 Adjustment Details'!M14</f>
        <v>0</v>
      </c>
      <c r="N14" s="584">
        <f>'Tab 4 Adjustment Details'!N14</f>
        <v>0</v>
      </c>
      <c r="O14" s="584">
        <f>'Tab 4 Adjustment Details'!O14</f>
        <v>0</v>
      </c>
      <c r="P14" s="584">
        <f>'Tab 4 Adjustment Details'!P14</f>
        <v>0</v>
      </c>
      <c r="Q14" s="584">
        <f>'Tab 4 Adjustment Details'!Q14</f>
        <v>0</v>
      </c>
      <c r="R14" s="584">
        <f>'Tab 4 Adjustment Details'!R14</f>
        <v>7392</v>
      </c>
      <c r="S14" s="584">
        <f>'Tab 4 Adjustment Details'!S14</f>
        <v>-18203</v>
      </c>
      <c r="T14" s="584">
        <f>'Tab 4 Adjustment Details'!T14</f>
        <v>0</v>
      </c>
      <c r="U14" s="584">
        <f>'Tab 4 Adjustment Details'!U14</f>
        <v>4698</v>
      </c>
      <c r="V14" s="584">
        <f>'Tab 4 Adjustment Details'!V14</f>
        <v>0</v>
      </c>
      <c r="W14" s="584">
        <f>'Tab 4 Adjustment Details'!W14</f>
        <v>0</v>
      </c>
      <c r="X14" s="584">
        <f>'Tab 4 Adjustment Details'!X14</f>
        <v>0</v>
      </c>
      <c r="Y14" s="584">
        <f>'Tab 4 Adjustment Details'!Y14</f>
        <v>0</v>
      </c>
      <c r="Z14" s="584">
        <f>'Tab 4 Adjustment Details'!Z14</f>
        <v>0</v>
      </c>
      <c r="AA14" s="584">
        <f>'Tab 4 Adjustment Details'!AD14</f>
        <v>0</v>
      </c>
      <c r="AB14" s="584">
        <f>'Tab 4 Adjustment Details'!AE14</f>
        <v>0</v>
      </c>
      <c r="AC14" s="584">
        <f>'Tab 4 Adjustment Details'!AF14</f>
        <v>0</v>
      </c>
      <c r="AD14" s="584">
        <f>'Tab 4 Adjustment Details'!AG14</f>
        <v>0</v>
      </c>
      <c r="AE14" s="584">
        <f>'Tab 4 Adjustment Details'!AH14</f>
        <v>0</v>
      </c>
      <c r="AF14" s="584">
        <f>'Tab 4 Adjustment Details'!AI14</f>
        <v>0</v>
      </c>
      <c r="AG14" s="584">
        <f>'Tab 4 Adjustment Details'!AJ14</f>
        <v>0</v>
      </c>
      <c r="AH14" s="584">
        <f>'Tab 4 Adjustment Details'!AK14</f>
        <v>-1225</v>
      </c>
      <c r="AI14" s="584">
        <f>'Tab 4 Adjustment Details'!AL14</f>
        <v>0</v>
      </c>
      <c r="AJ14" s="584">
        <f>'Tab 4 Adjustment Details'!AM14</f>
        <v>0</v>
      </c>
      <c r="AK14" s="584">
        <f>'Tab 4 Adjustment Details'!AN14</f>
        <v>0</v>
      </c>
      <c r="AL14" s="584">
        <f>'Tab 4 Adjustment Details'!AO14</f>
        <v>0</v>
      </c>
      <c r="AM14" s="584">
        <f>'Tab 4 Adjustment Details'!AP14</f>
        <v>0</v>
      </c>
      <c r="AN14" s="584">
        <f>'Tab 4 Adjustment Details'!AQ14</f>
        <v>0</v>
      </c>
      <c r="AO14" s="584">
        <f>'Tab 4 Adjustment Details'!AS14</f>
        <v>0</v>
      </c>
      <c r="AP14" s="584" t="e">
        <f>'Tab 4 Adjustment Details'!#REF!</f>
        <v>#REF!</v>
      </c>
    </row>
    <row r="15" spans="1:42" s="548" customFormat="1">
      <c r="A15" s="546">
        <f ca="1">'Tab 4 Adjustment Details'!A15</f>
        <v>2</v>
      </c>
      <c r="B15" s="548" t="str">
        <f>'Tab 4 Adjustment Details'!B15</f>
        <v xml:space="preserve">Interdepartmental Sales  </v>
      </c>
      <c r="E15" s="551">
        <f>'Tab 4 Adjustment Details'!E15</f>
        <v>946</v>
      </c>
      <c r="F15" s="559">
        <f>'Tab 4 Adjustment Details'!F15</f>
        <v>0</v>
      </c>
      <c r="G15" s="559">
        <f>'Tab 4 Adjustment Details'!G15</f>
        <v>0</v>
      </c>
      <c r="H15" s="559">
        <f>'Tab 4 Adjustment Details'!H15</f>
        <v>0</v>
      </c>
      <c r="I15" s="559">
        <f>'Tab 4 Adjustment Details'!I15</f>
        <v>0</v>
      </c>
      <c r="J15" s="559">
        <f>'Tab 4 Adjustment Details'!J15</f>
        <v>0</v>
      </c>
      <c r="K15" s="559">
        <f>'Tab 4 Adjustment Details'!K15</f>
        <v>0</v>
      </c>
      <c r="L15" s="559">
        <f>'Tab 4 Adjustment Details'!L15</f>
        <v>0</v>
      </c>
      <c r="M15" s="559">
        <f>'Tab 4 Adjustment Details'!M15</f>
        <v>0</v>
      </c>
      <c r="N15" s="559">
        <f>'Tab 4 Adjustment Details'!N15</f>
        <v>0</v>
      </c>
      <c r="O15" s="559">
        <f>'Tab 4 Adjustment Details'!O15</f>
        <v>0</v>
      </c>
      <c r="P15" s="559">
        <f>'Tab 4 Adjustment Details'!P15</f>
        <v>0</v>
      </c>
      <c r="Q15" s="559">
        <f>'Tab 4 Adjustment Details'!Q15</f>
        <v>0</v>
      </c>
      <c r="R15" s="559">
        <f>'Tab 4 Adjustment Details'!R15</f>
        <v>0</v>
      </c>
      <c r="S15" s="559">
        <f>'Tab 4 Adjustment Details'!S15</f>
        <v>0</v>
      </c>
      <c r="T15" s="559">
        <f>'Tab 4 Adjustment Details'!T15</f>
        <v>0</v>
      </c>
      <c r="U15" s="559" t="str">
        <f>'Tab 4 Adjustment Details'!U15</f>
        <v>`</v>
      </c>
      <c r="V15" s="559">
        <f>'Tab 4 Adjustment Details'!V15</f>
        <v>0</v>
      </c>
      <c r="W15" s="559">
        <f>'Tab 4 Adjustment Details'!W15</f>
        <v>0</v>
      </c>
      <c r="X15" s="559">
        <f>'Tab 4 Adjustment Details'!X15</f>
        <v>0</v>
      </c>
      <c r="Y15" s="559">
        <f>'Tab 4 Adjustment Details'!Y15</f>
        <v>0</v>
      </c>
      <c r="Z15" s="559">
        <f>'Tab 4 Adjustment Details'!Z15</f>
        <v>0</v>
      </c>
      <c r="AA15" s="559">
        <f>'Tab 4 Adjustment Details'!AD15</f>
        <v>0</v>
      </c>
      <c r="AB15" s="559">
        <f>'Tab 4 Adjustment Details'!AE15</f>
        <v>0</v>
      </c>
      <c r="AC15" s="559">
        <f>'Tab 4 Adjustment Details'!AF15</f>
        <v>0</v>
      </c>
      <c r="AD15" s="559">
        <f>'Tab 4 Adjustment Details'!AG15</f>
        <v>0</v>
      </c>
      <c r="AE15" s="559">
        <f>'Tab 4 Adjustment Details'!AH15</f>
        <v>0</v>
      </c>
      <c r="AF15" s="559">
        <f>'Tab 4 Adjustment Details'!AI15</f>
        <v>0</v>
      </c>
      <c r="AG15" s="559">
        <f>'Tab 4 Adjustment Details'!AJ15</f>
        <v>0</v>
      </c>
      <c r="AH15" s="559">
        <f>'Tab 4 Adjustment Details'!AK15</f>
        <v>0</v>
      </c>
      <c r="AI15" s="559">
        <f>'Tab 4 Adjustment Details'!AL15</f>
        <v>0</v>
      </c>
      <c r="AJ15" s="559">
        <f>'Tab 4 Adjustment Details'!AM15</f>
        <v>0</v>
      </c>
      <c r="AK15" s="559">
        <f>'Tab 4 Adjustment Details'!AN15</f>
        <v>0</v>
      </c>
      <c r="AL15" s="559">
        <f>'Tab 4 Adjustment Details'!AO15</f>
        <v>0</v>
      </c>
      <c r="AM15" s="559">
        <f>'Tab 4 Adjustment Details'!AP15</f>
        <v>0</v>
      </c>
      <c r="AN15" s="559">
        <f>'Tab 4 Adjustment Details'!AQ15</f>
        <v>0</v>
      </c>
      <c r="AO15" s="559">
        <f>'Tab 4 Adjustment Details'!AS15</f>
        <v>0</v>
      </c>
      <c r="AP15" s="559" t="e">
        <f>'Tab 4 Adjustment Details'!#REF!</f>
        <v>#REF!</v>
      </c>
    </row>
    <row r="16" spans="1:42" s="548" customFormat="1">
      <c r="A16" s="546">
        <f ca="1">'Tab 4 Adjustment Details'!A16</f>
        <v>3</v>
      </c>
      <c r="B16" s="548" t="str">
        <f>'Tab 4 Adjustment Details'!B16</f>
        <v xml:space="preserve">Sales for Resale  </v>
      </c>
      <c r="E16" s="581">
        <f>'Tab 4 Adjustment Details'!E16</f>
        <v>78098</v>
      </c>
      <c r="F16" s="571">
        <f>'Tab 4 Adjustment Details'!F16</f>
        <v>0</v>
      </c>
      <c r="G16" s="571">
        <f>'Tab 4 Adjustment Details'!G16</f>
        <v>0</v>
      </c>
      <c r="H16" s="571">
        <f>'Tab 4 Adjustment Details'!H16</f>
        <v>0</v>
      </c>
      <c r="I16" s="571">
        <f>'Tab 4 Adjustment Details'!I16</f>
        <v>0</v>
      </c>
      <c r="J16" s="571">
        <f>'Tab 4 Adjustment Details'!J16</f>
        <v>0</v>
      </c>
      <c r="K16" s="571">
        <f>'Tab 4 Adjustment Details'!K16</f>
        <v>0</v>
      </c>
      <c r="L16" s="571">
        <f>'Tab 4 Adjustment Details'!L16</f>
        <v>0</v>
      </c>
      <c r="M16" s="571">
        <f>'Tab 4 Adjustment Details'!M16</f>
        <v>0</v>
      </c>
      <c r="N16" s="571">
        <f>'Tab 4 Adjustment Details'!N16</f>
        <v>0</v>
      </c>
      <c r="O16" s="571">
        <f>'Tab 4 Adjustment Details'!O16</f>
        <v>0</v>
      </c>
      <c r="P16" s="571">
        <f>'Tab 4 Adjustment Details'!P16</f>
        <v>0</v>
      </c>
      <c r="Q16" s="571">
        <f>'Tab 4 Adjustment Details'!Q16</f>
        <v>0</v>
      </c>
      <c r="R16" s="571">
        <f>'Tab 4 Adjustment Details'!R16</f>
        <v>0</v>
      </c>
      <c r="S16" s="571">
        <f>'Tab 4 Adjustment Details'!S16</f>
        <v>0</v>
      </c>
      <c r="T16" s="571">
        <f>'Tab 4 Adjustment Details'!T16</f>
        <v>0</v>
      </c>
      <c r="U16" s="571">
        <f>'Tab 4 Adjustment Details'!U16</f>
        <v>0</v>
      </c>
      <c r="V16" s="571">
        <f>'Tab 4 Adjustment Details'!V16</f>
        <v>0</v>
      </c>
      <c r="W16" s="571">
        <f>'Tab 4 Adjustment Details'!W16</f>
        <v>0</v>
      </c>
      <c r="X16" s="571">
        <f>'Tab 4 Adjustment Details'!X16</f>
        <v>0</v>
      </c>
      <c r="Y16" s="571">
        <f>'Tab 4 Adjustment Details'!Y16</f>
        <v>0</v>
      </c>
      <c r="Z16" s="571">
        <f>'Tab 4 Adjustment Details'!Z16</f>
        <v>-20773</v>
      </c>
      <c r="AA16" s="571">
        <f>'Tab 4 Adjustment Details'!AD16</f>
        <v>0</v>
      </c>
      <c r="AB16" s="571">
        <f>'Tab 4 Adjustment Details'!AE16</f>
        <v>0</v>
      </c>
      <c r="AC16" s="571">
        <f>'Tab 4 Adjustment Details'!AF16</f>
        <v>0</v>
      </c>
      <c r="AD16" s="571">
        <f>'Tab 4 Adjustment Details'!AG16</f>
        <v>0</v>
      </c>
      <c r="AE16" s="571">
        <f>'Tab 4 Adjustment Details'!AH16</f>
        <v>0</v>
      </c>
      <c r="AF16" s="571">
        <f>'Tab 4 Adjustment Details'!AI16</f>
        <v>0</v>
      </c>
      <c r="AG16" s="571">
        <f>'Tab 4 Adjustment Details'!AJ16</f>
        <v>0</v>
      </c>
      <c r="AH16" s="571">
        <f>'Tab 4 Adjustment Details'!AK16</f>
        <v>0</v>
      </c>
      <c r="AI16" s="571">
        <f>'Tab 4 Adjustment Details'!AL16</f>
        <v>0</v>
      </c>
      <c r="AJ16" s="571">
        <f>'Tab 4 Adjustment Details'!AM16</f>
        <v>0</v>
      </c>
      <c r="AK16" s="571">
        <f>'Tab 4 Adjustment Details'!AN16</f>
        <v>0</v>
      </c>
      <c r="AL16" s="571">
        <f>'Tab 4 Adjustment Details'!AO16</f>
        <v>0</v>
      </c>
      <c r="AM16" s="571">
        <f>'Tab 4 Adjustment Details'!AP16</f>
        <v>0</v>
      </c>
      <c r="AN16" s="571">
        <f>'Tab 4 Adjustment Details'!AQ16</f>
        <v>0</v>
      </c>
      <c r="AO16" s="571">
        <f>'Tab 4 Adjustment Details'!AS16</f>
        <v>0</v>
      </c>
      <c r="AP16" s="571" t="e">
        <f>'Tab 4 Adjustment Details'!#REF!</f>
        <v>#REF!</v>
      </c>
    </row>
    <row r="17" spans="1:42" s="548" customFormat="1">
      <c r="A17" s="546">
        <f ca="1">'Tab 4 Adjustment Details'!A17</f>
        <v>4</v>
      </c>
      <c r="B17" s="548" t="str">
        <f>'Tab 4 Adjustment Details'!B17</f>
        <v xml:space="preserve">Total Sales of Electricity  </v>
      </c>
      <c r="E17" s="551">
        <f>'Tab 4 Adjustment Details'!E17</f>
        <v>595377</v>
      </c>
      <c r="F17" s="559">
        <f>'Tab 4 Adjustment Details'!F17</f>
        <v>0</v>
      </c>
      <c r="G17" s="559">
        <f>'Tab 4 Adjustment Details'!G17</f>
        <v>0</v>
      </c>
      <c r="H17" s="559">
        <f>'Tab 4 Adjustment Details'!H17</f>
        <v>0</v>
      </c>
      <c r="I17" s="559">
        <f>'Tab 4 Adjustment Details'!I17</f>
        <v>-17807</v>
      </c>
      <c r="J17" s="559">
        <f>'Tab 4 Adjustment Details'!J17</f>
        <v>0</v>
      </c>
      <c r="K17" s="559">
        <f>'Tab 4 Adjustment Details'!K17</f>
        <v>0</v>
      </c>
      <c r="L17" s="559">
        <f>'Tab 4 Adjustment Details'!L17</f>
        <v>0</v>
      </c>
      <c r="M17" s="559">
        <f>'Tab 4 Adjustment Details'!M17</f>
        <v>0</v>
      </c>
      <c r="N17" s="559">
        <f>'Tab 4 Adjustment Details'!N17</f>
        <v>0</v>
      </c>
      <c r="O17" s="559">
        <f>'Tab 4 Adjustment Details'!O17</f>
        <v>0</v>
      </c>
      <c r="P17" s="559">
        <f>'Tab 4 Adjustment Details'!P17</f>
        <v>0</v>
      </c>
      <c r="Q17" s="559">
        <f>'Tab 4 Adjustment Details'!Q17</f>
        <v>0</v>
      </c>
      <c r="R17" s="559">
        <f>'Tab 4 Adjustment Details'!R17</f>
        <v>7392</v>
      </c>
      <c r="S17" s="559">
        <f>'Tab 4 Adjustment Details'!S17</f>
        <v>-18203</v>
      </c>
      <c r="T17" s="559">
        <f>'Tab 4 Adjustment Details'!T17</f>
        <v>0</v>
      </c>
      <c r="U17" s="559">
        <f>'Tab 4 Adjustment Details'!U17</f>
        <v>4698</v>
      </c>
      <c r="V17" s="559">
        <f>'Tab 4 Adjustment Details'!V17</f>
        <v>0</v>
      </c>
      <c r="W17" s="559">
        <f>'Tab 4 Adjustment Details'!W17</f>
        <v>0</v>
      </c>
      <c r="X17" s="559">
        <f>'Tab 4 Adjustment Details'!X17</f>
        <v>0</v>
      </c>
      <c r="Y17" s="559">
        <f>'Tab 4 Adjustment Details'!Y17</f>
        <v>0</v>
      </c>
      <c r="Z17" s="559">
        <f>'Tab 4 Adjustment Details'!Z17</f>
        <v>-20773</v>
      </c>
      <c r="AA17" s="559">
        <f>'Tab 4 Adjustment Details'!AD17</f>
        <v>0</v>
      </c>
      <c r="AB17" s="559">
        <f>'Tab 4 Adjustment Details'!AE17</f>
        <v>0</v>
      </c>
      <c r="AC17" s="559">
        <f>'Tab 4 Adjustment Details'!AF17</f>
        <v>0</v>
      </c>
      <c r="AD17" s="559">
        <f>'Tab 4 Adjustment Details'!AG17</f>
        <v>0</v>
      </c>
      <c r="AE17" s="559">
        <f>'Tab 4 Adjustment Details'!AH17</f>
        <v>0</v>
      </c>
      <c r="AF17" s="559">
        <f>'Tab 4 Adjustment Details'!AI17</f>
        <v>0</v>
      </c>
      <c r="AG17" s="559">
        <f>'Tab 4 Adjustment Details'!AJ17</f>
        <v>0</v>
      </c>
      <c r="AH17" s="559">
        <f>'Tab 4 Adjustment Details'!AK17</f>
        <v>-1225</v>
      </c>
      <c r="AI17" s="559">
        <f>'Tab 4 Adjustment Details'!AL17</f>
        <v>0</v>
      </c>
      <c r="AJ17" s="559">
        <f>'Tab 4 Adjustment Details'!AM17</f>
        <v>0</v>
      </c>
      <c r="AK17" s="559">
        <f>'Tab 4 Adjustment Details'!AN17</f>
        <v>0</v>
      </c>
      <c r="AL17" s="559">
        <f>'Tab 4 Adjustment Details'!AO17</f>
        <v>0</v>
      </c>
      <c r="AM17" s="559">
        <f>'Tab 4 Adjustment Details'!AP17</f>
        <v>0</v>
      </c>
      <c r="AN17" s="559">
        <f>'Tab 4 Adjustment Details'!AQ17</f>
        <v>0</v>
      </c>
      <c r="AO17" s="559">
        <f>'Tab 4 Adjustment Details'!AS17</f>
        <v>0</v>
      </c>
      <c r="AP17" s="559" t="e">
        <f>'Tab 4 Adjustment Details'!#REF!</f>
        <v>#REF!</v>
      </c>
    </row>
    <row r="18" spans="1:42" s="548" customFormat="1">
      <c r="A18" s="546">
        <f ca="1">'Tab 4 Adjustment Details'!A18</f>
        <v>5</v>
      </c>
      <c r="B18" s="548" t="str">
        <f>'Tab 4 Adjustment Details'!B18</f>
        <v xml:space="preserve">Other Revenue  </v>
      </c>
      <c r="E18" s="581">
        <f>'Tab 4 Adjustment Details'!E18</f>
        <v>81735</v>
      </c>
      <c r="F18" s="571">
        <f>'Tab 4 Adjustment Details'!F18</f>
        <v>0</v>
      </c>
      <c r="G18" s="571">
        <f>'Tab 4 Adjustment Details'!G18</f>
        <v>0</v>
      </c>
      <c r="H18" s="571">
        <f>'Tab 4 Adjustment Details'!H18</f>
        <v>0</v>
      </c>
      <c r="I18" s="571">
        <f>'Tab 4 Adjustment Details'!I18</f>
        <v>-14</v>
      </c>
      <c r="J18" s="571">
        <f>'Tab 4 Adjustment Details'!J18</f>
        <v>0</v>
      </c>
      <c r="K18" s="571">
        <f>'Tab 4 Adjustment Details'!K18</f>
        <v>0</v>
      </c>
      <c r="L18" s="571">
        <f>'Tab 4 Adjustment Details'!L18</f>
        <v>0</v>
      </c>
      <c r="M18" s="571">
        <f>'Tab 4 Adjustment Details'!M18</f>
        <v>0</v>
      </c>
      <c r="N18" s="571">
        <f>'Tab 4 Adjustment Details'!N18</f>
        <v>0</v>
      </c>
      <c r="O18" s="571">
        <f>'Tab 4 Adjustment Details'!O18</f>
        <v>0</v>
      </c>
      <c r="P18" s="571">
        <f>'Tab 4 Adjustment Details'!P18</f>
        <v>0</v>
      </c>
      <c r="Q18" s="571">
        <f>'Tab 4 Adjustment Details'!Q18</f>
        <v>0</v>
      </c>
      <c r="R18" s="571">
        <f>'Tab 4 Adjustment Details'!R18</f>
        <v>-5775</v>
      </c>
      <c r="S18" s="571">
        <f>'Tab 4 Adjustment Details'!S18</f>
        <v>684</v>
      </c>
      <c r="T18" s="571">
        <f>'Tab 4 Adjustment Details'!T18</f>
        <v>-2566</v>
      </c>
      <c r="U18" s="571">
        <f>'Tab 4 Adjustment Details'!U18</f>
        <v>0</v>
      </c>
      <c r="V18" s="571">
        <f>'Tab 4 Adjustment Details'!V18</f>
        <v>0</v>
      </c>
      <c r="W18" s="571">
        <f>'Tab 4 Adjustment Details'!W18</f>
        <v>0</v>
      </c>
      <c r="X18" s="571">
        <f>'Tab 4 Adjustment Details'!X18</f>
        <v>0</v>
      </c>
      <c r="Y18" s="571">
        <f>'Tab 4 Adjustment Details'!Y18</f>
        <v>0</v>
      </c>
      <c r="Z18" s="571">
        <f>'Tab 4 Adjustment Details'!Z18</f>
        <v>-56948</v>
      </c>
      <c r="AA18" s="571">
        <f>'Tab 4 Adjustment Details'!AD18</f>
        <v>71</v>
      </c>
      <c r="AB18" s="571">
        <f>'Tab 4 Adjustment Details'!AE18</f>
        <v>0</v>
      </c>
      <c r="AC18" s="571">
        <f>'Tab 4 Adjustment Details'!AF18</f>
        <v>0</v>
      </c>
      <c r="AD18" s="571">
        <f>'Tab 4 Adjustment Details'!AG18</f>
        <v>0</v>
      </c>
      <c r="AE18" s="571">
        <f>'Tab 4 Adjustment Details'!AH18</f>
        <v>0</v>
      </c>
      <c r="AF18" s="571">
        <f>'Tab 4 Adjustment Details'!AI18</f>
        <v>0</v>
      </c>
      <c r="AG18" s="571">
        <f>'Tab 4 Adjustment Details'!AJ18</f>
        <v>0</v>
      </c>
      <c r="AH18" s="571">
        <f>'Tab 4 Adjustment Details'!AK18</f>
        <v>-3887</v>
      </c>
      <c r="AI18" s="571">
        <f>'Tab 4 Adjustment Details'!AL18</f>
        <v>0</v>
      </c>
      <c r="AJ18" s="571">
        <f>'Tab 4 Adjustment Details'!AM18</f>
        <v>0</v>
      </c>
      <c r="AK18" s="571">
        <f>'Tab 4 Adjustment Details'!AN18</f>
        <v>0</v>
      </c>
      <c r="AL18" s="571">
        <f>'Tab 4 Adjustment Details'!AO18</f>
        <v>0</v>
      </c>
      <c r="AM18" s="571">
        <f>'Tab 4 Adjustment Details'!AP18</f>
        <v>0</v>
      </c>
      <c r="AN18" s="571">
        <f>'Tab 4 Adjustment Details'!AQ18</f>
        <v>0</v>
      </c>
      <c r="AO18" s="571">
        <f>'Tab 4 Adjustment Details'!AS18</f>
        <v>0</v>
      </c>
      <c r="AP18" s="571" t="e">
        <f>'Tab 4 Adjustment Details'!#REF!</f>
        <v>#REF!</v>
      </c>
    </row>
    <row r="19" spans="1:42" s="548" customFormat="1">
      <c r="A19" s="546">
        <f ca="1">'Tab 4 Adjustment Details'!A19</f>
        <v>6</v>
      </c>
      <c r="B19" s="548" t="str">
        <f>'Tab 4 Adjustment Details'!B19</f>
        <v xml:space="preserve">Total Electric Revenue  </v>
      </c>
      <c r="E19" s="551">
        <f>'Tab 4 Adjustment Details'!E19</f>
        <v>677112</v>
      </c>
      <c r="F19" s="559">
        <f>'Tab 4 Adjustment Details'!F19</f>
        <v>0</v>
      </c>
      <c r="G19" s="559">
        <f>'Tab 4 Adjustment Details'!G19</f>
        <v>0</v>
      </c>
      <c r="H19" s="559">
        <f>'Tab 4 Adjustment Details'!H19</f>
        <v>0</v>
      </c>
      <c r="I19" s="559">
        <f>'Tab 4 Adjustment Details'!I19</f>
        <v>-17821</v>
      </c>
      <c r="J19" s="559">
        <f>'Tab 4 Adjustment Details'!J19</f>
        <v>0</v>
      </c>
      <c r="K19" s="559">
        <f>'Tab 4 Adjustment Details'!K19</f>
        <v>0</v>
      </c>
      <c r="L19" s="559">
        <f>'Tab 4 Adjustment Details'!L19</f>
        <v>0</v>
      </c>
      <c r="M19" s="559">
        <f>'Tab 4 Adjustment Details'!M19</f>
        <v>0</v>
      </c>
      <c r="N19" s="559">
        <f>'Tab 4 Adjustment Details'!N19</f>
        <v>0</v>
      </c>
      <c r="O19" s="559">
        <f>'Tab 4 Adjustment Details'!O19</f>
        <v>0</v>
      </c>
      <c r="P19" s="559">
        <f>'Tab 4 Adjustment Details'!P19</f>
        <v>0</v>
      </c>
      <c r="Q19" s="559">
        <f>'Tab 4 Adjustment Details'!Q19</f>
        <v>0</v>
      </c>
      <c r="R19" s="559">
        <f>'Tab 4 Adjustment Details'!R19</f>
        <v>1617</v>
      </c>
      <c r="S19" s="559">
        <f>'Tab 4 Adjustment Details'!S19</f>
        <v>-17519</v>
      </c>
      <c r="T19" s="559">
        <f>'Tab 4 Adjustment Details'!T19</f>
        <v>-2566</v>
      </c>
      <c r="U19" s="559">
        <f>'Tab 4 Adjustment Details'!U19</f>
        <v>4698</v>
      </c>
      <c r="V19" s="559">
        <f>'Tab 4 Adjustment Details'!V19</f>
        <v>0</v>
      </c>
      <c r="W19" s="559">
        <f>'Tab 4 Adjustment Details'!W19</f>
        <v>0</v>
      </c>
      <c r="X19" s="559">
        <f>'Tab 4 Adjustment Details'!X19</f>
        <v>0</v>
      </c>
      <c r="Y19" s="559">
        <f>'Tab 4 Adjustment Details'!Y19</f>
        <v>0</v>
      </c>
      <c r="Z19" s="559">
        <f>'Tab 4 Adjustment Details'!Z19</f>
        <v>-77721</v>
      </c>
      <c r="AA19" s="559">
        <f>'Tab 4 Adjustment Details'!AD19</f>
        <v>71</v>
      </c>
      <c r="AB19" s="559">
        <f>'Tab 4 Adjustment Details'!AE19</f>
        <v>0</v>
      </c>
      <c r="AC19" s="559">
        <f>'Tab 4 Adjustment Details'!AF19</f>
        <v>0</v>
      </c>
      <c r="AD19" s="559">
        <f>'Tab 4 Adjustment Details'!AG19</f>
        <v>0</v>
      </c>
      <c r="AE19" s="559">
        <f>'Tab 4 Adjustment Details'!AH19</f>
        <v>0</v>
      </c>
      <c r="AF19" s="559">
        <f>'Tab 4 Adjustment Details'!AI19</f>
        <v>0</v>
      </c>
      <c r="AG19" s="559">
        <f>'Tab 4 Adjustment Details'!AJ19</f>
        <v>0</v>
      </c>
      <c r="AH19" s="559">
        <f>'Tab 4 Adjustment Details'!AK19</f>
        <v>-5112</v>
      </c>
      <c r="AI19" s="559">
        <f>'Tab 4 Adjustment Details'!AL19</f>
        <v>0</v>
      </c>
      <c r="AJ19" s="559">
        <f>'Tab 4 Adjustment Details'!AM19</f>
        <v>0</v>
      </c>
      <c r="AK19" s="559">
        <f>'Tab 4 Adjustment Details'!AN19</f>
        <v>0</v>
      </c>
      <c r="AL19" s="559">
        <f>'Tab 4 Adjustment Details'!AO19</f>
        <v>0</v>
      </c>
      <c r="AM19" s="559">
        <f>'Tab 4 Adjustment Details'!AP19</f>
        <v>0</v>
      </c>
      <c r="AN19" s="559">
        <f>'Tab 4 Adjustment Details'!AQ19</f>
        <v>0</v>
      </c>
      <c r="AO19" s="559">
        <f>'Tab 4 Adjustment Details'!AS19</f>
        <v>0</v>
      </c>
      <c r="AP19" s="559" t="e">
        <f>'Tab 4 Adjustment Details'!#REF!</f>
        <v>#REF!</v>
      </c>
    </row>
    <row r="20" spans="1:42" s="548" customFormat="1" ht="6.75" customHeight="1">
      <c r="A20" s="546"/>
      <c r="E20" s="551"/>
      <c r="F20" s="559"/>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59"/>
      <c r="AL20" s="559"/>
      <c r="AM20" s="559"/>
      <c r="AN20" s="559"/>
      <c r="AO20" s="559"/>
      <c r="AP20" s="559"/>
    </row>
    <row r="21" spans="1:42" s="548" customFormat="1">
      <c r="A21" s="546"/>
      <c r="B21" s="548" t="str">
        <f>'Tab 4 Adjustment Details'!B21</f>
        <v xml:space="preserve">EXPENSES  </v>
      </c>
      <c r="E21" s="551"/>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row>
    <row r="22" spans="1:42" s="548" customFormat="1">
      <c r="A22" s="546"/>
      <c r="B22" s="548" t="str">
        <f>'Tab 4 Adjustment Details'!B22</f>
        <v xml:space="preserve">Production and Transmission  </v>
      </c>
      <c r="E22" s="551"/>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row>
    <row r="23" spans="1:42" s="548" customFormat="1">
      <c r="A23" s="546">
        <f ca="1">'Tab 4 Adjustment Details'!A23</f>
        <v>7</v>
      </c>
      <c r="C23" s="548" t="str">
        <f>'Tab 4 Adjustment Details'!C23</f>
        <v xml:space="preserve">Operating Expenses  </v>
      </c>
      <c r="E23" s="551">
        <f>'Tab 4 Adjustment Details'!E23</f>
        <v>184672</v>
      </c>
      <c r="F23" s="559">
        <f>'Tab 4 Adjustment Details'!F23</f>
        <v>0</v>
      </c>
      <c r="G23" s="559">
        <f>'Tab 4 Adjustment Details'!G23</f>
        <v>4</v>
      </c>
      <c r="H23" s="559">
        <f>'Tab 4 Adjustment Details'!H23</f>
        <v>0</v>
      </c>
      <c r="I23" s="559">
        <f>'Tab 4 Adjustment Details'!I23</f>
        <v>0</v>
      </c>
      <c r="J23" s="559">
        <f>'Tab 4 Adjustment Details'!J23</f>
        <v>0</v>
      </c>
      <c r="K23" s="559">
        <f>'Tab 4 Adjustment Details'!K23</f>
        <v>0</v>
      </c>
      <c r="L23" s="559">
        <f>'Tab 4 Adjustment Details'!L23</f>
        <v>0</v>
      </c>
      <c r="M23" s="559">
        <f>'Tab 4 Adjustment Details'!M23</f>
        <v>0</v>
      </c>
      <c r="N23" s="559">
        <f>'Tab 4 Adjustment Details'!N23</f>
        <v>0</v>
      </c>
      <c r="O23" s="559">
        <f>'Tab 4 Adjustment Details'!O23</f>
        <v>0</v>
      </c>
      <c r="P23" s="559">
        <f>'Tab 4 Adjustment Details'!P23</f>
        <v>0</v>
      </c>
      <c r="Q23" s="559">
        <f>'Tab 4 Adjustment Details'!Q23</f>
        <v>0</v>
      </c>
      <c r="R23" s="559">
        <f>'Tab 4 Adjustment Details'!R23</f>
        <v>0</v>
      </c>
      <c r="S23" s="559">
        <f>'Tab 4 Adjustment Details'!S23</f>
        <v>-383</v>
      </c>
      <c r="T23" s="559">
        <f>'Tab 4 Adjustment Details'!T23</f>
        <v>-5</v>
      </c>
      <c r="U23" s="559">
        <f>'Tab 4 Adjustment Details'!U23</f>
        <v>-2270</v>
      </c>
      <c r="V23" s="559">
        <f>'Tab 4 Adjustment Details'!V23</f>
        <v>-4</v>
      </c>
      <c r="W23" s="559">
        <f>'Tab 4 Adjustment Details'!W23</f>
        <v>0</v>
      </c>
      <c r="X23" s="559">
        <f>'Tab 4 Adjustment Details'!X23</f>
        <v>-1174</v>
      </c>
      <c r="Y23" s="559">
        <f>'Tab 4 Adjustment Details'!Y23</f>
        <v>0</v>
      </c>
      <c r="Z23" s="559">
        <f>'Tab 4 Adjustment Details'!Z23</f>
        <v>-46240</v>
      </c>
      <c r="AA23" s="559">
        <f>'Tab 4 Adjustment Details'!AD23</f>
        <v>172</v>
      </c>
      <c r="AB23" s="559">
        <f>'Tab 4 Adjustment Details'!AE23</f>
        <v>538.34</v>
      </c>
      <c r="AC23" s="559">
        <f>'Tab 4 Adjustment Details'!AF23</f>
        <v>0</v>
      </c>
      <c r="AD23" s="559">
        <f>'Tab 4 Adjustment Details'!AG23</f>
        <v>-125</v>
      </c>
      <c r="AE23" s="559">
        <f>'Tab 4 Adjustment Details'!AH23</f>
        <v>0</v>
      </c>
      <c r="AF23" s="559">
        <f>'Tab 4 Adjustment Details'!AI23</f>
        <v>0</v>
      </c>
      <c r="AG23" s="559">
        <f>'Tab 4 Adjustment Details'!AJ23</f>
        <v>0</v>
      </c>
      <c r="AH23" s="559">
        <f>'Tab 4 Adjustment Details'!AK23</f>
        <v>0</v>
      </c>
      <c r="AI23" s="559">
        <f>'Tab 4 Adjustment Details'!AL23</f>
        <v>-248</v>
      </c>
      <c r="AJ23" s="559">
        <f>'Tab 4 Adjustment Details'!AM23</f>
        <v>0</v>
      </c>
      <c r="AK23" s="559">
        <f>'Tab 4 Adjustment Details'!AN23</f>
        <v>0</v>
      </c>
      <c r="AL23" s="559">
        <f>'Tab 4 Adjustment Details'!AO23</f>
        <v>0</v>
      </c>
      <c r="AM23" s="559">
        <f>'Tab 4 Adjustment Details'!AP23</f>
        <v>347</v>
      </c>
      <c r="AN23" s="559">
        <f>'Tab 4 Adjustment Details'!AQ23</f>
        <v>0</v>
      </c>
      <c r="AO23" s="559">
        <f>'Tab 4 Adjustment Details'!AS23</f>
        <v>0</v>
      </c>
      <c r="AP23" s="559" t="e">
        <f>'Tab 4 Adjustment Details'!#REF!</f>
        <v>#REF!</v>
      </c>
    </row>
    <row r="24" spans="1:42" s="548" customFormat="1">
      <c r="A24" s="546">
        <f ca="1">'Tab 4 Adjustment Details'!A24</f>
        <v>8</v>
      </c>
      <c r="C24" s="548" t="str">
        <f>'Tab 4 Adjustment Details'!C24</f>
        <v xml:space="preserve">Purchased Power  </v>
      </c>
      <c r="E24" s="551">
        <f>'Tab 4 Adjustment Details'!E24</f>
        <v>96772</v>
      </c>
      <c r="F24" s="559">
        <f>'Tab 4 Adjustment Details'!F24</f>
        <v>0</v>
      </c>
      <c r="G24" s="559">
        <f>'Tab 4 Adjustment Details'!G24</f>
        <v>0</v>
      </c>
      <c r="H24" s="559">
        <f>'Tab 4 Adjustment Details'!H24</f>
        <v>0</v>
      </c>
      <c r="I24" s="559">
        <f>'Tab 4 Adjustment Details'!I24</f>
        <v>0</v>
      </c>
      <c r="J24" s="559">
        <f>'Tab 4 Adjustment Details'!J24</f>
        <v>0</v>
      </c>
      <c r="K24" s="559">
        <f>'Tab 4 Adjustment Details'!K24</f>
        <v>0</v>
      </c>
      <c r="L24" s="559">
        <f>'Tab 4 Adjustment Details'!L24</f>
        <v>0</v>
      </c>
      <c r="M24" s="559">
        <f>'Tab 4 Adjustment Details'!M24</f>
        <v>0</v>
      </c>
      <c r="N24" s="559">
        <f>'Tab 4 Adjustment Details'!N24</f>
        <v>0</v>
      </c>
      <c r="O24" s="559">
        <f>'Tab 4 Adjustment Details'!O24</f>
        <v>0</v>
      </c>
      <c r="P24" s="559">
        <f>'Tab 4 Adjustment Details'!P24</f>
        <v>0</v>
      </c>
      <c r="Q24" s="559">
        <f>'Tab 4 Adjustment Details'!Q24</f>
        <v>0</v>
      </c>
      <c r="R24" s="559">
        <f>'Tab 4 Adjustment Details'!R24</f>
        <v>0</v>
      </c>
      <c r="S24" s="559">
        <f>'Tab 4 Adjustment Details'!S24</f>
        <v>0</v>
      </c>
      <c r="T24" s="559">
        <f>'Tab 4 Adjustment Details'!T24</f>
        <v>0</v>
      </c>
      <c r="U24" s="559">
        <f>'Tab 4 Adjustment Details'!U24</f>
        <v>0</v>
      </c>
      <c r="V24" s="559">
        <f>'Tab 4 Adjustment Details'!V24</f>
        <v>0</v>
      </c>
      <c r="W24" s="559">
        <f>'Tab 4 Adjustment Details'!W24</f>
        <v>0</v>
      </c>
      <c r="X24" s="559">
        <f>'Tab 4 Adjustment Details'!X24</f>
        <v>0</v>
      </c>
      <c r="Y24" s="559">
        <f>'Tab 4 Adjustment Details'!Y24</f>
        <v>0</v>
      </c>
      <c r="Z24" s="559">
        <f>'Tab 4 Adjustment Details'!Z24</f>
        <v>-19641</v>
      </c>
      <c r="AA24" s="559">
        <f>'Tab 4 Adjustment Details'!AD24</f>
        <v>0</v>
      </c>
      <c r="AB24" s="559">
        <f>'Tab 4 Adjustment Details'!AE24</f>
        <v>0</v>
      </c>
      <c r="AC24" s="559">
        <f>'Tab 4 Adjustment Details'!AF24</f>
        <v>0</v>
      </c>
      <c r="AD24" s="559">
        <f>'Tab 4 Adjustment Details'!AG24</f>
        <v>0</v>
      </c>
      <c r="AE24" s="559">
        <f>'Tab 4 Adjustment Details'!AH24</f>
        <v>0</v>
      </c>
      <c r="AF24" s="559">
        <f>'Tab 4 Adjustment Details'!AI24</f>
        <v>0</v>
      </c>
      <c r="AG24" s="559">
        <f>'Tab 4 Adjustment Details'!AJ24</f>
        <v>0</v>
      </c>
      <c r="AH24" s="559">
        <f>'Tab 4 Adjustment Details'!AK24</f>
        <v>0</v>
      </c>
      <c r="AI24" s="559">
        <f>'Tab 4 Adjustment Details'!AL24</f>
        <v>0</v>
      </c>
      <c r="AJ24" s="559">
        <f>'Tab 4 Adjustment Details'!AM24</f>
        <v>0</v>
      </c>
      <c r="AK24" s="559">
        <f>'Tab 4 Adjustment Details'!AN24</f>
        <v>0</v>
      </c>
      <c r="AL24" s="559">
        <f>'Tab 4 Adjustment Details'!AO24</f>
        <v>0</v>
      </c>
      <c r="AM24" s="559">
        <f>'Tab 4 Adjustment Details'!AP24</f>
        <v>0</v>
      </c>
      <c r="AN24" s="559">
        <f>'Tab 4 Adjustment Details'!AQ24</f>
        <v>0</v>
      </c>
      <c r="AO24" s="559">
        <f>'Tab 4 Adjustment Details'!AS24</f>
        <v>0</v>
      </c>
      <c r="AP24" s="559" t="e">
        <f>'Tab 4 Adjustment Details'!#REF!</f>
        <v>#REF!</v>
      </c>
    </row>
    <row r="25" spans="1:42" s="548" customFormat="1">
      <c r="A25" s="546">
        <f ca="1">'Tab 4 Adjustment Details'!A25</f>
        <v>9</v>
      </c>
      <c r="C25" s="548" t="str">
        <f>'Tab 4 Adjustment Details'!C25</f>
        <v xml:space="preserve">Depreciation/Amortization  </v>
      </c>
      <c r="E25" s="551">
        <f>'Tab 4 Adjustment Details'!E25</f>
        <v>26677</v>
      </c>
      <c r="F25" s="559">
        <f>'Tab 4 Adjustment Details'!F25</f>
        <v>0</v>
      </c>
      <c r="G25" s="559">
        <f>'Tab 4 Adjustment Details'!G25</f>
        <v>0</v>
      </c>
      <c r="H25" s="559">
        <f>'Tab 4 Adjustment Details'!H25</f>
        <v>0</v>
      </c>
      <c r="I25" s="559">
        <f>'Tab 4 Adjustment Details'!I25</f>
        <v>0</v>
      </c>
      <c r="J25" s="559">
        <f>'Tab 4 Adjustment Details'!J25</f>
        <v>0</v>
      </c>
      <c r="K25" s="559">
        <f>'Tab 4 Adjustment Details'!K25</f>
        <v>0</v>
      </c>
      <c r="L25" s="559">
        <f>'Tab 4 Adjustment Details'!L25</f>
        <v>0</v>
      </c>
      <c r="M25" s="559">
        <f>'Tab 4 Adjustment Details'!M25</f>
        <v>0</v>
      </c>
      <c r="N25" s="559">
        <f>'Tab 4 Adjustment Details'!N25</f>
        <v>0</v>
      </c>
      <c r="O25" s="559">
        <f>'Tab 4 Adjustment Details'!O25</f>
        <v>0</v>
      </c>
      <c r="P25" s="559">
        <f>'Tab 4 Adjustment Details'!P25</f>
        <v>0</v>
      </c>
      <c r="Q25" s="559">
        <f>'Tab 4 Adjustment Details'!Q25</f>
        <v>0</v>
      </c>
      <c r="R25" s="559">
        <f>'Tab 4 Adjustment Details'!R25</f>
        <v>0</v>
      </c>
      <c r="S25" s="559">
        <f>'Tab 4 Adjustment Details'!S25</f>
        <v>0</v>
      </c>
      <c r="T25" s="559">
        <f>'Tab 4 Adjustment Details'!T25</f>
        <v>0</v>
      </c>
      <c r="U25" s="559">
        <f>'Tab 4 Adjustment Details'!U25</f>
        <v>0</v>
      </c>
      <c r="V25" s="559">
        <f>'Tab 4 Adjustment Details'!V25</f>
        <v>0</v>
      </c>
      <c r="W25" s="559">
        <f>'Tab 4 Adjustment Details'!W25</f>
        <v>0</v>
      </c>
      <c r="X25" s="559">
        <f>'Tab 4 Adjustment Details'!X25</f>
        <v>0</v>
      </c>
      <c r="Y25" s="559">
        <f>'Tab 4 Adjustment Details'!Y25</f>
        <v>0</v>
      </c>
      <c r="Z25" s="559">
        <f>'Tab 4 Adjustment Details'!Z25</f>
        <v>0</v>
      </c>
      <c r="AA25" s="559">
        <f>'Tab 4 Adjustment Details'!AD25</f>
        <v>0</v>
      </c>
      <c r="AB25" s="559">
        <f>'Tab 4 Adjustment Details'!AE25</f>
        <v>0</v>
      </c>
      <c r="AC25" s="559">
        <f>'Tab 4 Adjustment Details'!AF25</f>
        <v>0</v>
      </c>
      <c r="AD25" s="559">
        <f>'Tab 4 Adjustment Details'!AG25</f>
        <v>0</v>
      </c>
      <c r="AE25" s="559">
        <f>'Tab 4 Adjustment Details'!AH25</f>
        <v>0</v>
      </c>
      <c r="AF25" s="559">
        <f>'Tab 4 Adjustment Details'!AI25</f>
        <v>0</v>
      </c>
      <c r="AG25" s="559">
        <f>'Tab 4 Adjustment Details'!AJ25</f>
        <v>0</v>
      </c>
      <c r="AH25" s="559">
        <f>'Tab 4 Adjustment Details'!AK25</f>
        <v>0</v>
      </c>
      <c r="AI25" s="559">
        <f>'Tab 4 Adjustment Details'!AL25</f>
        <v>0</v>
      </c>
      <c r="AJ25" s="559">
        <f>'Tab 4 Adjustment Details'!AM25</f>
        <v>129</v>
      </c>
      <c r="AK25" s="559">
        <f>'Tab 4 Adjustment Details'!AN25</f>
        <v>0</v>
      </c>
      <c r="AL25" s="559">
        <f>'Tab 4 Adjustment Details'!AO25</f>
        <v>0</v>
      </c>
      <c r="AM25" s="559">
        <f>'Tab 4 Adjustment Details'!AP25</f>
        <v>0</v>
      </c>
      <c r="AN25" s="559">
        <f>'Tab 4 Adjustment Details'!AQ25</f>
        <v>0</v>
      </c>
      <c r="AO25" s="559">
        <f>'Tab 4 Adjustment Details'!AS25</f>
        <v>0</v>
      </c>
      <c r="AP25" s="559" t="e">
        <f>'Tab 4 Adjustment Details'!#REF!</f>
        <v>#REF!</v>
      </c>
    </row>
    <row r="26" spans="1:42" s="548" customFormat="1">
      <c r="A26" s="546">
        <f ca="1">'Tab 4 Adjustment Details'!A26</f>
        <v>10</v>
      </c>
      <c r="C26" s="551" t="str">
        <f>'Tab 4 Adjustment Details'!C26</f>
        <v>Regulatory Amortization</v>
      </c>
      <c r="D26" s="551"/>
      <c r="E26" s="551">
        <f>'Tab 4 Adjustment Details'!E26</f>
        <v>4310</v>
      </c>
      <c r="F26" s="560">
        <f>'Tab 4 Adjustment Details'!F26</f>
        <v>0</v>
      </c>
      <c r="G26" s="560">
        <f>'Tab 4 Adjustment Details'!G26</f>
        <v>0</v>
      </c>
      <c r="H26" s="560">
        <f>'Tab 4 Adjustment Details'!H26</f>
        <v>0</v>
      </c>
      <c r="I26" s="560">
        <f>'Tab 4 Adjustment Details'!I26</f>
        <v>0</v>
      </c>
      <c r="J26" s="560">
        <f>'Tab 4 Adjustment Details'!J26</f>
        <v>0</v>
      </c>
      <c r="K26" s="560">
        <f>'Tab 4 Adjustment Details'!K26</f>
        <v>0</v>
      </c>
      <c r="L26" s="560">
        <f>'Tab 4 Adjustment Details'!L26</f>
        <v>0</v>
      </c>
      <c r="M26" s="560">
        <f>'Tab 4 Adjustment Details'!M26</f>
        <v>0</v>
      </c>
      <c r="N26" s="560">
        <f>'Tab 4 Adjustment Details'!N26</f>
        <v>0</v>
      </c>
      <c r="O26" s="560">
        <f>'Tab 4 Adjustment Details'!O26</f>
        <v>0</v>
      </c>
      <c r="P26" s="560">
        <f>'Tab 4 Adjustment Details'!P26</f>
        <v>0</v>
      </c>
      <c r="Q26" s="560">
        <f>'Tab 4 Adjustment Details'!Q26</f>
        <v>0</v>
      </c>
      <c r="R26" s="560">
        <f>'Tab 4 Adjustment Details'!R26</f>
        <v>0</v>
      </c>
      <c r="S26" s="560">
        <f>'Tab 4 Adjustment Details'!S26</f>
        <v>395</v>
      </c>
      <c r="T26" s="560">
        <f>'Tab 4 Adjustment Details'!T26</f>
        <v>0</v>
      </c>
      <c r="U26" s="560">
        <f>'Tab 4 Adjustment Details'!U26</f>
        <v>0</v>
      </c>
      <c r="V26" s="560">
        <f>'Tab 4 Adjustment Details'!V26</f>
        <v>0</v>
      </c>
      <c r="W26" s="560">
        <f>'Tab 4 Adjustment Details'!W26</f>
        <v>0</v>
      </c>
      <c r="X26" s="560">
        <f>'Tab 4 Adjustment Details'!X26</f>
        <v>0</v>
      </c>
      <c r="Y26" s="560">
        <f>'Tab 4 Adjustment Details'!Y26</f>
        <v>0</v>
      </c>
      <c r="Z26" s="560">
        <f>'Tab 4 Adjustment Details'!Z26</f>
        <v>0</v>
      </c>
      <c r="AA26" s="560">
        <f>'Tab 4 Adjustment Details'!AD26</f>
        <v>0</v>
      </c>
      <c r="AB26" s="560">
        <f>'Tab 4 Adjustment Details'!AE26</f>
        <v>0</v>
      </c>
      <c r="AC26" s="560">
        <f>'Tab 4 Adjustment Details'!AF26</f>
        <v>0</v>
      </c>
      <c r="AD26" s="560">
        <f>'Tab 4 Adjustment Details'!AG26</f>
        <v>0</v>
      </c>
      <c r="AE26" s="560">
        <f>'Tab 4 Adjustment Details'!AH26</f>
        <v>0</v>
      </c>
      <c r="AF26" s="560">
        <f>'Tab 4 Adjustment Details'!AI26</f>
        <v>0</v>
      </c>
      <c r="AG26" s="560">
        <f>'Tab 4 Adjustment Details'!AJ26</f>
        <v>0</v>
      </c>
      <c r="AH26" s="560">
        <f>'Tab 4 Adjustment Details'!AK26</f>
        <v>0</v>
      </c>
      <c r="AI26" s="560">
        <f>'Tab 4 Adjustment Details'!AL26</f>
        <v>-1393</v>
      </c>
      <c r="AJ26" s="560">
        <f>'Tab 4 Adjustment Details'!AM26</f>
        <v>0</v>
      </c>
      <c r="AK26" s="560">
        <f>'Tab 4 Adjustment Details'!AN26</f>
        <v>0</v>
      </c>
      <c r="AL26" s="560">
        <f>'Tab 4 Adjustment Details'!AO26</f>
        <v>0</v>
      </c>
      <c r="AM26" s="560">
        <f>'Tab 4 Adjustment Details'!AP26</f>
        <v>0</v>
      </c>
      <c r="AN26" s="560">
        <f>'Tab 4 Adjustment Details'!AQ26</f>
        <v>0</v>
      </c>
      <c r="AO26" s="560">
        <f>'Tab 4 Adjustment Details'!AS26</f>
        <v>0</v>
      </c>
      <c r="AP26" s="560" t="e">
        <f>'Tab 4 Adjustment Details'!#REF!</f>
        <v>#REF!</v>
      </c>
    </row>
    <row r="27" spans="1:42" s="548" customFormat="1">
      <c r="A27" s="546">
        <f ca="1">'Tab 4 Adjustment Details'!A27</f>
        <v>11</v>
      </c>
      <c r="C27" s="548" t="str">
        <f>'Tab 4 Adjustment Details'!C27</f>
        <v xml:space="preserve">Taxes  </v>
      </c>
      <c r="E27" s="581">
        <f>'Tab 4 Adjustment Details'!E27</f>
        <v>14904</v>
      </c>
      <c r="F27" s="571">
        <f>'Tab 4 Adjustment Details'!F27</f>
        <v>0</v>
      </c>
      <c r="G27" s="571">
        <f>'Tab 4 Adjustment Details'!G27</f>
        <v>0</v>
      </c>
      <c r="H27" s="571">
        <f>'Tab 4 Adjustment Details'!H27</f>
        <v>0</v>
      </c>
      <c r="I27" s="571">
        <f>'Tab 4 Adjustment Details'!I27</f>
        <v>0</v>
      </c>
      <c r="J27" s="571">
        <f>'Tab 4 Adjustment Details'!J27</f>
        <v>86</v>
      </c>
      <c r="K27" s="571">
        <f>'Tab 4 Adjustment Details'!K27</f>
        <v>0</v>
      </c>
      <c r="L27" s="571">
        <f>'Tab 4 Adjustment Details'!L27</f>
        <v>0</v>
      </c>
      <c r="M27" s="571">
        <f>'Tab 4 Adjustment Details'!M27</f>
        <v>0</v>
      </c>
      <c r="N27" s="571">
        <f>'Tab 4 Adjustment Details'!N27</f>
        <v>0</v>
      </c>
      <c r="O27" s="571">
        <f>'Tab 4 Adjustment Details'!O27</f>
        <v>0</v>
      </c>
      <c r="P27" s="571">
        <f>'Tab 4 Adjustment Details'!P27</f>
        <v>0</v>
      </c>
      <c r="Q27" s="571">
        <f>'Tab 4 Adjustment Details'!Q27</f>
        <v>0</v>
      </c>
      <c r="R27" s="571">
        <f>'Tab 4 Adjustment Details'!R27</f>
        <v>0</v>
      </c>
      <c r="S27" s="571">
        <f>'Tab 4 Adjustment Details'!S27</f>
        <v>0</v>
      </c>
      <c r="T27" s="571">
        <f>'Tab 4 Adjustment Details'!T27</f>
        <v>0</v>
      </c>
      <c r="U27" s="571">
        <f>'Tab 4 Adjustment Details'!U27</f>
        <v>0</v>
      </c>
      <c r="V27" s="571">
        <f>'Tab 4 Adjustment Details'!V27</f>
        <v>0</v>
      </c>
      <c r="W27" s="571">
        <f>'Tab 4 Adjustment Details'!W27</f>
        <v>0</v>
      </c>
      <c r="X27" s="571">
        <f>'Tab 4 Adjustment Details'!X27</f>
        <v>0</v>
      </c>
      <c r="Y27" s="571">
        <f>'Tab 4 Adjustment Details'!Y27</f>
        <v>0</v>
      </c>
      <c r="Z27" s="571">
        <f>'Tab 4 Adjustment Details'!Z27</f>
        <v>0</v>
      </c>
      <c r="AA27" s="571">
        <f>'Tab 4 Adjustment Details'!AD27</f>
        <v>0</v>
      </c>
      <c r="AB27" s="571">
        <f>'Tab 4 Adjustment Details'!AE27</f>
        <v>0</v>
      </c>
      <c r="AC27" s="571">
        <f>'Tab 4 Adjustment Details'!AF27</f>
        <v>0</v>
      </c>
      <c r="AD27" s="571">
        <f>'Tab 4 Adjustment Details'!AG27</f>
        <v>0</v>
      </c>
      <c r="AE27" s="571">
        <f>'Tab 4 Adjustment Details'!AH27</f>
        <v>0</v>
      </c>
      <c r="AF27" s="571">
        <f>'Tab 4 Adjustment Details'!AI27</f>
        <v>1578</v>
      </c>
      <c r="AG27" s="571">
        <f>'Tab 4 Adjustment Details'!AJ27</f>
        <v>0</v>
      </c>
      <c r="AH27" s="571">
        <f>'Tab 4 Adjustment Details'!AK27</f>
        <v>0</v>
      </c>
      <c r="AI27" s="571">
        <f>'Tab 4 Adjustment Details'!AL27</f>
        <v>0</v>
      </c>
      <c r="AJ27" s="571">
        <f>'Tab 4 Adjustment Details'!AM27</f>
        <v>0</v>
      </c>
      <c r="AK27" s="571">
        <f>'Tab 4 Adjustment Details'!AN27</f>
        <v>0</v>
      </c>
      <c r="AL27" s="571">
        <f>'Tab 4 Adjustment Details'!AO27</f>
        <v>0</v>
      </c>
      <c r="AM27" s="571">
        <f>'Tab 4 Adjustment Details'!AP27</f>
        <v>0</v>
      </c>
      <c r="AN27" s="571">
        <f>'Tab 4 Adjustment Details'!AQ27</f>
        <v>0</v>
      </c>
      <c r="AO27" s="571">
        <f>'Tab 4 Adjustment Details'!AS27</f>
        <v>0</v>
      </c>
      <c r="AP27" s="571" t="e">
        <f>'Tab 4 Adjustment Details'!#REF!</f>
        <v>#REF!</v>
      </c>
    </row>
    <row r="28" spans="1:42" s="548" customFormat="1">
      <c r="A28" s="546">
        <f ca="1">'Tab 4 Adjustment Details'!A28</f>
        <v>12</v>
      </c>
      <c r="B28" s="548" t="str">
        <f>'Tab 4 Adjustment Details'!B28</f>
        <v xml:space="preserve">Total Production &amp; Transmission  </v>
      </c>
      <c r="E28" s="551">
        <f>'Tab 4 Adjustment Details'!E28</f>
        <v>327335</v>
      </c>
      <c r="F28" s="559">
        <f>'Tab 4 Adjustment Details'!F28</f>
        <v>0</v>
      </c>
      <c r="G28" s="559">
        <f>'Tab 4 Adjustment Details'!G28</f>
        <v>4</v>
      </c>
      <c r="H28" s="559">
        <f>'Tab 4 Adjustment Details'!H28</f>
        <v>0</v>
      </c>
      <c r="I28" s="559">
        <f>'Tab 4 Adjustment Details'!I28</f>
        <v>0</v>
      </c>
      <c r="J28" s="559">
        <f>'Tab 4 Adjustment Details'!J28</f>
        <v>86</v>
      </c>
      <c r="K28" s="559">
        <f>'Tab 4 Adjustment Details'!K28</f>
        <v>0</v>
      </c>
      <c r="L28" s="559">
        <f>'Tab 4 Adjustment Details'!L28</f>
        <v>0</v>
      </c>
      <c r="M28" s="559">
        <f>'Tab 4 Adjustment Details'!M28</f>
        <v>0</v>
      </c>
      <c r="N28" s="559">
        <f>'Tab 4 Adjustment Details'!N28</f>
        <v>0</v>
      </c>
      <c r="O28" s="559">
        <f>'Tab 4 Adjustment Details'!O28</f>
        <v>0</v>
      </c>
      <c r="P28" s="559">
        <f>'Tab 4 Adjustment Details'!P28</f>
        <v>0</v>
      </c>
      <c r="Q28" s="559">
        <f>'Tab 4 Adjustment Details'!Q28</f>
        <v>0</v>
      </c>
      <c r="R28" s="559">
        <f>'Tab 4 Adjustment Details'!R28</f>
        <v>0</v>
      </c>
      <c r="S28" s="559">
        <f>'Tab 4 Adjustment Details'!S28</f>
        <v>12</v>
      </c>
      <c r="T28" s="559">
        <f>'Tab 4 Adjustment Details'!T28</f>
        <v>-5</v>
      </c>
      <c r="U28" s="559">
        <f>'Tab 4 Adjustment Details'!U28</f>
        <v>-2270</v>
      </c>
      <c r="V28" s="559">
        <f>'Tab 4 Adjustment Details'!V28</f>
        <v>-4</v>
      </c>
      <c r="W28" s="559">
        <f>'Tab 4 Adjustment Details'!W28</f>
        <v>0</v>
      </c>
      <c r="X28" s="559">
        <f>'Tab 4 Adjustment Details'!X28</f>
        <v>-1174</v>
      </c>
      <c r="Y28" s="559">
        <f>'Tab 4 Adjustment Details'!Y28</f>
        <v>0</v>
      </c>
      <c r="Z28" s="559">
        <f>'Tab 4 Adjustment Details'!Z28</f>
        <v>-65881</v>
      </c>
      <c r="AA28" s="559">
        <f>'Tab 4 Adjustment Details'!AD28</f>
        <v>172</v>
      </c>
      <c r="AB28" s="559">
        <f>'Tab 4 Adjustment Details'!AE28</f>
        <v>538.34</v>
      </c>
      <c r="AC28" s="559">
        <f>'Tab 4 Adjustment Details'!AF28</f>
        <v>0</v>
      </c>
      <c r="AD28" s="559">
        <f>'Tab 4 Adjustment Details'!AG28</f>
        <v>-125</v>
      </c>
      <c r="AE28" s="559">
        <f>'Tab 4 Adjustment Details'!AH28</f>
        <v>0</v>
      </c>
      <c r="AF28" s="559">
        <f>'Tab 4 Adjustment Details'!AI28</f>
        <v>1578</v>
      </c>
      <c r="AG28" s="559">
        <f>'Tab 4 Adjustment Details'!AJ28</f>
        <v>0</v>
      </c>
      <c r="AH28" s="559">
        <f>'Tab 4 Adjustment Details'!AK28</f>
        <v>0</v>
      </c>
      <c r="AI28" s="559">
        <f>'Tab 4 Adjustment Details'!AL28</f>
        <v>-1641</v>
      </c>
      <c r="AJ28" s="559">
        <f>'Tab 4 Adjustment Details'!AM28</f>
        <v>129</v>
      </c>
      <c r="AK28" s="559">
        <f>'Tab 4 Adjustment Details'!AN28</f>
        <v>0</v>
      </c>
      <c r="AL28" s="559">
        <f>'Tab 4 Adjustment Details'!AO28</f>
        <v>0</v>
      </c>
      <c r="AM28" s="559">
        <f>'Tab 4 Adjustment Details'!AP28</f>
        <v>347</v>
      </c>
      <c r="AN28" s="559">
        <f>'Tab 4 Adjustment Details'!AQ28</f>
        <v>0</v>
      </c>
      <c r="AO28" s="559">
        <f>'Tab 4 Adjustment Details'!AS28</f>
        <v>0</v>
      </c>
      <c r="AP28" s="559" t="e">
        <f>'Tab 4 Adjustment Details'!#REF!</f>
        <v>#REF!</v>
      </c>
    </row>
    <row r="29" spans="1:42" s="548" customFormat="1" ht="6.75" customHeight="1">
      <c r="A29" s="546"/>
      <c r="E29" s="551"/>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c r="AM29" s="559"/>
      <c r="AN29" s="559"/>
      <c r="AO29" s="559"/>
      <c r="AP29" s="559"/>
    </row>
    <row r="30" spans="1:42" s="548" customFormat="1">
      <c r="A30" s="546"/>
      <c r="B30" s="548" t="str">
        <f>'Tab 4 Adjustment Details'!B30</f>
        <v xml:space="preserve">Distribution  </v>
      </c>
      <c r="E30" s="551"/>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559"/>
      <c r="AN30" s="559"/>
      <c r="AO30" s="559"/>
      <c r="AP30" s="559"/>
    </row>
    <row r="31" spans="1:42" s="548" customFormat="1">
      <c r="A31" s="546">
        <f ca="1">'Tab 4 Adjustment Details'!A31</f>
        <v>13</v>
      </c>
      <c r="C31" s="548" t="str">
        <f>'Tab 4 Adjustment Details'!C31</f>
        <v xml:space="preserve">Operating Expenses  </v>
      </c>
      <c r="E31" s="555">
        <f>'Tab 4 Adjustment Details'!E31</f>
        <v>21420</v>
      </c>
      <c r="F31" s="559">
        <f>'Tab 4 Adjustment Details'!F31</f>
        <v>0</v>
      </c>
      <c r="G31" s="559">
        <f>'Tab 4 Adjustment Details'!G31</f>
        <v>0</v>
      </c>
      <c r="H31" s="559">
        <f>'Tab 4 Adjustment Details'!H31</f>
        <v>0</v>
      </c>
      <c r="I31" s="559">
        <f>'Tab 4 Adjustment Details'!I31</f>
        <v>0</v>
      </c>
      <c r="J31" s="559">
        <f>'Tab 4 Adjustment Details'!J31</f>
        <v>0</v>
      </c>
      <c r="K31" s="559">
        <f>'Tab 4 Adjustment Details'!K31</f>
        <v>0</v>
      </c>
      <c r="L31" s="559">
        <f>'Tab 4 Adjustment Details'!L31</f>
        <v>0</v>
      </c>
      <c r="M31" s="559">
        <f>'Tab 4 Adjustment Details'!M31</f>
        <v>0</v>
      </c>
      <c r="N31" s="559">
        <f>'Tab 4 Adjustment Details'!N31</f>
        <v>0</v>
      </c>
      <c r="O31" s="559">
        <f>'Tab 4 Adjustment Details'!O31</f>
        <v>0</v>
      </c>
      <c r="P31" s="559">
        <f>'Tab 4 Adjustment Details'!P31</f>
        <v>0</v>
      </c>
      <c r="Q31" s="559">
        <f>'Tab 4 Adjustment Details'!Q31</f>
        <v>0</v>
      </c>
      <c r="R31" s="559">
        <f>'Tab 4 Adjustment Details'!R31</f>
        <v>0</v>
      </c>
      <c r="S31" s="559">
        <f>'Tab 4 Adjustment Details'!S31</f>
        <v>0</v>
      </c>
      <c r="T31" s="559">
        <f>'Tab 4 Adjustment Details'!T31</f>
        <v>-2</v>
      </c>
      <c r="U31" s="559">
        <f>'Tab 4 Adjustment Details'!U31</f>
        <v>0</v>
      </c>
      <c r="V31" s="559">
        <f>'Tab 4 Adjustment Details'!V31</f>
        <v>0</v>
      </c>
      <c r="W31" s="559">
        <f>'Tab 4 Adjustment Details'!W31</f>
        <v>0</v>
      </c>
      <c r="X31" s="559">
        <f>'Tab 4 Adjustment Details'!X31</f>
        <v>0</v>
      </c>
      <c r="Y31" s="559">
        <f>'Tab 4 Adjustment Details'!Y31</f>
        <v>0</v>
      </c>
      <c r="Z31" s="559">
        <f>'Tab 4 Adjustment Details'!Z31</f>
        <v>0</v>
      </c>
      <c r="AA31" s="559">
        <f>'Tab 4 Adjustment Details'!AD31</f>
        <v>0</v>
      </c>
      <c r="AB31" s="559">
        <f>'Tab 4 Adjustment Details'!AE31</f>
        <v>327.46899999999999</v>
      </c>
      <c r="AC31" s="559">
        <f>'Tab 4 Adjustment Details'!AF31</f>
        <v>0</v>
      </c>
      <c r="AD31" s="559">
        <f>'Tab 4 Adjustment Details'!AG31</f>
        <v>-77</v>
      </c>
      <c r="AE31" s="559">
        <f>'Tab 4 Adjustment Details'!AH31</f>
        <v>0</v>
      </c>
      <c r="AF31" s="559">
        <f>'Tab 4 Adjustment Details'!AI31</f>
        <v>0</v>
      </c>
      <c r="AG31" s="559">
        <f>'Tab 4 Adjustment Details'!AJ31</f>
        <v>0</v>
      </c>
      <c r="AH31" s="559">
        <f>'Tab 4 Adjustment Details'!AK31</f>
        <v>0</v>
      </c>
      <c r="AI31" s="559">
        <f>'Tab 4 Adjustment Details'!AL31</f>
        <v>0</v>
      </c>
      <c r="AJ31" s="559">
        <f>'Tab 4 Adjustment Details'!AM31</f>
        <v>0</v>
      </c>
      <c r="AK31" s="559">
        <f>'Tab 4 Adjustment Details'!AN31</f>
        <v>0</v>
      </c>
      <c r="AL31" s="559">
        <f>'Tab 4 Adjustment Details'!AO31</f>
        <v>0</v>
      </c>
      <c r="AM31" s="559">
        <f>'Tab 4 Adjustment Details'!AP31</f>
        <v>0</v>
      </c>
      <c r="AN31" s="559">
        <f>'Tab 4 Adjustment Details'!AQ31</f>
        <v>532</v>
      </c>
      <c r="AO31" s="559">
        <f>'Tab 4 Adjustment Details'!AS31</f>
        <v>0</v>
      </c>
      <c r="AP31" s="559" t="e">
        <f>'Tab 4 Adjustment Details'!#REF!</f>
        <v>#REF!</v>
      </c>
    </row>
    <row r="32" spans="1:42" s="548" customFormat="1">
      <c r="A32" s="546">
        <f ca="1">'Tab 4 Adjustment Details'!A32</f>
        <v>14</v>
      </c>
      <c r="C32" s="548" t="str">
        <f>'Tab 4 Adjustment Details'!C32</f>
        <v>Depreciation/Amortization</v>
      </c>
      <c r="E32" s="555">
        <f>'Tab 4 Adjustment Details'!E32</f>
        <v>27913</v>
      </c>
      <c r="F32" s="559">
        <f>'Tab 4 Adjustment Details'!F32</f>
        <v>0</v>
      </c>
      <c r="G32" s="559">
        <f>'Tab 4 Adjustment Details'!G32</f>
        <v>0</v>
      </c>
      <c r="H32" s="559">
        <f>'Tab 4 Adjustment Details'!H32</f>
        <v>0</v>
      </c>
      <c r="I32" s="559">
        <f>'Tab 4 Adjustment Details'!I32</f>
        <v>0</v>
      </c>
      <c r="J32" s="559">
        <f>'Tab 4 Adjustment Details'!J32</f>
        <v>0</v>
      </c>
      <c r="K32" s="559">
        <f>'Tab 4 Adjustment Details'!K32</f>
        <v>0</v>
      </c>
      <c r="L32" s="559">
        <f>'Tab 4 Adjustment Details'!L32</f>
        <v>0</v>
      </c>
      <c r="M32" s="559">
        <f>'Tab 4 Adjustment Details'!M32</f>
        <v>0</v>
      </c>
      <c r="N32" s="559">
        <f>'Tab 4 Adjustment Details'!N32</f>
        <v>0</v>
      </c>
      <c r="O32" s="559">
        <f>'Tab 4 Adjustment Details'!O32</f>
        <v>0</v>
      </c>
      <c r="P32" s="559">
        <f>'Tab 4 Adjustment Details'!P32</f>
        <v>0</v>
      </c>
      <c r="Q32" s="559">
        <f>'Tab 4 Adjustment Details'!Q32</f>
        <v>-94</v>
      </c>
      <c r="R32" s="559">
        <f>'Tab 4 Adjustment Details'!R32</f>
        <v>0</v>
      </c>
      <c r="S32" s="559">
        <f>'Tab 4 Adjustment Details'!S32</f>
        <v>0</v>
      </c>
      <c r="T32" s="559">
        <f>'Tab 4 Adjustment Details'!T32</f>
        <v>0</v>
      </c>
      <c r="U32" s="559">
        <f>'Tab 4 Adjustment Details'!U32</f>
        <v>0</v>
      </c>
      <c r="V32" s="559">
        <f>'Tab 4 Adjustment Details'!V32</f>
        <v>0</v>
      </c>
      <c r="W32" s="559">
        <f>'Tab 4 Adjustment Details'!W32</f>
        <v>0</v>
      </c>
      <c r="X32" s="559">
        <f>'Tab 4 Adjustment Details'!X32</f>
        <v>0</v>
      </c>
      <c r="Y32" s="559">
        <f>'Tab 4 Adjustment Details'!Y32</f>
        <v>0</v>
      </c>
      <c r="Z32" s="559">
        <f>'Tab 4 Adjustment Details'!Z32</f>
        <v>0</v>
      </c>
      <c r="AA32" s="559">
        <f>'Tab 4 Adjustment Details'!AD32</f>
        <v>0</v>
      </c>
      <c r="AB32" s="559">
        <f>'Tab 4 Adjustment Details'!AE32</f>
        <v>0</v>
      </c>
      <c r="AC32" s="559">
        <f>'Tab 4 Adjustment Details'!AF32</f>
        <v>0</v>
      </c>
      <c r="AD32" s="559">
        <f>'Tab 4 Adjustment Details'!AG32</f>
        <v>0</v>
      </c>
      <c r="AE32" s="559">
        <f>'Tab 4 Adjustment Details'!AH32</f>
        <v>0</v>
      </c>
      <c r="AF32" s="559">
        <f>'Tab 4 Adjustment Details'!AI32</f>
        <v>0</v>
      </c>
      <c r="AG32" s="559">
        <f>'Tab 4 Adjustment Details'!AJ32</f>
        <v>0</v>
      </c>
      <c r="AH32" s="559">
        <f>'Tab 4 Adjustment Details'!AK32</f>
        <v>0</v>
      </c>
      <c r="AI32" s="559">
        <f>'Tab 4 Adjustment Details'!AL32</f>
        <v>0</v>
      </c>
      <c r="AJ32" s="559">
        <f>'Tab 4 Adjustment Details'!AM32</f>
        <v>0</v>
      </c>
      <c r="AK32" s="559">
        <f>'Tab 4 Adjustment Details'!AN32</f>
        <v>-875</v>
      </c>
      <c r="AL32" s="559">
        <f>'Tab 4 Adjustment Details'!AO32</f>
        <v>0</v>
      </c>
      <c r="AM32" s="559">
        <f>'Tab 4 Adjustment Details'!AP32</f>
        <v>0</v>
      </c>
      <c r="AN32" s="559">
        <f>'Tab 4 Adjustment Details'!AQ32</f>
        <v>0</v>
      </c>
      <c r="AO32" s="559">
        <f>'Tab 4 Adjustment Details'!AS32</f>
        <v>0</v>
      </c>
      <c r="AP32" s="559" t="e">
        <f>'Tab 4 Adjustment Details'!#REF!</f>
        <v>#REF!</v>
      </c>
    </row>
    <row r="33" spans="1:42" s="548" customFormat="1">
      <c r="A33" s="546">
        <f ca="1">'Tab 4 Adjustment Details'!A33</f>
        <v>15</v>
      </c>
      <c r="C33" s="548" t="str">
        <f>'Tab 4 Adjustment Details'!C33</f>
        <v>Regulatory Amortization</v>
      </c>
      <c r="E33" s="555">
        <f>'Tab 4 Adjustment Details'!E33</f>
        <v>0</v>
      </c>
      <c r="F33" s="559">
        <f>'Tab 4 Adjustment Details'!F33</f>
        <v>0</v>
      </c>
      <c r="G33" s="559">
        <f>'Tab 4 Adjustment Details'!G33</f>
        <v>0</v>
      </c>
      <c r="H33" s="559">
        <f>'Tab 4 Adjustment Details'!H33</f>
        <v>0</v>
      </c>
      <c r="I33" s="559">
        <f>'Tab 4 Adjustment Details'!I33</f>
        <v>0</v>
      </c>
      <c r="J33" s="559">
        <f>'Tab 4 Adjustment Details'!J33</f>
        <v>0</v>
      </c>
      <c r="K33" s="559">
        <f>'Tab 4 Adjustment Details'!K33</f>
        <v>0</v>
      </c>
      <c r="L33" s="559">
        <f>'Tab 4 Adjustment Details'!L33</f>
        <v>0</v>
      </c>
      <c r="M33" s="559">
        <f>'Tab 4 Adjustment Details'!M33</f>
        <v>0</v>
      </c>
      <c r="N33" s="559">
        <f>'Tab 4 Adjustment Details'!N33</f>
        <v>0</v>
      </c>
      <c r="O33" s="559">
        <f>'Tab 4 Adjustment Details'!O33</f>
        <v>0</v>
      </c>
      <c r="P33" s="559">
        <f>'Tab 4 Adjustment Details'!P33</f>
        <v>0</v>
      </c>
      <c r="Q33" s="559">
        <f>'Tab 4 Adjustment Details'!Q33</f>
        <v>0</v>
      </c>
      <c r="R33" s="559">
        <f>'Tab 4 Adjustment Details'!R33</f>
        <v>0</v>
      </c>
      <c r="S33" s="559">
        <f>'Tab 4 Adjustment Details'!S33</f>
        <v>0</v>
      </c>
      <c r="T33" s="559">
        <f>'Tab 4 Adjustment Details'!T33</f>
        <v>0</v>
      </c>
      <c r="U33" s="559">
        <f>'Tab 4 Adjustment Details'!U33</f>
        <v>0</v>
      </c>
      <c r="V33" s="559">
        <f>'Tab 4 Adjustment Details'!V33</f>
        <v>0</v>
      </c>
      <c r="W33" s="559">
        <f>'Tab 4 Adjustment Details'!W33</f>
        <v>0</v>
      </c>
      <c r="X33" s="559">
        <f>'Tab 4 Adjustment Details'!X33</f>
        <v>0</v>
      </c>
      <c r="Y33" s="559">
        <f>'Tab 4 Adjustment Details'!Y33</f>
        <v>0</v>
      </c>
      <c r="Z33" s="559">
        <f>'Tab 4 Adjustment Details'!Z33</f>
        <v>0</v>
      </c>
      <c r="AA33" s="559">
        <f>'Tab 4 Adjustment Details'!AD33</f>
        <v>0</v>
      </c>
      <c r="AB33" s="559">
        <f>'Tab 4 Adjustment Details'!AE33</f>
        <v>0</v>
      </c>
      <c r="AC33" s="559">
        <f>'Tab 4 Adjustment Details'!AF33</f>
        <v>0</v>
      </c>
      <c r="AD33" s="559">
        <f>'Tab 4 Adjustment Details'!AG33</f>
        <v>0</v>
      </c>
      <c r="AE33" s="559">
        <f>'Tab 4 Adjustment Details'!AH33</f>
        <v>0</v>
      </c>
      <c r="AF33" s="559">
        <f>'Tab 4 Adjustment Details'!AI33</f>
        <v>0</v>
      </c>
      <c r="AG33" s="559">
        <f>'Tab 4 Adjustment Details'!AJ33</f>
        <v>0</v>
      </c>
      <c r="AH33" s="559">
        <f>'Tab 4 Adjustment Details'!AK33</f>
        <v>0</v>
      </c>
      <c r="AI33" s="559">
        <f>'Tab 4 Adjustment Details'!AL33</f>
        <v>0</v>
      </c>
      <c r="AJ33" s="559">
        <f>'Tab 4 Adjustment Details'!AM33</f>
        <v>0</v>
      </c>
      <c r="AK33" s="559">
        <f>'Tab 4 Adjustment Details'!AN33</f>
        <v>0</v>
      </c>
      <c r="AL33" s="559">
        <f>'Tab 4 Adjustment Details'!AO33</f>
        <v>0</v>
      </c>
      <c r="AM33" s="559">
        <f>'Tab 4 Adjustment Details'!AP33</f>
        <v>0</v>
      </c>
      <c r="AN33" s="559">
        <f>'Tab 4 Adjustment Details'!AQ33</f>
        <v>0</v>
      </c>
      <c r="AO33" s="559">
        <f>'Tab 4 Adjustment Details'!AS33</f>
        <v>0</v>
      </c>
      <c r="AP33" s="559" t="e">
        <f>'Tab 4 Adjustment Details'!#REF!</f>
        <v>#REF!</v>
      </c>
    </row>
    <row r="34" spans="1:42" s="548" customFormat="1">
      <c r="A34" s="546">
        <f ca="1">'Tab 4 Adjustment Details'!A34</f>
        <v>16</v>
      </c>
      <c r="C34" s="548" t="str">
        <f>'Tab 4 Adjustment Details'!C34</f>
        <v xml:space="preserve">Taxes  </v>
      </c>
      <c r="E34" s="581">
        <f>'Tab 4 Adjustment Details'!E34</f>
        <v>45258</v>
      </c>
      <c r="F34" s="571">
        <f>'Tab 4 Adjustment Details'!F34</f>
        <v>0</v>
      </c>
      <c r="G34" s="571">
        <f>'Tab 4 Adjustment Details'!G34</f>
        <v>0</v>
      </c>
      <c r="H34" s="571">
        <f>'Tab 4 Adjustment Details'!H34</f>
        <v>0</v>
      </c>
      <c r="I34" s="571">
        <f>'Tab 4 Adjustment Details'!I34</f>
        <v>-17674</v>
      </c>
      <c r="J34" s="571">
        <f>'Tab 4 Adjustment Details'!J34</f>
        <v>-336</v>
      </c>
      <c r="K34" s="571">
        <f>'Tab 4 Adjustment Details'!K34</f>
        <v>0</v>
      </c>
      <c r="L34" s="571">
        <f>'Tab 4 Adjustment Details'!L34</f>
        <v>0</v>
      </c>
      <c r="M34" s="571">
        <f>'Tab 4 Adjustment Details'!M34</f>
        <v>0</v>
      </c>
      <c r="N34" s="571">
        <f>'Tab 4 Adjustment Details'!N34</f>
        <v>0</v>
      </c>
      <c r="O34" s="571">
        <f>'Tab 4 Adjustment Details'!O34</f>
        <v>0</v>
      </c>
      <c r="P34" s="571">
        <f>'Tab 4 Adjustment Details'!P34</f>
        <v>-62</v>
      </c>
      <c r="Q34" s="571">
        <f>'Tab 4 Adjustment Details'!Q34</f>
        <v>0</v>
      </c>
      <c r="R34" s="571">
        <f>'Tab 4 Adjustment Details'!R34</f>
        <v>284</v>
      </c>
      <c r="S34" s="571">
        <f>'Tab 4 Adjustment Details'!S34</f>
        <v>-700</v>
      </c>
      <c r="T34" s="571">
        <f>'Tab 4 Adjustment Details'!T34</f>
        <v>0</v>
      </c>
      <c r="U34" s="571">
        <f>'Tab 4 Adjustment Details'!U34</f>
        <v>181</v>
      </c>
      <c r="V34" s="571">
        <f>'Tab 4 Adjustment Details'!V34</f>
        <v>0</v>
      </c>
      <c r="W34" s="571">
        <f>'Tab 4 Adjustment Details'!W34</f>
        <v>0</v>
      </c>
      <c r="X34" s="571">
        <f>'Tab 4 Adjustment Details'!X34</f>
        <v>0</v>
      </c>
      <c r="Y34" s="571">
        <f>'Tab 4 Adjustment Details'!Y34</f>
        <v>0</v>
      </c>
      <c r="Z34" s="571">
        <f>'Tab 4 Adjustment Details'!Z34</f>
        <v>0</v>
      </c>
      <c r="AA34" s="571">
        <f>'Tab 4 Adjustment Details'!AD34</f>
        <v>0</v>
      </c>
      <c r="AB34" s="571">
        <f>'Tab 4 Adjustment Details'!AE34</f>
        <v>0</v>
      </c>
      <c r="AC34" s="571">
        <f>'Tab 4 Adjustment Details'!AF34</f>
        <v>0</v>
      </c>
      <c r="AD34" s="571">
        <f>'Tab 4 Adjustment Details'!AG34</f>
        <v>0</v>
      </c>
      <c r="AE34" s="571">
        <f>'Tab 4 Adjustment Details'!AH34</f>
        <v>0</v>
      </c>
      <c r="AF34" s="571">
        <f>'Tab 4 Adjustment Details'!AI34</f>
        <v>880</v>
      </c>
      <c r="AG34" s="571">
        <f>'Tab 4 Adjustment Details'!AJ34</f>
        <v>0</v>
      </c>
      <c r="AH34" s="571">
        <f>'Tab 4 Adjustment Details'!AK34</f>
        <v>-47</v>
      </c>
      <c r="AI34" s="571">
        <f>'Tab 4 Adjustment Details'!AL34</f>
        <v>0</v>
      </c>
      <c r="AJ34" s="571">
        <f>'Tab 4 Adjustment Details'!AM34</f>
        <v>0</v>
      </c>
      <c r="AK34" s="571">
        <f>'Tab 4 Adjustment Details'!AN34</f>
        <v>0</v>
      </c>
      <c r="AL34" s="571">
        <f>'Tab 4 Adjustment Details'!AO34</f>
        <v>0</v>
      </c>
      <c r="AM34" s="571">
        <f>'Tab 4 Adjustment Details'!AP34</f>
        <v>0</v>
      </c>
      <c r="AN34" s="571">
        <f>'Tab 4 Adjustment Details'!AQ34</f>
        <v>0</v>
      </c>
      <c r="AO34" s="571">
        <f>'Tab 4 Adjustment Details'!AS34</f>
        <v>0</v>
      </c>
      <c r="AP34" s="571" t="e">
        <f>'Tab 4 Adjustment Details'!#REF!</f>
        <v>#REF!</v>
      </c>
    </row>
    <row r="35" spans="1:42" s="548" customFormat="1">
      <c r="A35" s="546">
        <f ca="1">'Tab 4 Adjustment Details'!A35</f>
        <v>17</v>
      </c>
      <c r="B35" s="548" t="str">
        <f>'Tab 4 Adjustment Details'!B35</f>
        <v xml:space="preserve">Total Distribution  </v>
      </c>
      <c r="E35" s="551">
        <f>'Tab 4 Adjustment Details'!E35</f>
        <v>94591</v>
      </c>
      <c r="F35" s="559">
        <f>'Tab 4 Adjustment Details'!F35</f>
        <v>0</v>
      </c>
      <c r="G35" s="559">
        <f>'Tab 4 Adjustment Details'!G35</f>
        <v>0</v>
      </c>
      <c r="H35" s="559">
        <f>'Tab 4 Adjustment Details'!H35</f>
        <v>0</v>
      </c>
      <c r="I35" s="559">
        <f>'Tab 4 Adjustment Details'!I35</f>
        <v>-17674</v>
      </c>
      <c r="J35" s="559">
        <f>'Tab 4 Adjustment Details'!J35</f>
        <v>-336</v>
      </c>
      <c r="K35" s="559">
        <f>'Tab 4 Adjustment Details'!K35</f>
        <v>0</v>
      </c>
      <c r="L35" s="559">
        <f>'Tab 4 Adjustment Details'!L35</f>
        <v>0</v>
      </c>
      <c r="M35" s="559">
        <f>'Tab 4 Adjustment Details'!M35</f>
        <v>0</v>
      </c>
      <c r="N35" s="559">
        <f>'Tab 4 Adjustment Details'!N35</f>
        <v>0</v>
      </c>
      <c r="O35" s="559">
        <f>'Tab 4 Adjustment Details'!O35</f>
        <v>0</v>
      </c>
      <c r="P35" s="559">
        <f>'Tab 4 Adjustment Details'!P35</f>
        <v>-62</v>
      </c>
      <c r="Q35" s="559">
        <f>'Tab 4 Adjustment Details'!Q35</f>
        <v>-94</v>
      </c>
      <c r="R35" s="559">
        <f>'Tab 4 Adjustment Details'!R35</f>
        <v>284</v>
      </c>
      <c r="S35" s="559">
        <f>'Tab 4 Adjustment Details'!S35</f>
        <v>-700</v>
      </c>
      <c r="T35" s="559">
        <f>'Tab 4 Adjustment Details'!T35</f>
        <v>-2</v>
      </c>
      <c r="U35" s="559">
        <f>'Tab 4 Adjustment Details'!U35</f>
        <v>181</v>
      </c>
      <c r="V35" s="559">
        <f>'Tab 4 Adjustment Details'!V35</f>
        <v>0</v>
      </c>
      <c r="W35" s="559">
        <f>'Tab 4 Adjustment Details'!W35</f>
        <v>0</v>
      </c>
      <c r="X35" s="559">
        <f>'Tab 4 Adjustment Details'!X35</f>
        <v>0</v>
      </c>
      <c r="Y35" s="559">
        <f>'Tab 4 Adjustment Details'!Y35</f>
        <v>0</v>
      </c>
      <c r="Z35" s="559">
        <f>'Tab 4 Adjustment Details'!Z35</f>
        <v>0</v>
      </c>
      <c r="AA35" s="559">
        <f>'Tab 4 Adjustment Details'!AD35</f>
        <v>0</v>
      </c>
      <c r="AB35" s="559">
        <f>'Tab 4 Adjustment Details'!AE35</f>
        <v>327.46899999999999</v>
      </c>
      <c r="AC35" s="559">
        <f>'Tab 4 Adjustment Details'!AF35</f>
        <v>0</v>
      </c>
      <c r="AD35" s="559">
        <f>'Tab 4 Adjustment Details'!AG35</f>
        <v>-77</v>
      </c>
      <c r="AE35" s="559">
        <f>'Tab 4 Adjustment Details'!AH35</f>
        <v>0</v>
      </c>
      <c r="AF35" s="559">
        <f>'Tab 4 Adjustment Details'!AI35</f>
        <v>880</v>
      </c>
      <c r="AG35" s="559">
        <f>'Tab 4 Adjustment Details'!AJ35</f>
        <v>0</v>
      </c>
      <c r="AH35" s="559">
        <f>'Tab 4 Adjustment Details'!AK35</f>
        <v>-47</v>
      </c>
      <c r="AI35" s="559">
        <f>'Tab 4 Adjustment Details'!AL35</f>
        <v>0</v>
      </c>
      <c r="AJ35" s="559">
        <f>'Tab 4 Adjustment Details'!AM35</f>
        <v>0</v>
      </c>
      <c r="AK35" s="559">
        <f>'Tab 4 Adjustment Details'!AN35</f>
        <v>-875</v>
      </c>
      <c r="AL35" s="559">
        <f>'Tab 4 Adjustment Details'!AO35</f>
        <v>0</v>
      </c>
      <c r="AM35" s="559">
        <f>'Tab 4 Adjustment Details'!AP35</f>
        <v>0</v>
      </c>
      <c r="AN35" s="559">
        <f>'Tab 4 Adjustment Details'!AQ35</f>
        <v>532</v>
      </c>
      <c r="AO35" s="559">
        <f>'Tab 4 Adjustment Details'!AS35</f>
        <v>0</v>
      </c>
      <c r="AP35" s="559" t="e">
        <f>'Tab 4 Adjustment Details'!#REF!</f>
        <v>#REF!</v>
      </c>
    </row>
    <row r="36" spans="1:42" s="548" customFormat="1" ht="6" customHeight="1">
      <c r="E36" s="551"/>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9"/>
      <c r="AO36" s="559"/>
      <c r="AP36" s="559"/>
    </row>
    <row r="37" spans="1:42" s="548" customFormat="1">
      <c r="A37" s="546">
        <f ca="1">'Tab 4 Adjustment Details'!A37</f>
        <v>18</v>
      </c>
      <c r="B37" s="548" t="str">
        <f>'Tab 4 Adjustment Details'!B37</f>
        <v xml:space="preserve">Customer Accounting  </v>
      </c>
      <c r="E37" s="555">
        <f>'Tab 4 Adjustment Details'!E37</f>
        <v>11733</v>
      </c>
      <c r="F37" s="559">
        <f>'Tab 4 Adjustment Details'!F37</f>
        <v>0</v>
      </c>
      <c r="G37" s="559">
        <f>'Tab 4 Adjustment Details'!G37</f>
        <v>8</v>
      </c>
      <c r="H37" s="559">
        <f>'Tab 4 Adjustment Details'!H37</f>
        <v>0</v>
      </c>
      <c r="I37" s="559">
        <f>'Tab 4 Adjustment Details'!I37</f>
        <v>0</v>
      </c>
      <c r="J37" s="559">
        <f>'Tab 4 Adjustment Details'!J37</f>
        <v>0</v>
      </c>
      <c r="K37" s="559">
        <v>1321</v>
      </c>
      <c r="L37" s="559">
        <f>'Tab 4 Adjustment Details'!L37</f>
        <v>0</v>
      </c>
      <c r="M37" s="559">
        <f>'Tab 4 Adjustment Details'!M37</f>
        <v>0</v>
      </c>
      <c r="N37" s="559">
        <f>'Tab 4 Adjustment Details'!N37</f>
        <v>0</v>
      </c>
      <c r="O37" s="559">
        <f>'Tab 4 Adjustment Details'!O37</f>
        <v>0</v>
      </c>
      <c r="P37" s="559">
        <f>'Tab 4 Adjustment Details'!P37</f>
        <v>0</v>
      </c>
      <c r="Q37" s="559">
        <f>'Tab 4 Adjustment Details'!Q37</f>
        <v>0</v>
      </c>
      <c r="R37" s="559">
        <f>'Tab 4 Adjustment Details'!R37</f>
        <v>49</v>
      </c>
      <c r="S37" s="559">
        <f>'Tab 4 Adjustment Details'!S37</f>
        <v>-120</v>
      </c>
      <c r="T37" s="559">
        <f>'Tab 4 Adjustment Details'!T37</f>
        <v>0</v>
      </c>
      <c r="U37" s="559">
        <f>'Tab 4 Adjustment Details'!U37</f>
        <v>30</v>
      </c>
      <c r="V37" s="559">
        <f>'Tab 4 Adjustment Details'!V37</f>
        <v>0</v>
      </c>
      <c r="W37" s="559">
        <f>'Tab 4 Adjustment Details'!W37</f>
        <v>0</v>
      </c>
      <c r="X37" s="559">
        <f>'Tab 4 Adjustment Details'!X37</f>
        <v>0</v>
      </c>
      <c r="Y37" s="559">
        <f>'Tab 4 Adjustment Details'!Y37</f>
        <v>0</v>
      </c>
      <c r="Z37" s="559">
        <f>'Tab 4 Adjustment Details'!Z37</f>
        <v>0</v>
      </c>
      <c r="AA37" s="559">
        <f>'Tab 4 Adjustment Details'!AD37</f>
        <v>0</v>
      </c>
      <c r="AB37" s="559">
        <f>'Tab 4 Adjustment Details'!AE37</f>
        <v>170.88800000000001</v>
      </c>
      <c r="AC37" s="559">
        <f>'Tab 4 Adjustment Details'!AF37</f>
        <v>0</v>
      </c>
      <c r="AD37" s="559">
        <f>'Tab 4 Adjustment Details'!AG37</f>
        <v>-41</v>
      </c>
      <c r="AE37" s="559">
        <f>'Tab 4 Adjustment Details'!AH37</f>
        <v>0</v>
      </c>
      <c r="AF37" s="559">
        <f>'Tab 4 Adjustment Details'!AI37</f>
        <v>0</v>
      </c>
      <c r="AG37" s="559">
        <f>'Tab 4 Adjustment Details'!AJ37</f>
        <v>0</v>
      </c>
      <c r="AH37" s="559">
        <f>'Tab 4 Adjustment Details'!AK37</f>
        <v>-8</v>
      </c>
      <c r="AI37" s="559">
        <f>'Tab 4 Adjustment Details'!AL37</f>
        <v>0</v>
      </c>
      <c r="AJ37" s="559">
        <f>'Tab 4 Adjustment Details'!AM37</f>
        <v>0</v>
      </c>
      <c r="AK37" s="559">
        <f>'Tab 4 Adjustment Details'!AN37</f>
        <v>0</v>
      </c>
      <c r="AL37" s="559">
        <f>'Tab 4 Adjustment Details'!AO37</f>
        <v>0</v>
      </c>
      <c r="AM37" s="559">
        <f>'Tab 4 Adjustment Details'!AP37</f>
        <v>0</v>
      </c>
      <c r="AN37" s="559">
        <f>'Tab 4 Adjustment Details'!AQ37</f>
        <v>0</v>
      </c>
      <c r="AO37" s="559">
        <f>'Tab 4 Adjustment Details'!AS37</f>
        <v>0</v>
      </c>
      <c r="AP37" s="559" t="e">
        <f>'Tab 4 Adjustment Details'!#REF!</f>
        <v>#REF!</v>
      </c>
    </row>
    <row r="38" spans="1:42" s="548" customFormat="1">
      <c r="A38" s="546">
        <f ca="1">'Tab 4 Adjustment Details'!A38</f>
        <v>19</v>
      </c>
      <c r="B38" s="548" t="str">
        <f>'Tab 4 Adjustment Details'!B38</f>
        <v xml:space="preserve">Customer Service &amp; Information  </v>
      </c>
      <c r="E38" s="555">
        <f>'Tab 4 Adjustment Details'!E38</f>
        <v>18081</v>
      </c>
      <c r="F38" s="559">
        <f>'Tab 4 Adjustment Details'!F38</f>
        <v>0</v>
      </c>
      <c r="G38" s="559">
        <f>'Tab 4 Adjustment Details'!G38</f>
        <v>0</v>
      </c>
      <c r="H38" s="559">
        <f>'Tab 4 Adjustment Details'!H38</f>
        <v>0</v>
      </c>
      <c r="I38" s="559">
        <f>'Tab 4 Adjustment Details'!I38</f>
        <v>0</v>
      </c>
      <c r="J38" s="559">
        <f>'Tab 4 Adjustment Details'!J38</f>
        <v>0</v>
      </c>
      <c r="K38" s="559">
        <f>'Tab 4 Adjustment Details'!K38</f>
        <v>0</v>
      </c>
      <c r="L38" s="559">
        <f>'Tab 4 Adjustment Details'!L38</f>
        <v>0</v>
      </c>
      <c r="M38" s="559">
        <f>'Tab 4 Adjustment Details'!M38</f>
        <v>0</v>
      </c>
      <c r="N38" s="559">
        <f>'Tab 4 Adjustment Details'!N38</f>
        <v>0</v>
      </c>
      <c r="O38" s="559">
        <f>'Tab 4 Adjustment Details'!O38</f>
        <v>0</v>
      </c>
      <c r="P38" s="559">
        <f>'Tab 4 Adjustment Details'!P38</f>
        <v>0</v>
      </c>
      <c r="Q38" s="559">
        <f>'Tab 4 Adjustment Details'!Q38</f>
        <v>0</v>
      </c>
      <c r="R38" s="559">
        <f>'Tab 4 Adjustment Details'!R38</f>
        <v>0</v>
      </c>
      <c r="S38" s="559">
        <f>'Tab 4 Adjustment Details'!S38</f>
        <v>-16675</v>
      </c>
      <c r="T38" s="559">
        <f>'Tab 4 Adjustment Details'!T38</f>
        <v>0</v>
      </c>
      <c r="U38" s="559">
        <f>'Tab 4 Adjustment Details'!U38</f>
        <v>0</v>
      </c>
      <c r="V38" s="559">
        <f>'Tab 4 Adjustment Details'!V38</f>
        <v>0</v>
      </c>
      <c r="W38" s="559">
        <f>'Tab 4 Adjustment Details'!W38</f>
        <v>0</v>
      </c>
      <c r="X38" s="559">
        <f>'Tab 4 Adjustment Details'!X38</f>
        <v>0</v>
      </c>
      <c r="Y38" s="559">
        <f>'Tab 4 Adjustment Details'!Y38</f>
        <v>0</v>
      </c>
      <c r="Z38" s="559">
        <f>'Tab 4 Adjustment Details'!Z38</f>
        <v>0</v>
      </c>
      <c r="AA38" s="559">
        <f>'Tab 4 Adjustment Details'!AD38</f>
        <v>0</v>
      </c>
      <c r="AB38" s="559">
        <f>'Tab 4 Adjustment Details'!AE38</f>
        <v>14.016999999999999</v>
      </c>
      <c r="AC38" s="559">
        <f>'Tab 4 Adjustment Details'!AF38</f>
        <v>0</v>
      </c>
      <c r="AD38" s="559">
        <f>'Tab 4 Adjustment Details'!AG38</f>
        <v>-3</v>
      </c>
      <c r="AE38" s="559">
        <f>'Tab 4 Adjustment Details'!AH38</f>
        <v>0</v>
      </c>
      <c r="AF38" s="559">
        <f>'Tab 4 Adjustment Details'!AI38</f>
        <v>0</v>
      </c>
      <c r="AG38" s="559">
        <f>'Tab 4 Adjustment Details'!AJ38</f>
        <v>0</v>
      </c>
      <c r="AH38" s="559">
        <f>'Tab 4 Adjustment Details'!AK38</f>
        <v>0</v>
      </c>
      <c r="AI38" s="559">
        <f>'Tab 4 Adjustment Details'!AL38</f>
        <v>0</v>
      </c>
      <c r="AJ38" s="559">
        <f>'Tab 4 Adjustment Details'!AM38</f>
        <v>0</v>
      </c>
      <c r="AK38" s="559">
        <f>'Tab 4 Adjustment Details'!AN38</f>
        <v>0</v>
      </c>
      <c r="AL38" s="559">
        <f>'Tab 4 Adjustment Details'!AO38</f>
        <v>0</v>
      </c>
      <c r="AM38" s="559">
        <f>'Tab 4 Adjustment Details'!AP38</f>
        <v>0</v>
      </c>
      <c r="AN38" s="559">
        <f>'Tab 4 Adjustment Details'!AQ38</f>
        <v>0</v>
      </c>
      <c r="AO38" s="559">
        <f>'Tab 4 Adjustment Details'!AS38</f>
        <v>0</v>
      </c>
      <c r="AP38" s="559" t="e">
        <f>'Tab 4 Adjustment Details'!#REF!</f>
        <v>#REF!</v>
      </c>
    </row>
    <row r="39" spans="1:42" s="548" customFormat="1">
      <c r="A39" s="546">
        <f ca="1">'Tab 4 Adjustment Details'!A39</f>
        <v>20</v>
      </c>
      <c r="B39" s="548" t="str">
        <f>'Tab 4 Adjustment Details'!B39</f>
        <v xml:space="preserve">Sales Expenses  </v>
      </c>
      <c r="E39" s="555">
        <f>'Tab 4 Adjustment Details'!E39</f>
        <v>0</v>
      </c>
      <c r="F39" s="559">
        <f>'Tab 4 Adjustment Details'!F39</f>
        <v>0</v>
      </c>
      <c r="G39" s="559">
        <f>'Tab 4 Adjustment Details'!G39</f>
        <v>0</v>
      </c>
      <c r="H39" s="559">
        <f>'Tab 4 Adjustment Details'!H39</f>
        <v>0</v>
      </c>
      <c r="I39" s="559">
        <f>'Tab 4 Adjustment Details'!I39</f>
        <v>0</v>
      </c>
      <c r="J39" s="559">
        <f>'Tab 4 Adjustment Details'!J39</f>
        <v>0</v>
      </c>
      <c r="K39" s="559">
        <f>'Tab 4 Adjustment Details'!K39</f>
        <v>0</v>
      </c>
      <c r="L39" s="559">
        <f>'Tab 4 Adjustment Details'!L39</f>
        <v>0</v>
      </c>
      <c r="M39" s="559">
        <f>'Tab 4 Adjustment Details'!M39</f>
        <v>0</v>
      </c>
      <c r="N39" s="559">
        <f>'Tab 4 Adjustment Details'!N39</f>
        <v>0</v>
      </c>
      <c r="O39" s="559">
        <f>'Tab 4 Adjustment Details'!O39</f>
        <v>0</v>
      </c>
      <c r="P39" s="559">
        <f>'Tab 4 Adjustment Details'!P39</f>
        <v>0</v>
      </c>
      <c r="Q39" s="559">
        <f>'Tab 4 Adjustment Details'!Q39</f>
        <v>0</v>
      </c>
      <c r="R39" s="559">
        <f>'Tab 4 Adjustment Details'!R39</f>
        <v>0</v>
      </c>
      <c r="S39" s="559">
        <f>'Tab 4 Adjustment Details'!S39</f>
        <v>0</v>
      </c>
      <c r="T39" s="559">
        <f>'Tab 4 Adjustment Details'!T39</f>
        <v>0</v>
      </c>
      <c r="U39" s="559">
        <f>'Tab 4 Adjustment Details'!U39</f>
        <v>0</v>
      </c>
      <c r="V39" s="559">
        <f>'Tab 4 Adjustment Details'!V39</f>
        <v>0</v>
      </c>
      <c r="W39" s="559">
        <f>'Tab 4 Adjustment Details'!W39</f>
        <v>0</v>
      </c>
      <c r="X39" s="559">
        <f>'Tab 4 Adjustment Details'!X39</f>
        <v>0</v>
      </c>
      <c r="Y39" s="559">
        <f>'Tab 4 Adjustment Details'!Y39</f>
        <v>0</v>
      </c>
      <c r="Z39" s="559">
        <f>'Tab 4 Adjustment Details'!Z39</f>
        <v>0</v>
      </c>
      <c r="AA39" s="559">
        <f>'Tab 4 Adjustment Details'!AD39</f>
        <v>0</v>
      </c>
      <c r="AB39" s="559">
        <f>'Tab 4 Adjustment Details'!AE39</f>
        <v>0</v>
      </c>
      <c r="AC39" s="559">
        <f>'Tab 4 Adjustment Details'!AF39</f>
        <v>0</v>
      </c>
      <c r="AD39" s="559">
        <f>'Tab 4 Adjustment Details'!AG39</f>
        <v>0</v>
      </c>
      <c r="AE39" s="559">
        <f>'Tab 4 Adjustment Details'!AH39</f>
        <v>0</v>
      </c>
      <c r="AF39" s="559">
        <f>'Tab 4 Adjustment Details'!AI39</f>
        <v>0</v>
      </c>
      <c r="AG39" s="559">
        <f>'Tab 4 Adjustment Details'!AJ39</f>
        <v>0</v>
      </c>
      <c r="AH39" s="559">
        <f>'Tab 4 Adjustment Details'!AK39</f>
        <v>0</v>
      </c>
      <c r="AI39" s="559">
        <f>'Tab 4 Adjustment Details'!AL39</f>
        <v>0</v>
      </c>
      <c r="AJ39" s="559">
        <f>'Tab 4 Adjustment Details'!AM39</f>
        <v>0</v>
      </c>
      <c r="AK39" s="559">
        <f>'Tab 4 Adjustment Details'!AN39</f>
        <v>0</v>
      </c>
      <c r="AL39" s="559">
        <f>'Tab 4 Adjustment Details'!AO39</f>
        <v>0</v>
      </c>
      <c r="AM39" s="559">
        <f>'Tab 4 Adjustment Details'!AP39</f>
        <v>0</v>
      </c>
      <c r="AN39" s="559">
        <f>'Tab 4 Adjustment Details'!AQ39</f>
        <v>0</v>
      </c>
      <c r="AO39" s="559">
        <f>'Tab 4 Adjustment Details'!AS39</f>
        <v>0</v>
      </c>
      <c r="AP39" s="559" t="e">
        <f>'Tab 4 Adjustment Details'!#REF!</f>
        <v>#REF!</v>
      </c>
    </row>
    <row r="40" spans="1:42" s="548" customFormat="1" ht="6" customHeight="1">
      <c r="A40" s="546"/>
      <c r="E40" s="551"/>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row>
    <row r="41" spans="1:42" s="548" customFormat="1">
      <c r="B41" s="548" t="str">
        <f>'Tab 4 Adjustment Details'!B41</f>
        <v xml:space="preserve">Administrative &amp; General  </v>
      </c>
      <c r="E41" s="551"/>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row>
    <row r="42" spans="1:42" s="548" customFormat="1">
      <c r="A42" s="546">
        <f ca="1">'Tab 4 Adjustment Details'!A42</f>
        <v>21</v>
      </c>
      <c r="C42" s="548" t="str">
        <f>'Tab 4 Adjustment Details'!C42</f>
        <v xml:space="preserve">Operating Expenses  </v>
      </c>
      <c r="E42" s="555">
        <f>'Tab 4 Adjustment Details'!E42</f>
        <v>50568</v>
      </c>
      <c r="F42" s="559">
        <f>'Tab 4 Adjustment Details'!F42</f>
        <v>0</v>
      </c>
      <c r="G42" s="559">
        <f>'Tab 4 Adjustment Details'!G42</f>
        <v>0</v>
      </c>
      <c r="H42" s="559">
        <f>'Tab 4 Adjustment Details'!H42</f>
        <v>0</v>
      </c>
      <c r="I42" s="559">
        <f>'Tab 4 Adjustment Details'!I42</f>
        <v>0</v>
      </c>
      <c r="J42" s="559">
        <f>'Tab 4 Adjustment Details'!J42</f>
        <v>0</v>
      </c>
      <c r="K42" s="559">
        <f>'Tab 4 Adjustment Details'!K42</f>
        <v>0</v>
      </c>
      <c r="L42" s="559">
        <f>'Tab 4 Adjustment Details'!L42</f>
        <v>7</v>
      </c>
      <c r="M42" s="559">
        <f>'Tab 4 Adjustment Details'!M42</f>
        <v>151</v>
      </c>
      <c r="N42" s="559">
        <f>'Tab 4 Adjustment Details'!N42</f>
        <v>0</v>
      </c>
      <c r="O42" s="559">
        <f>'Tab 4 Adjustment Details'!O42</f>
        <v>-31</v>
      </c>
      <c r="P42" s="559">
        <f>'Tab 4 Adjustment Details'!P42</f>
        <v>0</v>
      </c>
      <c r="Q42" s="559">
        <f>'Tab 4 Adjustment Details'!Q42</f>
        <v>0</v>
      </c>
      <c r="R42" s="559">
        <f>'Tab 4 Adjustment Details'!R42</f>
        <v>15</v>
      </c>
      <c r="S42" s="559">
        <f>'Tab 4 Adjustment Details'!S42</f>
        <v>-36</v>
      </c>
      <c r="T42" s="559">
        <f>'Tab 4 Adjustment Details'!T42</f>
        <v>-1068</v>
      </c>
      <c r="U42" s="559">
        <f>'Tab 4 Adjustment Details'!U42</f>
        <v>9</v>
      </c>
      <c r="V42" s="559">
        <f>'Tab 4 Adjustment Details'!V42</f>
        <v>0</v>
      </c>
      <c r="W42" s="559">
        <f>'Tab 4 Adjustment Details'!W42</f>
        <v>-626</v>
      </c>
      <c r="X42" s="559">
        <f>'Tab 4 Adjustment Details'!X42</f>
        <v>0</v>
      </c>
      <c r="Y42" s="559">
        <f>'Tab 4 Adjustment Details'!Y42</f>
        <v>0</v>
      </c>
      <c r="Z42" s="559">
        <f>'Tab 4 Adjustment Details'!Z42</f>
        <v>0</v>
      </c>
      <c r="AA42" s="559">
        <f>'Tab 4 Adjustment Details'!AD42</f>
        <v>0</v>
      </c>
      <c r="AB42" s="559">
        <f>'Tab 4 Adjustment Details'!AE42</f>
        <v>483.43</v>
      </c>
      <c r="AC42" s="559">
        <f>'Tab 4 Adjustment Details'!AF42</f>
        <v>-33</v>
      </c>
      <c r="AD42" s="559">
        <f>'Tab 4 Adjustment Details'!AG42</f>
        <v>-114</v>
      </c>
      <c r="AE42" s="559">
        <f>'Tab 4 Adjustment Details'!AH42</f>
        <v>119</v>
      </c>
      <c r="AF42" s="559">
        <f>'Tab 4 Adjustment Details'!AI42</f>
        <v>0</v>
      </c>
      <c r="AG42" s="559">
        <f>'Tab 4 Adjustment Details'!AJ42</f>
        <v>694</v>
      </c>
      <c r="AH42" s="559">
        <f>'Tab 4 Adjustment Details'!AK42</f>
        <v>-2</v>
      </c>
      <c r="AI42" s="559">
        <f>'Tab 4 Adjustment Details'!AL42</f>
        <v>0</v>
      </c>
      <c r="AJ42" s="559">
        <f>'Tab 4 Adjustment Details'!AM42</f>
        <v>0</v>
      </c>
      <c r="AK42" s="559">
        <f>'Tab 4 Adjustment Details'!AN42</f>
        <v>-112</v>
      </c>
      <c r="AL42" s="559">
        <f>'Tab 4 Adjustment Details'!AO42</f>
        <v>0</v>
      </c>
      <c r="AM42" s="559">
        <f>'Tab 4 Adjustment Details'!AP42</f>
        <v>0</v>
      </c>
      <c r="AN42" s="559">
        <f>'Tab 4 Adjustment Details'!AQ42</f>
        <v>0</v>
      </c>
      <c r="AO42" s="559">
        <f>'Tab 4 Adjustment Details'!AS42</f>
        <v>0</v>
      </c>
      <c r="AP42" s="559" t="e">
        <f>'Tab 4 Adjustment Details'!#REF!</f>
        <v>#REF!</v>
      </c>
    </row>
    <row r="43" spans="1:42" s="548" customFormat="1">
      <c r="A43" s="546">
        <f ca="1">'Tab 4 Adjustment Details'!A43</f>
        <v>22</v>
      </c>
      <c r="C43" s="548" t="str">
        <f>'Tab 4 Adjustment Details'!C43</f>
        <v>Depreciation/Amortization</v>
      </c>
      <c r="E43" s="555">
        <f>'Tab 4 Adjustment Details'!E43</f>
        <v>23877</v>
      </c>
      <c r="F43" s="559">
        <f>'Tab 4 Adjustment Details'!F43</f>
        <v>0</v>
      </c>
      <c r="G43" s="559">
        <f>'Tab 4 Adjustment Details'!G43</f>
        <v>0</v>
      </c>
      <c r="H43" s="559">
        <f>'Tab 4 Adjustment Details'!H43</f>
        <v>0</v>
      </c>
      <c r="I43" s="559">
        <f>'Tab 4 Adjustment Details'!I43</f>
        <v>0</v>
      </c>
      <c r="J43" s="559">
        <f>'Tab 4 Adjustment Details'!J43</f>
        <v>0</v>
      </c>
      <c r="K43" s="559">
        <f>'Tab 4 Adjustment Details'!K43</f>
        <v>0</v>
      </c>
      <c r="L43" s="559">
        <f>'Tab 4 Adjustment Details'!L43</f>
        <v>0</v>
      </c>
      <c r="M43" s="559">
        <f>'Tab 4 Adjustment Details'!M43</f>
        <v>0</v>
      </c>
      <c r="N43" s="559">
        <f>'Tab 4 Adjustment Details'!N43</f>
        <v>0</v>
      </c>
      <c r="O43" s="559">
        <f>'Tab 4 Adjustment Details'!O43</f>
        <v>0</v>
      </c>
      <c r="P43" s="559">
        <f>'Tab 4 Adjustment Details'!P43</f>
        <v>0</v>
      </c>
      <c r="Q43" s="559">
        <f>'Tab 4 Adjustment Details'!Q43</f>
        <v>0</v>
      </c>
      <c r="R43" s="559">
        <f>'Tab 4 Adjustment Details'!R43</f>
        <v>0</v>
      </c>
      <c r="S43" s="559">
        <f>'Tab 4 Adjustment Details'!S43</f>
        <v>0</v>
      </c>
      <c r="T43" s="559">
        <f>'Tab 4 Adjustment Details'!T43</f>
        <v>0</v>
      </c>
      <c r="U43" s="559">
        <f>'Tab 4 Adjustment Details'!U43</f>
        <v>0</v>
      </c>
      <c r="V43" s="559">
        <f>'Tab 4 Adjustment Details'!V43</f>
        <v>0</v>
      </c>
      <c r="W43" s="559">
        <f>'Tab 4 Adjustment Details'!W43</f>
        <v>0</v>
      </c>
      <c r="X43" s="559">
        <f>'Tab 4 Adjustment Details'!X43</f>
        <v>0</v>
      </c>
      <c r="Y43" s="559">
        <f>'Tab 4 Adjustment Details'!Y43</f>
        <v>0</v>
      </c>
      <c r="Z43" s="559">
        <f>'Tab 4 Adjustment Details'!Z43</f>
        <v>0</v>
      </c>
      <c r="AA43" s="559">
        <f>'Tab 4 Adjustment Details'!AD43</f>
        <v>0</v>
      </c>
      <c r="AB43" s="559">
        <f>'Tab 4 Adjustment Details'!AE43</f>
        <v>0</v>
      </c>
      <c r="AC43" s="559">
        <f>'Tab 4 Adjustment Details'!AF43</f>
        <v>0</v>
      </c>
      <c r="AD43" s="559">
        <f>'Tab 4 Adjustment Details'!AG43</f>
        <v>0</v>
      </c>
      <c r="AE43" s="559">
        <f>'Tab 4 Adjustment Details'!AH43</f>
        <v>0</v>
      </c>
      <c r="AF43" s="559">
        <f>'Tab 4 Adjustment Details'!AI43</f>
        <v>0</v>
      </c>
      <c r="AG43" s="559">
        <f>'Tab 4 Adjustment Details'!AJ43</f>
        <v>0</v>
      </c>
      <c r="AH43" s="559">
        <f>'Tab 4 Adjustment Details'!AK43</f>
        <v>0</v>
      </c>
      <c r="AI43" s="559">
        <f>'Tab 4 Adjustment Details'!AL43</f>
        <v>0</v>
      </c>
      <c r="AJ43" s="559">
        <f>'Tab 4 Adjustment Details'!AM43</f>
        <v>0</v>
      </c>
      <c r="AK43" s="559">
        <f>'Tab 4 Adjustment Details'!AN43</f>
        <v>0</v>
      </c>
      <c r="AL43" s="559">
        <f>'Tab 4 Adjustment Details'!AO43</f>
        <v>0</v>
      </c>
      <c r="AM43" s="559">
        <f>'Tab 4 Adjustment Details'!AP43</f>
        <v>0</v>
      </c>
      <c r="AN43" s="559">
        <f>'Tab 4 Adjustment Details'!AQ43</f>
        <v>0</v>
      </c>
      <c r="AO43" s="559">
        <f>'Tab 4 Adjustment Details'!AS43</f>
        <v>0</v>
      </c>
      <c r="AP43" s="559" t="e">
        <f>'Tab 4 Adjustment Details'!#REF!</f>
        <v>#REF!</v>
      </c>
    </row>
    <row r="44" spans="1:42" s="548" customFormat="1">
      <c r="A44" s="575">
        <f ca="1">'Tab 4 Adjustment Details'!A44</f>
        <v>23</v>
      </c>
      <c r="C44" s="548" t="str">
        <f>'Tab 4 Adjustment Details'!C44</f>
        <v xml:space="preserve">Taxes  </v>
      </c>
      <c r="E44" s="581">
        <f>'Tab 4 Adjustment Details'!E44</f>
        <v>0</v>
      </c>
      <c r="F44" s="571">
        <f>'Tab 4 Adjustment Details'!F44</f>
        <v>0</v>
      </c>
      <c r="G44" s="571">
        <f>'Tab 4 Adjustment Details'!G44</f>
        <v>0</v>
      </c>
      <c r="H44" s="571">
        <f>'Tab 4 Adjustment Details'!H44</f>
        <v>0</v>
      </c>
      <c r="I44" s="571">
        <f>'Tab 4 Adjustment Details'!I44</f>
        <v>0</v>
      </c>
      <c r="J44" s="571">
        <f>'Tab 4 Adjustment Details'!J44</f>
        <v>0</v>
      </c>
      <c r="K44" s="571">
        <f>'Tab 4 Adjustment Details'!K44</f>
        <v>0</v>
      </c>
      <c r="L44" s="571">
        <f>'Tab 4 Adjustment Details'!L44</f>
        <v>0</v>
      </c>
      <c r="M44" s="571">
        <f>'Tab 4 Adjustment Details'!M44</f>
        <v>0</v>
      </c>
      <c r="N44" s="571">
        <f>'Tab 4 Adjustment Details'!N44</f>
        <v>0</v>
      </c>
      <c r="O44" s="571">
        <f>'Tab 4 Adjustment Details'!O44</f>
        <v>0</v>
      </c>
      <c r="P44" s="571">
        <f>'Tab 4 Adjustment Details'!P44</f>
        <v>0</v>
      </c>
      <c r="Q44" s="571">
        <f>'Tab 4 Adjustment Details'!Q44</f>
        <v>0</v>
      </c>
      <c r="R44" s="571">
        <f>'Tab 4 Adjustment Details'!R44</f>
        <v>0</v>
      </c>
      <c r="S44" s="571">
        <f>'Tab 4 Adjustment Details'!S44</f>
        <v>0</v>
      </c>
      <c r="T44" s="571">
        <f>'Tab 4 Adjustment Details'!T44</f>
        <v>0</v>
      </c>
      <c r="U44" s="571">
        <f>'Tab 4 Adjustment Details'!U44</f>
        <v>0</v>
      </c>
      <c r="V44" s="571">
        <f>'Tab 4 Adjustment Details'!V44</f>
        <v>0</v>
      </c>
      <c r="W44" s="571">
        <f>'Tab 4 Adjustment Details'!W44</f>
        <v>0</v>
      </c>
      <c r="X44" s="571">
        <f>'Tab 4 Adjustment Details'!X44</f>
        <v>0</v>
      </c>
      <c r="Y44" s="571">
        <f>'Tab 4 Adjustment Details'!Y44</f>
        <v>0</v>
      </c>
      <c r="Z44" s="571">
        <f>'Tab 4 Adjustment Details'!Z44</f>
        <v>0</v>
      </c>
      <c r="AA44" s="571">
        <f>'Tab 4 Adjustment Details'!AD44</f>
        <v>0</v>
      </c>
      <c r="AB44" s="571">
        <f>'Tab 4 Adjustment Details'!AE44</f>
        <v>0</v>
      </c>
      <c r="AC44" s="571">
        <f>'Tab 4 Adjustment Details'!AF44</f>
        <v>0</v>
      </c>
      <c r="AD44" s="571">
        <f>'Tab 4 Adjustment Details'!AG44</f>
        <v>0</v>
      </c>
      <c r="AE44" s="571">
        <f>'Tab 4 Adjustment Details'!AH44</f>
        <v>0</v>
      </c>
      <c r="AF44" s="571">
        <f>'Tab 4 Adjustment Details'!AI44</f>
        <v>0</v>
      </c>
      <c r="AG44" s="571">
        <f>'Tab 4 Adjustment Details'!AJ44</f>
        <v>0</v>
      </c>
      <c r="AH44" s="571">
        <f>'Tab 4 Adjustment Details'!AK44</f>
        <v>0</v>
      </c>
      <c r="AI44" s="571">
        <f>'Tab 4 Adjustment Details'!AL44</f>
        <v>0</v>
      </c>
      <c r="AJ44" s="571">
        <f>'Tab 4 Adjustment Details'!AM44</f>
        <v>0</v>
      </c>
      <c r="AK44" s="571">
        <f>'Tab 4 Adjustment Details'!AN44</f>
        <v>0</v>
      </c>
      <c r="AL44" s="571">
        <f>'Tab 4 Adjustment Details'!AO44</f>
        <v>0</v>
      </c>
      <c r="AM44" s="571">
        <f>'Tab 4 Adjustment Details'!AP44</f>
        <v>0</v>
      </c>
      <c r="AN44" s="571">
        <f>'Tab 4 Adjustment Details'!AQ44</f>
        <v>0</v>
      </c>
      <c r="AO44" s="571">
        <f>'Tab 4 Adjustment Details'!AS44</f>
        <v>0</v>
      </c>
      <c r="AP44" s="571" t="e">
        <f>'Tab 4 Adjustment Details'!#REF!</f>
        <v>#REF!</v>
      </c>
    </row>
    <row r="45" spans="1:42" s="548" customFormat="1">
      <c r="A45" s="546">
        <f ca="1">'Tab 4 Adjustment Details'!A45</f>
        <v>24</v>
      </c>
      <c r="B45" s="548" t="str">
        <f>'Tab 4 Adjustment Details'!B45</f>
        <v xml:space="preserve">Total Admin. &amp; General  </v>
      </c>
      <c r="E45" s="581">
        <f>'Tab 4 Adjustment Details'!E45</f>
        <v>74445</v>
      </c>
      <c r="F45" s="571">
        <f>'Tab 4 Adjustment Details'!F45</f>
        <v>0</v>
      </c>
      <c r="G45" s="571">
        <f>'Tab 4 Adjustment Details'!G45</f>
        <v>0</v>
      </c>
      <c r="H45" s="571">
        <f>'Tab 4 Adjustment Details'!H45</f>
        <v>0</v>
      </c>
      <c r="I45" s="571">
        <f>'Tab 4 Adjustment Details'!I45</f>
        <v>0</v>
      </c>
      <c r="J45" s="571">
        <f>'Tab 4 Adjustment Details'!J45</f>
        <v>0</v>
      </c>
      <c r="K45" s="571">
        <f>'Tab 4 Adjustment Details'!K45</f>
        <v>0</v>
      </c>
      <c r="L45" s="571">
        <f>'Tab 4 Adjustment Details'!L45</f>
        <v>7</v>
      </c>
      <c r="M45" s="571">
        <f>'Tab 4 Adjustment Details'!M45</f>
        <v>151</v>
      </c>
      <c r="N45" s="571">
        <f>'Tab 4 Adjustment Details'!N45</f>
        <v>0</v>
      </c>
      <c r="O45" s="571">
        <f>'Tab 4 Adjustment Details'!O45</f>
        <v>-31</v>
      </c>
      <c r="P45" s="571">
        <f>'Tab 4 Adjustment Details'!P45</f>
        <v>0</v>
      </c>
      <c r="Q45" s="571">
        <f>'Tab 4 Adjustment Details'!Q45</f>
        <v>0</v>
      </c>
      <c r="R45" s="571">
        <f>'Tab 4 Adjustment Details'!R45</f>
        <v>15</v>
      </c>
      <c r="S45" s="571">
        <f>'Tab 4 Adjustment Details'!S45</f>
        <v>-36</v>
      </c>
      <c r="T45" s="571">
        <f>'Tab 4 Adjustment Details'!T45</f>
        <v>-1068</v>
      </c>
      <c r="U45" s="571">
        <f>'Tab 4 Adjustment Details'!U45</f>
        <v>9</v>
      </c>
      <c r="V45" s="571">
        <f>'Tab 4 Adjustment Details'!V45</f>
        <v>0</v>
      </c>
      <c r="W45" s="571">
        <f>'Tab 4 Adjustment Details'!W45</f>
        <v>-626</v>
      </c>
      <c r="X45" s="571">
        <f>'Tab 4 Adjustment Details'!X45</f>
        <v>0</v>
      </c>
      <c r="Y45" s="571">
        <f>'Tab 4 Adjustment Details'!Y45</f>
        <v>0</v>
      </c>
      <c r="Z45" s="571">
        <f>'Tab 4 Adjustment Details'!Z45</f>
        <v>0</v>
      </c>
      <c r="AA45" s="571">
        <f>'Tab 4 Adjustment Details'!AD45</f>
        <v>0</v>
      </c>
      <c r="AB45" s="571">
        <f>'Tab 4 Adjustment Details'!AE45</f>
        <v>483.43</v>
      </c>
      <c r="AC45" s="571">
        <f>'Tab 4 Adjustment Details'!AF45</f>
        <v>-33</v>
      </c>
      <c r="AD45" s="571">
        <f>'Tab 4 Adjustment Details'!AG45</f>
        <v>-114</v>
      </c>
      <c r="AE45" s="571">
        <f>'Tab 4 Adjustment Details'!AH45</f>
        <v>119</v>
      </c>
      <c r="AF45" s="571">
        <f>'Tab 4 Adjustment Details'!AI45</f>
        <v>0</v>
      </c>
      <c r="AG45" s="571">
        <f>'Tab 4 Adjustment Details'!AJ45</f>
        <v>694</v>
      </c>
      <c r="AH45" s="571">
        <f>'Tab 4 Adjustment Details'!AK45</f>
        <v>-2</v>
      </c>
      <c r="AI45" s="571">
        <f>'Tab 4 Adjustment Details'!AL45</f>
        <v>0</v>
      </c>
      <c r="AJ45" s="571">
        <f>'Tab 4 Adjustment Details'!AM45</f>
        <v>0</v>
      </c>
      <c r="AK45" s="571">
        <f>'Tab 4 Adjustment Details'!AN45</f>
        <v>-112</v>
      </c>
      <c r="AL45" s="571">
        <f>'Tab 4 Adjustment Details'!AO45</f>
        <v>0</v>
      </c>
      <c r="AM45" s="571">
        <f>'Tab 4 Adjustment Details'!AP45</f>
        <v>0</v>
      </c>
      <c r="AN45" s="571">
        <f>'Tab 4 Adjustment Details'!AQ45</f>
        <v>0</v>
      </c>
      <c r="AO45" s="571">
        <f>'Tab 4 Adjustment Details'!AS45</f>
        <v>0</v>
      </c>
      <c r="AP45" s="571" t="e">
        <f>'Tab 4 Adjustment Details'!#REF!</f>
        <v>#REF!</v>
      </c>
    </row>
    <row r="46" spans="1:42" s="548" customFormat="1">
      <c r="A46" s="546">
        <f ca="1">'Tab 4 Adjustment Details'!A46</f>
        <v>25</v>
      </c>
      <c r="B46" s="548" t="str">
        <f>'Tab 4 Adjustment Details'!B46</f>
        <v xml:space="preserve">Total Electric Expenses  </v>
      </c>
      <c r="E46" s="581">
        <f>'Tab 4 Adjustment Details'!E46</f>
        <v>526185</v>
      </c>
      <c r="F46" s="571">
        <f>'Tab 4 Adjustment Details'!F46</f>
        <v>0</v>
      </c>
      <c r="G46" s="571">
        <f>'Tab 4 Adjustment Details'!G46</f>
        <v>12</v>
      </c>
      <c r="H46" s="571">
        <f>'Tab 4 Adjustment Details'!H46</f>
        <v>0</v>
      </c>
      <c r="I46" s="571">
        <f>'Tab 4 Adjustment Details'!I46</f>
        <v>-17674</v>
      </c>
      <c r="J46" s="571">
        <f>'Tab 4 Adjustment Details'!J46</f>
        <v>-250</v>
      </c>
      <c r="K46" s="571">
        <f>'Tab 4 Adjustment Details'!K46</f>
        <v>1321</v>
      </c>
      <c r="L46" s="571">
        <f>'Tab 4 Adjustment Details'!L46</f>
        <v>7</v>
      </c>
      <c r="M46" s="571">
        <f>'Tab 4 Adjustment Details'!M46</f>
        <v>151</v>
      </c>
      <c r="N46" s="571">
        <f>'Tab 4 Adjustment Details'!N46</f>
        <v>0</v>
      </c>
      <c r="O46" s="571">
        <f>'Tab 4 Adjustment Details'!O46</f>
        <v>-31</v>
      </c>
      <c r="P46" s="571">
        <f>'Tab 4 Adjustment Details'!P46</f>
        <v>-62</v>
      </c>
      <c r="Q46" s="571">
        <f>'Tab 4 Adjustment Details'!Q46</f>
        <v>-94</v>
      </c>
      <c r="R46" s="571">
        <f>'Tab 4 Adjustment Details'!R46</f>
        <v>348</v>
      </c>
      <c r="S46" s="571">
        <f>'Tab 4 Adjustment Details'!S46</f>
        <v>-17519</v>
      </c>
      <c r="T46" s="571">
        <f>'Tab 4 Adjustment Details'!T46</f>
        <v>-1075</v>
      </c>
      <c r="U46" s="571">
        <f>'Tab 4 Adjustment Details'!U46</f>
        <v>-2050</v>
      </c>
      <c r="V46" s="571">
        <f>'Tab 4 Adjustment Details'!V46</f>
        <v>-4</v>
      </c>
      <c r="W46" s="571">
        <f>'Tab 4 Adjustment Details'!W46</f>
        <v>-626</v>
      </c>
      <c r="X46" s="571">
        <f>'Tab 4 Adjustment Details'!X46</f>
        <v>-1174</v>
      </c>
      <c r="Y46" s="571">
        <f>'Tab 4 Adjustment Details'!Y46</f>
        <v>0</v>
      </c>
      <c r="Z46" s="571">
        <f>'Tab 4 Adjustment Details'!Z46</f>
        <v>-65881</v>
      </c>
      <c r="AA46" s="571">
        <f>'Tab 4 Adjustment Details'!AD46</f>
        <v>172</v>
      </c>
      <c r="AB46" s="571">
        <f>'Tab 4 Adjustment Details'!AE46</f>
        <v>1534.1440000000002</v>
      </c>
      <c r="AC46" s="571">
        <f>'Tab 4 Adjustment Details'!AF46</f>
        <v>-33</v>
      </c>
      <c r="AD46" s="571">
        <f>'Tab 4 Adjustment Details'!AG46</f>
        <v>-360</v>
      </c>
      <c r="AE46" s="571">
        <f>'Tab 4 Adjustment Details'!AH46</f>
        <v>119</v>
      </c>
      <c r="AF46" s="571">
        <f>'Tab 4 Adjustment Details'!AI46</f>
        <v>2458</v>
      </c>
      <c r="AG46" s="571">
        <f>'Tab 4 Adjustment Details'!AJ46</f>
        <v>694</v>
      </c>
      <c r="AH46" s="571">
        <f>'Tab 4 Adjustment Details'!AK46</f>
        <v>-57</v>
      </c>
      <c r="AI46" s="571">
        <f>'Tab 4 Adjustment Details'!AL46</f>
        <v>-1641</v>
      </c>
      <c r="AJ46" s="571">
        <f>'Tab 4 Adjustment Details'!AM46</f>
        <v>129</v>
      </c>
      <c r="AK46" s="571">
        <f>'Tab 4 Adjustment Details'!AN46</f>
        <v>-987</v>
      </c>
      <c r="AL46" s="571">
        <f>'Tab 4 Adjustment Details'!AO46</f>
        <v>0</v>
      </c>
      <c r="AM46" s="571">
        <f>'Tab 4 Adjustment Details'!AP46</f>
        <v>347</v>
      </c>
      <c r="AN46" s="571">
        <f>'Tab 4 Adjustment Details'!AQ46</f>
        <v>532</v>
      </c>
      <c r="AO46" s="571">
        <f>'Tab 4 Adjustment Details'!AS46</f>
        <v>0</v>
      </c>
      <c r="AP46" s="571" t="e">
        <f>'Tab 4 Adjustment Details'!#REF!</f>
        <v>#REF!</v>
      </c>
    </row>
    <row r="47" spans="1:42" s="548" customFormat="1" ht="6.75" customHeight="1">
      <c r="E47" s="551"/>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c r="AN47" s="559"/>
      <c r="AO47" s="559"/>
      <c r="AP47" s="559"/>
    </row>
    <row r="48" spans="1:42" s="548" customFormat="1">
      <c r="A48" s="546">
        <f ca="1">'Tab 4 Adjustment Details'!A48</f>
        <v>26</v>
      </c>
      <c r="B48" s="548" t="str">
        <f>'Tab 4 Adjustment Details'!B48</f>
        <v xml:space="preserve">OPERATING INCOME BEFORE FIT  </v>
      </c>
      <c r="E48" s="551">
        <f>'Tab 4 Adjustment Details'!E48</f>
        <v>150927</v>
      </c>
      <c r="F48" s="559">
        <f>'Tab 4 Adjustment Details'!F48</f>
        <v>0</v>
      </c>
      <c r="G48" s="559">
        <f>'Tab 4 Adjustment Details'!G48</f>
        <v>-12</v>
      </c>
      <c r="H48" s="559">
        <f>'Tab 4 Adjustment Details'!H48</f>
        <v>0</v>
      </c>
      <c r="I48" s="559">
        <f>'Tab 4 Adjustment Details'!I48</f>
        <v>-147</v>
      </c>
      <c r="J48" s="559">
        <f>'Tab 4 Adjustment Details'!J48</f>
        <v>250</v>
      </c>
      <c r="K48" s="559">
        <f>'Tab 4 Adjustment Details'!K48</f>
        <v>-1321</v>
      </c>
      <c r="L48" s="559">
        <f>'Tab 4 Adjustment Details'!L48</f>
        <v>-7</v>
      </c>
      <c r="M48" s="559">
        <f>'Tab 4 Adjustment Details'!M48</f>
        <v>-151</v>
      </c>
      <c r="N48" s="559">
        <f>'Tab 4 Adjustment Details'!N48</f>
        <v>0</v>
      </c>
      <c r="O48" s="559">
        <f>'Tab 4 Adjustment Details'!O48</f>
        <v>31</v>
      </c>
      <c r="P48" s="559">
        <f>'Tab 4 Adjustment Details'!P48</f>
        <v>62</v>
      </c>
      <c r="Q48" s="559">
        <f>'Tab 4 Adjustment Details'!Q48</f>
        <v>94</v>
      </c>
      <c r="R48" s="559">
        <f>'Tab 4 Adjustment Details'!R48</f>
        <v>1269</v>
      </c>
      <c r="S48" s="559">
        <f>'Tab 4 Adjustment Details'!S48</f>
        <v>0</v>
      </c>
      <c r="T48" s="559">
        <f>'Tab 4 Adjustment Details'!T48</f>
        <v>-1491</v>
      </c>
      <c r="U48" s="559">
        <f>'Tab 4 Adjustment Details'!U48</f>
        <v>6748</v>
      </c>
      <c r="V48" s="559">
        <f>'Tab 4 Adjustment Details'!V48</f>
        <v>4</v>
      </c>
      <c r="W48" s="559">
        <f>'Tab 4 Adjustment Details'!W48</f>
        <v>626</v>
      </c>
      <c r="X48" s="559">
        <f>'Tab 4 Adjustment Details'!X48</f>
        <v>1174</v>
      </c>
      <c r="Y48" s="559">
        <f>'Tab 4 Adjustment Details'!Y48</f>
        <v>0</v>
      </c>
      <c r="Z48" s="559">
        <f>'Tab 4 Adjustment Details'!Z48</f>
        <v>-11840</v>
      </c>
      <c r="AA48" s="559">
        <f>'Tab 4 Adjustment Details'!AD48</f>
        <v>-101</v>
      </c>
      <c r="AB48" s="559">
        <f>'Tab 4 Adjustment Details'!AE48</f>
        <v>-1534.1440000000002</v>
      </c>
      <c r="AC48" s="559">
        <f>'Tab 4 Adjustment Details'!AF48</f>
        <v>33</v>
      </c>
      <c r="AD48" s="559">
        <f>'Tab 4 Adjustment Details'!AG48</f>
        <v>360</v>
      </c>
      <c r="AE48" s="559">
        <f>'Tab 4 Adjustment Details'!AH48</f>
        <v>-119</v>
      </c>
      <c r="AF48" s="559">
        <f>'Tab 4 Adjustment Details'!AI48</f>
        <v>-2458</v>
      </c>
      <c r="AG48" s="559">
        <f>'Tab 4 Adjustment Details'!AJ48</f>
        <v>-694</v>
      </c>
      <c r="AH48" s="559">
        <f>'Tab 4 Adjustment Details'!AK48</f>
        <v>-5055</v>
      </c>
      <c r="AI48" s="559">
        <f>'Tab 4 Adjustment Details'!AL48</f>
        <v>1641</v>
      </c>
      <c r="AJ48" s="559">
        <f>'Tab 4 Adjustment Details'!AM48</f>
        <v>-129</v>
      </c>
      <c r="AK48" s="559">
        <f>'Tab 4 Adjustment Details'!AN48</f>
        <v>987</v>
      </c>
      <c r="AL48" s="559">
        <f>'Tab 4 Adjustment Details'!AO48</f>
        <v>0</v>
      </c>
      <c r="AM48" s="559">
        <f>'Tab 4 Adjustment Details'!AP48</f>
        <v>-347</v>
      </c>
      <c r="AN48" s="559">
        <f>'Tab 4 Adjustment Details'!AQ48</f>
        <v>-532</v>
      </c>
      <c r="AO48" s="559">
        <f>'Tab 4 Adjustment Details'!AS48</f>
        <v>0</v>
      </c>
      <c r="AP48" s="559" t="e">
        <f>'Tab 4 Adjustment Details'!#REF!</f>
        <v>#REF!</v>
      </c>
    </row>
    <row r="49" spans="1:42" s="548" customFormat="1" ht="6.75" customHeight="1">
      <c r="A49" s="546"/>
      <c r="E49" s="551"/>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row>
    <row r="50" spans="1:42" s="548" customFormat="1">
      <c r="A50" s="550"/>
      <c r="B50" s="548" t="str">
        <f>'Tab 4 Adjustment Details'!B50</f>
        <v xml:space="preserve">FEDERAL INCOME TAX  </v>
      </c>
      <c r="E50" s="551">
        <f>'Tab 4 Adjustment Details'!E50</f>
        <v>0</v>
      </c>
      <c r="F50" s="559">
        <f>'Tab 4 Adjustment Details'!F50</f>
        <v>0</v>
      </c>
      <c r="G50" s="559">
        <f>'Tab 4 Adjustment Details'!G50</f>
        <v>0</v>
      </c>
      <c r="H50" s="559">
        <f>'Tab 4 Adjustment Details'!H50</f>
        <v>0</v>
      </c>
      <c r="I50" s="559">
        <f>'Tab 4 Adjustment Details'!I50</f>
        <v>0</v>
      </c>
      <c r="J50" s="559">
        <f>'Tab 4 Adjustment Details'!J50</f>
        <v>0</v>
      </c>
      <c r="K50" s="559">
        <f>'Tab 4 Adjustment Details'!K50</f>
        <v>0</v>
      </c>
      <c r="L50" s="559">
        <f>'Tab 4 Adjustment Details'!L50</f>
        <v>0</v>
      </c>
      <c r="M50" s="559">
        <f>'Tab 4 Adjustment Details'!M50</f>
        <v>0</v>
      </c>
      <c r="N50" s="559">
        <f>'Tab 4 Adjustment Details'!N50</f>
        <v>0</v>
      </c>
      <c r="O50" s="559">
        <f>'Tab 4 Adjustment Details'!O50</f>
        <v>0</v>
      </c>
      <c r="P50" s="559">
        <f>'Tab 4 Adjustment Details'!P50</f>
        <v>0</v>
      </c>
      <c r="Q50" s="559">
        <f>'Tab 4 Adjustment Details'!Q50</f>
        <v>0</v>
      </c>
      <c r="R50" s="559">
        <f>'Tab 4 Adjustment Details'!R50</f>
        <v>0</v>
      </c>
      <c r="S50" s="559">
        <f>'Tab 4 Adjustment Details'!S50</f>
        <v>0</v>
      </c>
      <c r="T50" s="559">
        <f>'Tab 4 Adjustment Details'!T50</f>
        <v>0</v>
      </c>
      <c r="U50" s="559">
        <f>'Tab 4 Adjustment Details'!U50</f>
        <v>0</v>
      </c>
      <c r="V50" s="559">
        <f>'Tab 4 Adjustment Details'!V50</f>
        <v>0</v>
      </c>
      <c r="W50" s="559">
        <f>'Tab 4 Adjustment Details'!W50</f>
        <v>0</v>
      </c>
      <c r="X50" s="559">
        <f>'Tab 4 Adjustment Details'!X50</f>
        <v>0</v>
      </c>
      <c r="Y50" s="559">
        <f>'Tab 4 Adjustment Details'!Y50</f>
        <v>0</v>
      </c>
      <c r="Z50" s="559">
        <f>'Tab 4 Adjustment Details'!Z50</f>
        <v>0</v>
      </c>
      <c r="AA50" s="559">
        <f>'Tab 4 Adjustment Details'!AD50</f>
        <v>0</v>
      </c>
      <c r="AB50" s="559">
        <f>'Tab 4 Adjustment Details'!AE50</f>
        <v>0</v>
      </c>
      <c r="AC50" s="559">
        <f>'Tab 4 Adjustment Details'!AF50</f>
        <v>0</v>
      </c>
      <c r="AD50" s="559">
        <f>'Tab 4 Adjustment Details'!AG50</f>
        <v>0</v>
      </c>
      <c r="AE50" s="559">
        <f>'Tab 4 Adjustment Details'!AH50</f>
        <v>0</v>
      </c>
      <c r="AF50" s="559">
        <f>'Tab 4 Adjustment Details'!AI50</f>
        <v>0</v>
      </c>
      <c r="AG50" s="559">
        <f>'Tab 4 Adjustment Details'!AJ50</f>
        <v>0</v>
      </c>
      <c r="AH50" s="559">
        <f>'Tab 4 Adjustment Details'!AK50</f>
        <v>0</v>
      </c>
      <c r="AI50" s="559">
        <f>'Tab 4 Adjustment Details'!AL50</f>
        <v>0</v>
      </c>
      <c r="AJ50" s="559">
        <f>'Tab 4 Adjustment Details'!AM50</f>
        <v>0</v>
      </c>
      <c r="AK50" s="559">
        <f>'Tab 4 Adjustment Details'!AN50</f>
        <v>0</v>
      </c>
      <c r="AL50" s="559">
        <f>'Tab 4 Adjustment Details'!AO50</f>
        <v>0</v>
      </c>
      <c r="AM50" s="559">
        <f>'Tab 4 Adjustment Details'!AP50</f>
        <v>0</v>
      </c>
      <c r="AN50" s="559">
        <f>'Tab 4 Adjustment Details'!AQ50</f>
        <v>0</v>
      </c>
      <c r="AO50" s="559">
        <f>'Tab 4 Adjustment Details'!AS50</f>
        <v>0</v>
      </c>
      <c r="AP50" s="559" t="e">
        <f>'Tab 4 Adjustment Details'!#REF!</f>
        <v>#REF!</v>
      </c>
    </row>
    <row r="51" spans="1:42" s="548" customFormat="1">
      <c r="A51" s="575">
        <f ca="1">'Tab 4 Adjustment Details'!A51</f>
        <v>27</v>
      </c>
      <c r="B51" s="548" t="str">
        <f>'Tab 4 Adjustment Details'!B51</f>
        <v xml:space="preserve">Current Accrual </v>
      </c>
      <c r="E51" s="555">
        <f>'Tab 4 Adjustment Details'!E51</f>
        <v>-25741</v>
      </c>
      <c r="F51" s="559">
        <f>'Tab 4 Adjustment Details'!F51</f>
        <v>0</v>
      </c>
      <c r="G51" s="559">
        <f>'Tab 4 Adjustment Details'!G51</f>
        <v>-4.1999999999999993</v>
      </c>
      <c r="H51" s="559">
        <f>'Tab 4 Adjustment Details'!H51</f>
        <v>0</v>
      </c>
      <c r="I51" s="559">
        <f>'Tab 4 Adjustment Details'!I51</f>
        <v>-51.449999999999996</v>
      </c>
      <c r="J51" s="559">
        <f>'Tab 4 Adjustment Details'!J51</f>
        <v>87.5</v>
      </c>
      <c r="K51" s="559">
        <f>'Tab 4 Adjustment Details'!K51</f>
        <v>-462.34999999999997</v>
      </c>
      <c r="L51" s="559">
        <f>'Tab 4 Adjustment Details'!L51</f>
        <v>-2.4499999999999997</v>
      </c>
      <c r="M51" s="559">
        <f>'Tab 4 Adjustment Details'!M51</f>
        <v>-52.849999999999994</v>
      </c>
      <c r="N51" s="559">
        <f>'Tab 4 Adjustment Details'!N51</f>
        <v>109.99999999999999</v>
      </c>
      <c r="O51" s="559">
        <f>'Tab 4 Adjustment Details'!O51</f>
        <v>10.85</v>
      </c>
      <c r="P51" s="559">
        <f>'Tab 4 Adjustment Details'!P51</f>
        <v>21.7</v>
      </c>
      <c r="Q51" s="559">
        <f>'Tab 4 Adjustment Details'!Q51</f>
        <v>32.9</v>
      </c>
      <c r="R51" s="559">
        <f>'Tab 4 Adjustment Details'!R51</f>
        <v>444.15</v>
      </c>
      <c r="S51" s="559">
        <f>'Tab 4 Adjustment Details'!S51</f>
        <v>0</v>
      </c>
      <c r="T51" s="559">
        <f>'Tab 4 Adjustment Details'!T51</f>
        <v>-521.85</v>
      </c>
      <c r="U51" s="559">
        <f>'Tab 4 Adjustment Details'!U51</f>
        <v>1567.0000000000002</v>
      </c>
      <c r="V51" s="559">
        <f>'Tab 4 Adjustment Details'!V51</f>
        <v>1.4</v>
      </c>
      <c r="W51" s="559">
        <f>'Tab 4 Adjustment Details'!W51</f>
        <v>219.1</v>
      </c>
      <c r="X51" s="559">
        <f>'Tab 4 Adjustment Details'!X51</f>
        <v>410.9</v>
      </c>
      <c r="Y51" s="559">
        <f>'Tab 4 Adjustment Details'!Y51</f>
        <v>202.00000000000003</v>
      </c>
      <c r="Z51" s="559">
        <f>'Tab 4 Adjustment Details'!Z51</f>
        <v>-4144</v>
      </c>
      <c r="AA51" s="559">
        <f>'Tab 4 Adjustment Details'!AD51</f>
        <v>-35.349999999999994</v>
      </c>
      <c r="AB51" s="559">
        <f>'Tab 4 Adjustment Details'!AE51</f>
        <v>-536.95040000000006</v>
      </c>
      <c r="AC51" s="559">
        <f>'Tab 4 Adjustment Details'!AF51</f>
        <v>11.549999999999999</v>
      </c>
      <c r="AD51" s="559">
        <f>'Tab 4 Adjustment Details'!AG51</f>
        <v>125.99999999999999</v>
      </c>
      <c r="AE51" s="559">
        <f>'Tab 4 Adjustment Details'!AH51</f>
        <v>-41.65</v>
      </c>
      <c r="AF51" s="559">
        <f>'Tab 4 Adjustment Details'!AI51</f>
        <v>-860.3</v>
      </c>
      <c r="AG51" s="559">
        <f>'Tab 4 Adjustment Details'!AJ51</f>
        <v>-242.89999999999998</v>
      </c>
      <c r="AH51" s="559">
        <f>'Tab 4 Adjustment Details'!AK51</f>
        <v>-1769.25</v>
      </c>
      <c r="AI51" s="559">
        <f>'Tab 4 Adjustment Details'!AL51</f>
        <v>574.34999999999991</v>
      </c>
      <c r="AJ51" s="559">
        <f>'Tab 4 Adjustment Details'!AM51</f>
        <v>-45.15</v>
      </c>
      <c r="AK51" s="559">
        <f>'Tab 4 Adjustment Details'!AN51</f>
        <v>345.45</v>
      </c>
      <c r="AL51" s="559">
        <f>'Tab 4 Adjustment Details'!AO51</f>
        <v>0</v>
      </c>
      <c r="AM51" s="559">
        <f>'Tab 4 Adjustment Details'!AP51</f>
        <v>-121.44999999999999</v>
      </c>
      <c r="AN51" s="559">
        <f>'Tab 4 Adjustment Details'!AQ51</f>
        <v>-186.2</v>
      </c>
      <c r="AO51" s="559">
        <f>'Tab 4 Adjustment Details'!AS51</f>
        <v>0</v>
      </c>
      <c r="AP51" s="559" t="e">
        <f>'Tab 4 Adjustment Details'!#REF!</f>
        <v>#REF!</v>
      </c>
    </row>
    <row r="52" spans="1:42" s="551" customFormat="1">
      <c r="A52" s="546">
        <f ca="1">'Tab 4 Adjustment Details'!A52</f>
        <v>28</v>
      </c>
      <c r="B52" s="551" t="str">
        <f>'Tab 4 Adjustment Details'!B52</f>
        <v>Debt Interest</v>
      </c>
      <c r="E52" s="555">
        <f>'Tab 4 Adjustment Details'!E52</f>
        <v>0</v>
      </c>
      <c r="F52" s="560">
        <f>'Tab 4 Adjustment Details'!F52</f>
        <v>-7.5602799999999997</v>
      </c>
      <c r="G52" s="560">
        <f>'Tab 4 Adjustment Details'!G52</f>
        <v>0</v>
      </c>
      <c r="H52" s="560">
        <f>'Tab 4 Adjustment Details'!H52</f>
        <v>28.196279999999998</v>
      </c>
      <c r="I52" s="560">
        <f>'Tab 4 Adjustment Details'!I52</f>
        <v>0</v>
      </c>
      <c r="J52" s="560">
        <f>'Tab 4 Adjustment Details'!J52</f>
        <v>0</v>
      </c>
      <c r="K52" s="560">
        <f>'Tab 4 Adjustment Details'!K52</f>
        <v>0</v>
      </c>
      <c r="L52" s="560">
        <f>'Tab 4 Adjustment Details'!L52</f>
        <v>0</v>
      </c>
      <c r="M52" s="560">
        <f>'Tab 4 Adjustment Details'!M52</f>
        <v>0</v>
      </c>
      <c r="N52" s="560">
        <f>'Tab 4 Adjustment Details'!N52</f>
        <v>0</v>
      </c>
      <c r="O52" s="560">
        <f>'Tab 4 Adjustment Details'!O52</f>
        <v>0</v>
      </c>
      <c r="P52" s="560">
        <f>'Tab 4 Adjustment Details'!P52</f>
        <v>0</v>
      </c>
      <c r="Q52" s="560">
        <f>'Tab 4 Adjustment Details'!Q52</f>
        <v>0</v>
      </c>
      <c r="R52" s="560">
        <f>'Tab 4 Adjustment Details'!R52</f>
        <v>0</v>
      </c>
      <c r="S52" s="560">
        <f>'Tab 4 Adjustment Details'!S52</f>
        <v>0</v>
      </c>
      <c r="T52" s="560">
        <f>'Tab 4 Adjustment Details'!T52</f>
        <v>0</v>
      </c>
      <c r="U52" s="560">
        <f>'Tab 4 Adjustment Details'!U52</f>
        <v>0</v>
      </c>
      <c r="V52" s="560">
        <f>'Tab 4 Adjustment Details'!V52</f>
        <v>0</v>
      </c>
      <c r="W52" s="560">
        <f>'Tab 4 Adjustment Details'!W52</f>
        <v>0</v>
      </c>
      <c r="X52" s="560">
        <f>'Tab 4 Adjustment Details'!X52</f>
        <v>0</v>
      </c>
      <c r="Y52" s="560">
        <f>'Tab 4 Adjustment Details'!Y52</f>
        <v>0</v>
      </c>
      <c r="Z52" s="560">
        <f>'Tab 4 Adjustment Details'!Z52</f>
        <v>0</v>
      </c>
      <c r="AA52" s="560">
        <f>'Tab 4 Adjustment Details'!AD52</f>
        <v>0</v>
      </c>
      <c r="AB52" s="560">
        <f>'Tab 4 Adjustment Details'!AE52</f>
        <v>0</v>
      </c>
      <c r="AC52" s="560">
        <f>'Tab 4 Adjustment Details'!AF52</f>
        <v>0</v>
      </c>
      <c r="AD52" s="560">
        <f>'Tab 4 Adjustment Details'!AG52</f>
        <v>0</v>
      </c>
      <c r="AE52" s="560">
        <f>'Tab 4 Adjustment Details'!AH52</f>
        <v>0</v>
      </c>
      <c r="AF52" s="560">
        <f>'Tab 4 Adjustment Details'!AI52</f>
        <v>0</v>
      </c>
      <c r="AG52" s="560">
        <f>'Tab 4 Adjustment Details'!AJ52</f>
        <v>0</v>
      </c>
      <c r="AH52" s="560">
        <f>'Tab 4 Adjustment Details'!AK52</f>
        <v>0</v>
      </c>
      <c r="AI52" s="560">
        <f>'Tab 4 Adjustment Details'!AL52</f>
        <v>50.145480000000006</v>
      </c>
      <c r="AJ52" s="560">
        <f>'Tab 4 Adjustment Details'!AM52</f>
        <v>-52.197753713051561</v>
      </c>
      <c r="AK52" s="560">
        <f>'Tab 4 Adjustment Details'!AN52</f>
        <v>0</v>
      </c>
      <c r="AL52" s="560">
        <f>'Tab 4 Adjustment Details'!AO52</f>
        <v>0</v>
      </c>
      <c r="AM52" s="560">
        <f>'Tab 4 Adjustment Details'!AP52</f>
        <v>0</v>
      </c>
      <c r="AN52" s="560">
        <f>'Tab 4 Adjustment Details'!AQ52</f>
        <v>0</v>
      </c>
      <c r="AO52" s="560">
        <f>'Tab 4 Adjustment Details'!AS52</f>
        <v>0</v>
      </c>
      <c r="AP52" s="560" t="e">
        <f>'Tab 4 Adjustment Details'!#REF!</f>
        <v>#REF!</v>
      </c>
    </row>
    <row r="53" spans="1:42" s="548" customFormat="1">
      <c r="A53" s="546">
        <f ca="1">'Tab 4 Adjustment Details'!A53</f>
        <v>29</v>
      </c>
      <c r="B53" s="548" t="str">
        <f>'Tab 4 Adjustment Details'!B53</f>
        <v xml:space="preserve">Deferred Income Taxes  </v>
      </c>
      <c r="E53" s="555">
        <f>'Tab 4 Adjustment Details'!E53</f>
        <v>66436</v>
      </c>
      <c r="F53" s="559">
        <f>'Tab 4 Adjustment Details'!F53</f>
        <v>0</v>
      </c>
      <c r="G53" s="559">
        <f>'Tab 4 Adjustment Details'!G53</f>
        <v>0</v>
      </c>
      <c r="H53" s="559">
        <f>'Tab 4 Adjustment Details'!H53</f>
        <v>0</v>
      </c>
      <c r="I53" s="559">
        <f>'Tab 4 Adjustment Details'!I53</f>
        <v>0</v>
      </c>
      <c r="J53" s="559">
        <f>'Tab 4 Adjustment Details'!J53</f>
        <v>0</v>
      </c>
      <c r="K53" s="559">
        <f>'Tab 4 Adjustment Details'!K53</f>
        <v>0</v>
      </c>
      <c r="L53" s="559">
        <f>'Tab 4 Adjustment Details'!L53</f>
        <v>0</v>
      </c>
      <c r="M53" s="559">
        <f>'Tab 4 Adjustment Details'!M53</f>
        <v>0</v>
      </c>
      <c r="N53" s="559">
        <f>'Tab 4 Adjustment Details'!N53</f>
        <v>-40</v>
      </c>
      <c r="O53" s="559">
        <f>'Tab 4 Adjustment Details'!O53</f>
        <v>0</v>
      </c>
      <c r="P53" s="559">
        <f>'Tab 4 Adjustment Details'!P53</f>
        <v>0</v>
      </c>
      <c r="Q53" s="559">
        <f>'Tab 4 Adjustment Details'!Q53</f>
        <v>0</v>
      </c>
      <c r="R53" s="559">
        <f>'Tab 4 Adjustment Details'!R53</f>
        <v>0</v>
      </c>
      <c r="S53" s="559">
        <f>'Tab 4 Adjustment Details'!S53</f>
        <v>0</v>
      </c>
      <c r="T53" s="559">
        <f>'Tab 4 Adjustment Details'!T53</f>
        <v>0</v>
      </c>
      <c r="U53" s="559">
        <f>'Tab 4 Adjustment Details'!U53</f>
        <v>795</v>
      </c>
      <c r="V53" s="559">
        <f>'Tab 4 Adjustment Details'!V53</f>
        <v>0</v>
      </c>
      <c r="W53" s="559">
        <f>'Tab 4 Adjustment Details'!W53</f>
        <v>0</v>
      </c>
      <c r="X53" s="559">
        <f>'Tab 4 Adjustment Details'!X53</f>
        <v>0</v>
      </c>
      <c r="Y53" s="559">
        <f>'Tab 4 Adjustment Details'!Y53</f>
        <v>0</v>
      </c>
      <c r="Z53" s="559">
        <f>'Tab 4 Adjustment Details'!Z53</f>
        <v>0</v>
      </c>
      <c r="AA53" s="559">
        <f>'Tab 4 Adjustment Details'!AD53</f>
        <v>0</v>
      </c>
      <c r="AB53" s="559">
        <f>'Tab 4 Adjustment Details'!AE53</f>
        <v>0</v>
      </c>
      <c r="AC53" s="559">
        <f>'Tab 4 Adjustment Details'!AF53</f>
        <v>0</v>
      </c>
      <c r="AD53" s="559">
        <f>'Tab 4 Adjustment Details'!AG53</f>
        <v>0</v>
      </c>
      <c r="AE53" s="559">
        <f>'Tab 4 Adjustment Details'!AH53</f>
        <v>0</v>
      </c>
      <c r="AF53" s="559">
        <f>'Tab 4 Adjustment Details'!AI53</f>
        <v>0</v>
      </c>
      <c r="AG53" s="559">
        <f>'Tab 4 Adjustment Details'!AJ53</f>
        <v>0</v>
      </c>
      <c r="AH53" s="559">
        <f>'Tab 4 Adjustment Details'!AK53</f>
        <v>0</v>
      </c>
      <c r="AI53" s="559">
        <f>'Tab 4 Adjustment Details'!AL53</f>
        <v>0</v>
      </c>
      <c r="AJ53" s="559">
        <f>'Tab 4 Adjustment Details'!AM53</f>
        <v>0</v>
      </c>
      <c r="AK53" s="559">
        <f>'Tab 4 Adjustment Details'!AN53</f>
        <v>0</v>
      </c>
      <c r="AL53" s="559">
        <f>'Tab 4 Adjustment Details'!AO53</f>
        <v>0</v>
      </c>
      <c r="AM53" s="559">
        <f>'Tab 4 Adjustment Details'!AP53</f>
        <v>0</v>
      </c>
      <c r="AN53" s="559">
        <f>'Tab 4 Adjustment Details'!AQ53</f>
        <v>0</v>
      </c>
      <c r="AO53" s="559">
        <f>'Tab 4 Adjustment Details'!AS53</f>
        <v>0</v>
      </c>
      <c r="AP53" s="559" t="e">
        <f>'Tab 4 Adjustment Details'!#REF!</f>
        <v>#REF!</v>
      </c>
    </row>
    <row r="54" spans="1:42" s="548" customFormat="1">
      <c r="A54" s="550">
        <f ca="1">'Tab 4 Adjustment Details'!A54</f>
        <v>30</v>
      </c>
      <c r="B54" s="548" t="str">
        <f>'Tab 4 Adjustment Details'!B54</f>
        <v>Amortized ITC - Noxon</v>
      </c>
      <c r="E54" s="581">
        <f>'Tab 4 Adjustment Details'!E54</f>
        <v>-325</v>
      </c>
      <c r="F54" s="571">
        <f>'Tab 4 Adjustment Details'!F54</f>
        <v>0</v>
      </c>
      <c r="G54" s="571">
        <f>'Tab 4 Adjustment Details'!G54</f>
        <v>0</v>
      </c>
      <c r="H54" s="571">
        <f>'Tab 4 Adjustment Details'!H54</f>
        <v>0</v>
      </c>
      <c r="I54" s="571">
        <f>'Tab 4 Adjustment Details'!I54</f>
        <v>0</v>
      </c>
      <c r="J54" s="571">
        <f>'Tab 4 Adjustment Details'!J54</f>
        <v>0</v>
      </c>
      <c r="K54" s="571">
        <f>'Tab 4 Adjustment Details'!K54</f>
        <v>0</v>
      </c>
      <c r="L54" s="571">
        <f>'Tab 4 Adjustment Details'!L54</f>
        <v>0</v>
      </c>
      <c r="M54" s="571">
        <f>'Tab 4 Adjustment Details'!M54</f>
        <v>0</v>
      </c>
      <c r="N54" s="571">
        <f>'Tab 4 Adjustment Details'!N54</f>
        <v>-1</v>
      </c>
      <c r="O54" s="571">
        <f>'Tab 4 Adjustment Details'!O54</f>
        <v>0</v>
      </c>
      <c r="P54" s="571">
        <f>'Tab 4 Adjustment Details'!P54</f>
        <v>0</v>
      </c>
      <c r="Q54" s="571">
        <f>'Tab 4 Adjustment Details'!Q54</f>
        <v>0</v>
      </c>
      <c r="R54" s="571">
        <f>'Tab 4 Adjustment Details'!R54</f>
        <v>0</v>
      </c>
      <c r="S54" s="571">
        <f>'Tab 4 Adjustment Details'!S54</f>
        <v>0</v>
      </c>
      <c r="T54" s="571">
        <f>'Tab 4 Adjustment Details'!T54</f>
        <v>0</v>
      </c>
      <c r="U54" s="571">
        <f>'Tab 4 Adjustment Details'!U54</f>
        <v>0</v>
      </c>
      <c r="V54" s="571">
        <f>'Tab 4 Adjustment Details'!V54</f>
        <v>0</v>
      </c>
      <c r="W54" s="571">
        <f>'Tab 4 Adjustment Details'!W54</f>
        <v>0</v>
      </c>
      <c r="X54" s="571">
        <f>'Tab 4 Adjustment Details'!X54</f>
        <v>0</v>
      </c>
      <c r="Y54" s="571">
        <f>'Tab 4 Adjustment Details'!Y54</f>
        <v>0</v>
      </c>
      <c r="Z54" s="571">
        <f>'Tab 4 Adjustment Details'!Z54</f>
        <v>0</v>
      </c>
      <c r="AA54" s="571">
        <f>'Tab 4 Adjustment Details'!AD54</f>
        <v>0</v>
      </c>
      <c r="AB54" s="571">
        <f>'Tab 4 Adjustment Details'!AE54</f>
        <v>0</v>
      </c>
      <c r="AC54" s="571">
        <f>'Tab 4 Adjustment Details'!AF54</f>
        <v>0</v>
      </c>
      <c r="AD54" s="571">
        <f>'Tab 4 Adjustment Details'!AG54</f>
        <v>0</v>
      </c>
      <c r="AE54" s="571">
        <f>'Tab 4 Adjustment Details'!AH54</f>
        <v>0</v>
      </c>
      <c r="AF54" s="571">
        <f>'Tab 4 Adjustment Details'!AI54</f>
        <v>0</v>
      </c>
      <c r="AG54" s="571">
        <f>'Tab 4 Adjustment Details'!AJ54</f>
        <v>0</v>
      </c>
      <c r="AH54" s="571">
        <f>'Tab 4 Adjustment Details'!AK54</f>
        <v>0</v>
      </c>
      <c r="AI54" s="571">
        <f>'Tab 4 Adjustment Details'!AL54</f>
        <v>0</v>
      </c>
      <c r="AJ54" s="571">
        <f>'Tab 4 Adjustment Details'!AM54</f>
        <v>0</v>
      </c>
      <c r="AK54" s="571">
        <f>'Tab 4 Adjustment Details'!AN54</f>
        <v>0</v>
      </c>
      <c r="AL54" s="571">
        <f>'Tab 4 Adjustment Details'!AO54</f>
        <v>0</v>
      </c>
      <c r="AM54" s="571">
        <f>'Tab 4 Adjustment Details'!AP54</f>
        <v>0</v>
      </c>
      <c r="AN54" s="571">
        <f>'Tab 4 Adjustment Details'!AQ54</f>
        <v>0</v>
      </c>
      <c r="AO54" s="571">
        <f>'Tab 4 Adjustment Details'!AS54</f>
        <v>0</v>
      </c>
      <c r="AP54" s="571" t="e">
        <f>'Tab 4 Adjustment Details'!#REF!</f>
        <v>#REF!</v>
      </c>
    </row>
    <row r="55" spans="1:42" ht="6.75" customHeight="1"/>
    <row r="56" spans="1:42" s="547" customFormat="1" ht="12.75" thickBot="1">
      <c r="A56" s="549">
        <f ca="1">'Tab 4 Adjustment Details'!A57</f>
        <v>32</v>
      </c>
      <c r="B56" s="547" t="str">
        <f>'Tab 4 Adjustment Details'!B57</f>
        <v xml:space="preserve">NET OPERATING INCOME  </v>
      </c>
      <c r="E56" s="582">
        <f>'Tab 4 Adjustment Details'!E57</f>
        <v>110557</v>
      </c>
      <c r="F56" s="583">
        <f>'Tab 4 Adjustment Details'!F57</f>
        <v>7.5602799999999997</v>
      </c>
      <c r="G56" s="583">
        <f>'Tab 4 Adjustment Details'!G57</f>
        <v>-7.8000000000000007</v>
      </c>
      <c r="H56" s="583">
        <f>'Tab 4 Adjustment Details'!H57</f>
        <v>-28.196279999999998</v>
      </c>
      <c r="I56" s="583">
        <f>'Tab 4 Adjustment Details'!I57</f>
        <v>-95.550000000000011</v>
      </c>
      <c r="J56" s="583">
        <f>'Tab 4 Adjustment Details'!J57</f>
        <v>162.5</v>
      </c>
      <c r="K56" s="583">
        <f>'Tab 4 Adjustment Details'!K57</f>
        <v>-858.65000000000009</v>
      </c>
      <c r="L56" s="583">
        <f>'Tab 4 Adjustment Details'!L57</f>
        <v>-4.5500000000000007</v>
      </c>
      <c r="M56" s="583">
        <f>'Tab 4 Adjustment Details'!M57</f>
        <v>-98.15</v>
      </c>
      <c r="N56" s="583">
        <f>'Tab 4 Adjustment Details'!N57</f>
        <v>-68.999999999999986</v>
      </c>
      <c r="O56" s="583">
        <f>'Tab 4 Adjustment Details'!O57</f>
        <v>20.149999999999999</v>
      </c>
      <c r="P56" s="583">
        <f>'Tab 4 Adjustment Details'!P57</f>
        <v>40.299999999999997</v>
      </c>
      <c r="Q56" s="583">
        <f>'Tab 4 Adjustment Details'!Q57</f>
        <v>61.1</v>
      </c>
      <c r="R56" s="583">
        <f>'Tab 4 Adjustment Details'!R57</f>
        <v>824.85</v>
      </c>
      <c r="S56" s="583">
        <f>'Tab 4 Adjustment Details'!S57</f>
        <v>0</v>
      </c>
      <c r="T56" s="583">
        <f>'Tab 4 Adjustment Details'!T57</f>
        <v>-969.15</v>
      </c>
      <c r="U56" s="583">
        <f>'Tab 4 Adjustment Details'!U57</f>
        <v>4386</v>
      </c>
      <c r="V56" s="583">
        <f>'Tab 4 Adjustment Details'!V57</f>
        <v>2.6</v>
      </c>
      <c r="W56" s="583">
        <f>'Tab 4 Adjustment Details'!W57</f>
        <v>406.9</v>
      </c>
      <c r="X56" s="583">
        <f>'Tab 4 Adjustment Details'!X57</f>
        <v>763.1</v>
      </c>
      <c r="Y56" s="583">
        <f>'Tab 4 Adjustment Details'!Y57</f>
        <v>-202.00000000000003</v>
      </c>
      <c r="Z56" s="583">
        <f>'Tab 4 Adjustment Details'!Z57</f>
        <v>-7696</v>
      </c>
      <c r="AA56" s="583">
        <f>'Tab 4 Adjustment Details'!AD57</f>
        <v>-65.650000000000006</v>
      </c>
      <c r="AB56" s="583">
        <f>'Tab 4 Adjustment Details'!AE57</f>
        <v>-997.19360000000017</v>
      </c>
      <c r="AC56" s="583">
        <f>'Tab 4 Adjustment Details'!AF57</f>
        <v>21.450000000000003</v>
      </c>
      <c r="AD56" s="583">
        <f>'Tab 4 Adjustment Details'!AG57</f>
        <v>234</v>
      </c>
      <c r="AE56" s="583">
        <f>'Tab 4 Adjustment Details'!AH57</f>
        <v>-77.349999999999994</v>
      </c>
      <c r="AF56" s="583">
        <f>'Tab 4 Adjustment Details'!AI57</f>
        <v>-1597.7</v>
      </c>
      <c r="AG56" s="583">
        <f>'Tab 4 Adjustment Details'!AJ57</f>
        <v>-451.1</v>
      </c>
      <c r="AH56" s="583">
        <f>'Tab 4 Adjustment Details'!AK57</f>
        <v>-3285.75</v>
      </c>
      <c r="AI56" s="583">
        <f>'Tab 4 Adjustment Details'!AL57</f>
        <v>1016.5045200000001</v>
      </c>
      <c r="AJ56" s="583">
        <f>'Tab 4 Adjustment Details'!AM57</f>
        <v>-31.65224628694844</v>
      </c>
      <c r="AK56" s="583">
        <f>'Tab 4 Adjustment Details'!AN57</f>
        <v>641.54999999999995</v>
      </c>
      <c r="AL56" s="583">
        <f>'Tab 4 Adjustment Details'!AO57</f>
        <v>0</v>
      </c>
      <c r="AM56" s="583">
        <f>'Tab 4 Adjustment Details'!AP57</f>
        <v>-225.55</v>
      </c>
      <c r="AN56" s="583">
        <f>'Tab 4 Adjustment Details'!AQ57</f>
        <v>-345.8</v>
      </c>
      <c r="AO56" s="583">
        <f>'Tab 4 Adjustment Details'!AS57</f>
        <v>0</v>
      </c>
      <c r="AP56" s="583" t="e">
        <f>'Tab 4 Adjustment Details'!#REF!</f>
        <v>#REF!</v>
      </c>
    </row>
    <row r="57" spans="1:42" ht="8.25" customHeight="1" thickTop="1">
      <c r="A57" s="549"/>
    </row>
    <row r="58" spans="1:42">
      <c r="A58" s="549"/>
      <c r="B58" s="533" t="str">
        <f>'Tab 4 Adjustment Details'!B59</f>
        <v xml:space="preserve">RATE BASE  </v>
      </c>
    </row>
    <row r="59" spans="1:42">
      <c r="B59" s="533" t="str">
        <f>'Tab 4 Adjustment Details'!B60</f>
        <v xml:space="preserve">PLANT IN SERVICE  </v>
      </c>
    </row>
    <row r="60" spans="1:42" s="547" customFormat="1">
      <c r="A60" s="579">
        <f ca="1">'Tab 4 Adjustment Details'!A61</f>
        <v>33</v>
      </c>
      <c r="C60" s="547" t="str">
        <f>'Tab 4 Adjustment Details'!C61</f>
        <v xml:space="preserve">Intangible  </v>
      </c>
      <c r="E60" s="556">
        <f>'Tab 4 Adjustment Details'!E61</f>
        <v>156057</v>
      </c>
      <c r="F60" s="547">
        <f>'Tab 4 Adjustment Details'!F61</f>
        <v>0</v>
      </c>
      <c r="G60" s="547">
        <f>'Tab 4 Adjustment Details'!G61</f>
        <v>0</v>
      </c>
      <c r="H60" s="547">
        <f>'Tab 4 Adjustment Details'!H61</f>
        <v>0</v>
      </c>
      <c r="I60" s="547">
        <f>'Tab 4 Adjustment Details'!I61</f>
        <v>0</v>
      </c>
      <c r="J60" s="547">
        <f>'Tab 4 Adjustment Details'!J61</f>
        <v>0</v>
      </c>
      <c r="K60" s="547">
        <f>'Tab 4 Adjustment Details'!K61</f>
        <v>0</v>
      </c>
      <c r="L60" s="547">
        <f>'Tab 4 Adjustment Details'!L61</f>
        <v>0</v>
      </c>
      <c r="M60" s="547">
        <f>'Tab 4 Adjustment Details'!M61</f>
        <v>0</v>
      </c>
      <c r="N60" s="547">
        <f>'Tab 4 Adjustment Details'!N61</f>
        <v>0</v>
      </c>
      <c r="O60" s="547">
        <f>'Tab 4 Adjustment Details'!O61</f>
        <v>0</v>
      </c>
      <c r="P60" s="547">
        <f>'Tab 4 Adjustment Details'!P61</f>
        <v>0</v>
      </c>
      <c r="Q60" s="547">
        <f>'Tab 4 Adjustment Details'!Q61</f>
        <v>0</v>
      </c>
      <c r="R60" s="547">
        <f>'Tab 4 Adjustment Details'!R61</f>
        <v>0</v>
      </c>
      <c r="S60" s="547">
        <f>'Tab 4 Adjustment Details'!S61</f>
        <v>0</v>
      </c>
      <c r="T60" s="547">
        <f>'Tab 4 Adjustment Details'!T61</f>
        <v>0</v>
      </c>
      <c r="U60" s="547">
        <f>'Tab 4 Adjustment Details'!U61</f>
        <v>0</v>
      </c>
      <c r="V60" s="547">
        <f>'Tab 4 Adjustment Details'!V61</f>
        <v>0</v>
      </c>
      <c r="W60" s="547">
        <f>'Tab 4 Adjustment Details'!W61</f>
        <v>0</v>
      </c>
      <c r="X60" s="547">
        <f>'Tab 4 Adjustment Details'!X61</f>
        <v>0</v>
      </c>
      <c r="Y60" s="547">
        <f>'Tab 4 Adjustment Details'!Y61</f>
        <v>0</v>
      </c>
      <c r="Z60" s="547">
        <f>'Tab 4 Adjustment Details'!Z61</f>
        <v>0</v>
      </c>
      <c r="AA60" s="547">
        <f>'Tab 4 Adjustment Details'!AD61</f>
        <v>0</v>
      </c>
      <c r="AB60" s="547">
        <f>'Tab 4 Adjustment Details'!AE61</f>
        <v>0</v>
      </c>
      <c r="AC60" s="547">
        <f>'Tab 4 Adjustment Details'!AF61</f>
        <v>0</v>
      </c>
      <c r="AD60" s="547">
        <f>'Tab 4 Adjustment Details'!AG61</f>
        <v>0</v>
      </c>
      <c r="AE60" s="547">
        <f>'Tab 4 Adjustment Details'!AH61</f>
        <v>0</v>
      </c>
      <c r="AF60" s="547">
        <f>'Tab 4 Adjustment Details'!AI61</f>
        <v>0</v>
      </c>
      <c r="AG60" s="547">
        <f>'Tab 4 Adjustment Details'!AJ61</f>
        <v>0</v>
      </c>
      <c r="AH60" s="547">
        <f>'Tab 4 Adjustment Details'!AK61</f>
        <v>0</v>
      </c>
      <c r="AI60" s="547">
        <f>'Tab 4 Adjustment Details'!AL61</f>
        <v>0</v>
      </c>
      <c r="AJ60" s="547">
        <f>'Tab 4 Adjustment Details'!AM61</f>
        <v>0</v>
      </c>
      <c r="AK60" s="547">
        <f>'Tab 4 Adjustment Details'!AN61</f>
        <v>0</v>
      </c>
      <c r="AL60" s="547">
        <f>'Tab 4 Adjustment Details'!AO61</f>
        <v>0</v>
      </c>
      <c r="AM60" s="547">
        <f>'Tab 4 Adjustment Details'!AP61</f>
        <v>0</v>
      </c>
      <c r="AN60" s="547">
        <f>'Tab 4 Adjustment Details'!AQ61</f>
        <v>0</v>
      </c>
      <c r="AO60" s="547">
        <f>'Tab 4 Adjustment Details'!AS61</f>
        <v>0</v>
      </c>
      <c r="AP60" s="547" t="e">
        <f>'Tab 4 Adjustment Details'!#REF!</f>
        <v>#REF!</v>
      </c>
    </row>
    <row r="61" spans="1:42" s="548" customFormat="1">
      <c r="A61" s="549">
        <f ca="1">'Tab 4 Adjustment Details'!A62</f>
        <v>34</v>
      </c>
      <c r="C61" s="548" t="str">
        <f>'Tab 4 Adjustment Details'!C62</f>
        <v xml:space="preserve">Production  </v>
      </c>
      <c r="E61" s="555">
        <f>'Tab 4 Adjustment Details'!E62</f>
        <v>832833</v>
      </c>
      <c r="F61" s="559">
        <f>'Tab 4 Adjustment Details'!F62</f>
        <v>0</v>
      </c>
      <c r="G61" s="559">
        <f>'Tab 4 Adjustment Details'!G62</f>
        <v>0</v>
      </c>
      <c r="H61" s="559">
        <f>'Tab 4 Adjustment Details'!H62</f>
        <v>0</v>
      </c>
      <c r="I61" s="559">
        <f>'Tab 4 Adjustment Details'!I62</f>
        <v>0</v>
      </c>
      <c r="J61" s="559">
        <f>'Tab 4 Adjustment Details'!J62</f>
        <v>0</v>
      </c>
      <c r="K61" s="559">
        <f>'Tab 4 Adjustment Details'!K62</f>
        <v>0</v>
      </c>
      <c r="L61" s="559">
        <f>'Tab 4 Adjustment Details'!L62</f>
        <v>0</v>
      </c>
      <c r="M61" s="559">
        <f>'Tab 4 Adjustment Details'!M62</f>
        <v>0</v>
      </c>
      <c r="N61" s="559">
        <f>'Tab 4 Adjustment Details'!N62</f>
        <v>0</v>
      </c>
      <c r="O61" s="559">
        <f>'Tab 4 Adjustment Details'!O62</f>
        <v>0</v>
      </c>
      <c r="P61" s="559">
        <f>'Tab 4 Adjustment Details'!P62</f>
        <v>0</v>
      </c>
      <c r="Q61" s="559">
        <f>'Tab 4 Adjustment Details'!Q62</f>
        <v>0</v>
      </c>
      <c r="R61" s="559">
        <f>'Tab 4 Adjustment Details'!R62</f>
        <v>0</v>
      </c>
      <c r="S61" s="559">
        <f>'Tab 4 Adjustment Details'!S62</f>
        <v>0</v>
      </c>
      <c r="T61" s="559">
        <f>'Tab 4 Adjustment Details'!T62</f>
        <v>0</v>
      </c>
      <c r="U61" s="559">
        <f>'Tab 4 Adjustment Details'!U62</f>
        <v>0</v>
      </c>
      <c r="V61" s="559">
        <f>'Tab 4 Adjustment Details'!V62</f>
        <v>0</v>
      </c>
      <c r="W61" s="559">
        <f>'Tab 4 Adjustment Details'!W62</f>
        <v>0</v>
      </c>
      <c r="X61" s="559">
        <f>'Tab 4 Adjustment Details'!X62</f>
        <v>0</v>
      </c>
      <c r="Y61" s="559">
        <f>'Tab 4 Adjustment Details'!Y62</f>
        <v>0</v>
      </c>
      <c r="Z61" s="559">
        <f>'Tab 4 Adjustment Details'!Z62</f>
        <v>0</v>
      </c>
      <c r="AA61" s="559">
        <f>'Tab 4 Adjustment Details'!AD62</f>
        <v>0</v>
      </c>
      <c r="AB61" s="559">
        <f>'Tab 4 Adjustment Details'!AE62</f>
        <v>0</v>
      </c>
      <c r="AC61" s="559">
        <f>'Tab 4 Adjustment Details'!AF62</f>
        <v>0</v>
      </c>
      <c r="AD61" s="559">
        <f>'Tab 4 Adjustment Details'!AG62</f>
        <v>0</v>
      </c>
      <c r="AE61" s="559">
        <f>'Tab 4 Adjustment Details'!AH62</f>
        <v>0</v>
      </c>
      <c r="AF61" s="559">
        <f>'Tab 4 Adjustment Details'!AI62</f>
        <v>0</v>
      </c>
      <c r="AG61" s="559">
        <f>'Tab 4 Adjustment Details'!AJ62</f>
        <v>0</v>
      </c>
      <c r="AH61" s="559">
        <f>'Tab 4 Adjustment Details'!AK62</f>
        <v>0</v>
      </c>
      <c r="AI61" s="559">
        <f>'Tab 4 Adjustment Details'!AL62</f>
        <v>0</v>
      </c>
      <c r="AJ61" s="559">
        <f>'Tab 4 Adjustment Details'!AM62</f>
        <v>6889</v>
      </c>
      <c r="AK61" s="559">
        <f>'Tab 4 Adjustment Details'!AN62</f>
        <v>0</v>
      </c>
      <c r="AL61" s="559">
        <f>'Tab 4 Adjustment Details'!AO62</f>
        <v>0</v>
      </c>
      <c r="AM61" s="559">
        <f>'Tab 4 Adjustment Details'!AP62</f>
        <v>0</v>
      </c>
      <c r="AN61" s="559">
        <f>'Tab 4 Adjustment Details'!AQ62</f>
        <v>0</v>
      </c>
      <c r="AO61" s="559">
        <f>'Tab 4 Adjustment Details'!AS62</f>
        <v>0</v>
      </c>
      <c r="AP61" s="559" t="e">
        <f>'Tab 4 Adjustment Details'!#REF!</f>
        <v>#REF!</v>
      </c>
    </row>
    <row r="62" spans="1:42" s="548" customFormat="1">
      <c r="A62" s="549">
        <f ca="1">'Tab 4 Adjustment Details'!A63</f>
        <v>35</v>
      </c>
      <c r="C62" s="548" t="str">
        <f>'Tab 4 Adjustment Details'!C63</f>
        <v xml:space="preserve">Transmission  </v>
      </c>
      <c r="E62" s="555">
        <f>'Tab 4 Adjustment Details'!E63</f>
        <v>430613</v>
      </c>
      <c r="F62" s="559">
        <f>'Tab 4 Adjustment Details'!F63</f>
        <v>0</v>
      </c>
      <c r="G62" s="559">
        <f>'Tab 4 Adjustment Details'!G63</f>
        <v>0</v>
      </c>
      <c r="H62" s="559">
        <f>'Tab 4 Adjustment Details'!H63</f>
        <v>0</v>
      </c>
      <c r="I62" s="559">
        <f>'Tab 4 Adjustment Details'!I63</f>
        <v>0</v>
      </c>
      <c r="J62" s="559">
        <f>'Tab 4 Adjustment Details'!J63</f>
        <v>0</v>
      </c>
      <c r="K62" s="559">
        <f>'Tab 4 Adjustment Details'!K63</f>
        <v>0</v>
      </c>
      <c r="L62" s="559">
        <f>'Tab 4 Adjustment Details'!L63</f>
        <v>0</v>
      </c>
      <c r="M62" s="559">
        <f>'Tab 4 Adjustment Details'!M63</f>
        <v>0</v>
      </c>
      <c r="N62" s="559">
        <f>'Tab 4 Adjustment Details'!N63</f>
        <v>0</v>
      </c>
      <c r="O62" s="559">
        <f>'Tab 4 Adjustment Details'!O63</f>
        <v>0</v>
      </c>
      <c r="P62" s="559">
        <f>'Tab 4 Adjustment Details'!P63</f>
        <v>0</v>
      </c>
      <c r="Q62" s="559">
        <f>'Tab 4 Adjustment Details'!Q63</f>
        <v>0</v>
      </c>
      <c r="R62" s="559">
        <f>'Tab 4 Adjustment Details'!R63</f>
        <v>0</v>
      </c>
      <c r="S62" s="559">
        <f>'Tab 4 Adjustment Details'!S63</f>
        <v>0</v>
      </c>
      <c r="T62" s="559">
        <f>'Tab 4 Adjustment Details'!T63</f>
        <v>0</v>
      </c>
      <c r="U62" s="559">
        <f>'Tab 4 Adjustment Details'!U63</f>
        <v>0</v>
      </c>
      <c r="V62" s="559">
        <f>'Tab 4 Adjustment Details'!V63</f>
        <v>0</v>
      </c>
      <c r="W62" s="559">
        <f>'Tab 4 Adjustment Details'!W63</f>
        <v>0</v>
      </c>
      <c r="X62" s="559">
        <f>'Tab 4 Adjustment Details'!X63</f>
        <v>0</v>
      </c>
      <c r="Y62" s="559">
        <f>'Tab 4 Adjustment Details'!Y63</f>
        <v>0</v>
      </c>
      <c r="Z62" s="559">
        <f>'Tab 4 Adjustment Details'!Z63</f>
        <v>0</v>
      </c>
      <c r="AA62" s="559">
        <f>'Tab 4 Adjustment Details'!AD63</f>
        <v>0</v>
      </c>
      <c r="AB62" s="559">
        <f>'Tab 4 Adjustment Details'!AE63</f>
        <v>0</v>
      </c>
      <c r="AC62" s="559">
        <f>'Tab 4 Adjustment Details'!AF63</f>
        <v>0</v>
      </c>
      <c r="AD62" s="559">
        <f>'Tab 4 Adjustment Details'!AG63</f>
        <v>0</v>
      </c>
      <c r="AE62" s="559">
        <f>'Tab 4 Adjustment Details'!AH63</f>
        <v>0</v>
      </c>
      <c r="AF62" s="559">
        <f>'Tab 4 Adjustment Details'!AI63</f>
        <v>0</v>
      </c>
      <c r="AG62" s="559">
        <f>'Tab 4 Adjustment Details'!AJ63</f>
        <v>0</v>
      </c>
      <c r="AH62" s="559">
        <f>'Tab 4 Adjustment Details'!AK63</f>
        <v>0</v>
      </c>
      <c r="AI62" s="559">
        <f>'Tab 4 Adjustment Details'!AL63</f>
        <v>0</v>
      </c>
      <c r="AJ62" s="559">
        <f>'Tab 4 Adjustment Details'!AM63</f>
        <v>0</v>
      </c>
      <c r="AK62" s="559">
        <f>'Tab 4 Adjustment Details'!AN63</f>
        <v>0</v>
      </c>
      <c r="AL62" s="559">
        <f>'Tab 4 Adjustment Details'!AO63</f>
        <v>0</v>
      </c>
      <c r="AM62" s="559">
        <f>'Tab 4 Adjustment Details'!AP63</f>
        <v>0</v>
      </c>
      <c r="AN62" s="559">
        <f>'Tab 4 Adjustment Details'!AQ63</f>
        <v>0</v>
      </c>
      <c r="AO62" s="559">
        <f>'Tab 4 Adjustment Details'!AS63</f>
        <v>0</v>
      </c>
      <c r="AP62" s="559" t="e">
        <f>'Tab 4 Adjustment Details'!#REF!</f>
        <v>#REF!</v>
      </c>
    </row>
    <row r="63" spans="1:42" s="548" customFormat="1">
      <c r="A63" s="549">
        <f ca="1">'Tab 4 Adjustment Details'!A64</f>
        <v>36</v>
      </c>
      <c r="C63" s="548" t="str">
        <f>'Tab 4 Adjustment Details'!C64</f>
        <v xml:space="preserve">Distribution  </v>
      </c>
      <c r="E63" s="555">
        <f>'Tab 4 Adjustment Details'!E64</f>
        <v>970455</v>
      </c>
      <c r="F63" s="559">
        <f>'Tab 4 Adjustment Details'!F64</f>
        <v>0</v>
      </c>
      <c r="G63" s="559">
        <f>'Tab 4 Adjustment Details'!G64</f>
        <v>0</v>
      </c>
      <c r="H63" s="559">
        <f>'Tab 4 Adjustment Details'!H64</f>
        <v>0</v>
      </c>
      <c r="I63" s="559">
        <f>'Tab 4 Adjustment Details'!I64</f>
        <v>0</v>
      </c>
      <c r="J63" s="559">
        <f>'Tab 4 Adjustment Details'!J64</f>
        <v>0</v>
      </c>
      <c r="K63" s="559">
        <f>'Tab 4 Adjustment Details'!K64</f>
        <v>0</v>
      </c>
      <c r="L63" s="559">
        <f>'Tab 4 Adjustment Details'!L64</f>
        <v>0</v>
      </c>
      <c r="M63" s="559">
        <f>'Tab 4 Adjustment Details'!M64</f>
        <v>0</v>
      </c>
      <c r="N63" s="559">
        <f>'Tab 4 Adjustment Details'!N64</f>
        <v>0</v>
      </c>
      <c r="O63" s="559">
        <f>'Tab 4 Adjustment Details'!O64</f>
        <v>0</v>
      </c>
      <c r="P63" s="559">
        <f>'Tab 4 Adjustment Details'!P64</f>
        <v>0</v>
      </c>
      <c r="Q63" s="559">
        <f>'Tab 4 Adjustment Details'!Q64</f>
        <v>0</v>
      </c>
      <c r="R63" s="559">
        <f>'Tab 4 Adjustment Details'!R64</f>
        <v>0</v>
      </c>
      <c r="S63" s="559">
        <f>'Tab 4 Adjustment Details'!S64</f>
        <v>0</v>
      </c>
      <c r="T63" s="559">
        <f>'Tab 4 Adjustment Details'!T64</f>
        <v>0</v>
      </c>
      <c r="U63" s="559">
        <f>'Tab 4 Adjustment Details'!U64</f>
        <v>0</v>
      </c>
      <c r="V63" s="559">
        <f>'Tab 4 Adjustment Details'!V64</f>
        <v>0</v>
      </c>
      <c r="W63" s="559">
        <f>'Tab 4 Adjustment Details'!W64</f>
        <v>0</v>
      </c>
      <c r="X63" s="559">
        <f>'Tab 4 Adjustment Details'!X64</f>
        <v>0</v>
      </c>
      <c r="Y63" s="559">
        <f>'Tab 4 Adjustment Details'!Y64</f>
        <v>0</v>
      </c>
      <c r="Z63" s="559">
        <f>'Tab 4 Adjustment Details'!Z64</f>
        <v>0</v>
      </c>
      <c r="AA63" s="559">
        <f>'Tab 4 Adjustment Details'!AD64</f>
        <v>0</v>
      </c>
      <c r="AB63" s="559">
        <f>'Tab 4 Adjustment Details'!AE64</f>
        <v>0</v>
      </c>
      <c r="AC63" s="559">
        <f>'Tab 4 Adjustment Details'!AF64</f>
        <v>0</v>
      </c>
      <c r="AD63" s="559">
        <f>'Tab 4 Adjustment Details'!AG64</f>
        <v>0</v>
      </c>
      <c r="AE63" s="559">
        <f>'Tab 4 Adjustment Details'!AH64</f>
        <v>0</v>
      </c>
      <c r="AF63" s="559">
        <f>'Tab 4 Adjustment Details'!AI64</f>
        <v>0</v>
      </c>
      <c r="AG63" s="559">
        <f>'Tab 4 Adjustment Details'!AJ64</f>
        <v>0</v>
      </c>
      <c r="AH63" s="559">
        <f>'Tab 4 Adjustment Details'!AK64</f>
        <v>0</v>
      </c>
      <c r="AI63" s="559">
        <f>'Tab 4 Adjustment Details'!AL64</f>
        <v>0</v>
      </c>
      <c r="AJ63" s="559">
        <f>'Tab 4 Adjustment Details'!AM64</f>
        <v>0</v>
      </c>
      <c r="AK63" s="559">
        <f>'Tab 4 Adjustment Details'!AN64</f>
        <v>0</v>
      </c>
      <c r="AL63" s="559">
        <f>'Tab 4 Adjustment Details'!AO64</f>
        <v>0</v>
      </c>
      <c r="AM63" s="559">
        <f>'Tab 4 Adjustment Details'!AP64</f>
        <v>0</v>
      </c>
      <c r="AN63" s="559">
        <f>'Tab 4 Adjustment Details'!AQ64</f>
        <v>0</v>
      </c>
      <c r="AO63" s="559">
        <f>'Tab 4 Adjustment Details'!AS64</f>
        <v>0</v>
      </c>
      <c r="AP63" s="559" t="e">
        <f>'Tab 4 Adjustment Details'!#REF!</f>
        <v>#REF!</v>
      </c>
    </row>
    <row r="64" spans="1:42" s="548" customFormat="1">
      <c r="A64" s="549">
        <f ca="1">'Tab 4 Adjustment Details'!A65</f>
        <v>37</v>
      </c>
      <c r="C64" s="548" t="str">
        <f>'Tab 4 Adjustment Details'!C65</f>
        <v xml:space="preserve">General  </v>
      </c>
      <c r="E64" s="581">
        <f>'Tab 4 Adjustment Details'!E65</f>
        <v>233266</v>
      </c>
      <c r="F64" s="571">
        <f>'Tab 4 Adjustment Details'!F65</f>
        <v>0</v>
      </c>
      <c r="G64" s="571">
        <f>'Tab 4 Adjustment Details'!G65</f>
        <v>0</v>
      </c>
      <c r="H64" s="571">
        <f>'Tab 4 Adjustment Details'!H65</f>
        <v>0</v>
      </c>
      <c r="I64" s="571">
        <f>'Tab 4 Adjustment Details'!I65</f>
        <v>0</v>
      </c>
      <c r="J64" s="571">
        <f>'Tab 4 Adjustment Details'!J65</f>
        <v>0</v>
      </c>
      <c r="K64" s="571">
        <f>'Tab 4 Adjustment Details'!K65</f>
        <v>0</v>
      </c>
      <c r="L64" s="571">
        <f>'Tab 4 Adjustment Details'!L65</f>
        <v>0</v>
      </c>
      <c r="M64" s="571">
        <f>'Tab 4 Adjustment Details'!M65</f>
        <v>0</v>
      </c>
      <c r="N64" s="571">
        <f>'Tab 4 Adjustment Details'!N65</f>
        <v>0</v>
      </c>
      <c r="O64" s="571">
        <f>'Tab 4 Adjustment Details'!O65</f>
        <v>0</v>
      </c>
      <c r="P64" s="571">
        <f>'Tab 4 Adjustment Details'!P65</f>
        <v>0</v>
      </c>
      <c r="Q64" s="571">
        <f>'Tab 4 Adjustment Details'!Q65</f>
        <v>0</v>
      </c>
      <c r="R64" s="571">
        <f>'Tab 4 Adjustment Details'!R65</f>
        <v>0</v>
      </c>
      <c r="S64" s="571">
        <f>'Tab 4 Adjustment Details'!S65</f>
        <v>0</v>
      </c>
      <c r="T64" s="571">
        <f>'Tab 4 Adjustment Details'!T65</f>
        <v>0</v>
      </c>
      <c r="U64" s="571">
        <f>'Tab 4 Adjustment Details'!U65</f>
        <v>0</v>
      </c>
      <c r="V64" s="571">
        <f>'Tab 4 Adjustment Details'!V65</f>
        <v>0</v>
      </c>
      <c r="W64" s="571">
        <f>'Tab 4 Adjustment Details'!W65</f>
        <v>0</v>
      </c>
      <c r="X64" s="571">
        <f>'Tab 4 Adjustment Details'!X65</f>
        <v>0</v>
      </c>
      <c r="Y64" s="571">
        <f>'Tab 4 Adjustment Details'!Y65</f>
        <v>0</v>
      </c>
      <c r="Z64" s="571">
        <f>'Tab 4 Adjustment Details'!Z65</f>
        <v>0</v>
      </c>
      <c r="AA64" s="571">
        <f>'Tab 4 Adjustment Details'!AD65</f>
        <v>0</v>
      </c>
      <c r="AB64" s="571">
        <f>'Tab 4 Adjustment Details'!AE65</f>
        <v>0</v>
      </c>
      <c r="AC64" s="571">
        <f>'Tab 4 Adjustment Details'!AF65</f>
        <v>0</v>
      </c>
      <c r="AD64" s="571">
        <f>'Tab 4 Adjustment Details'!AG65</f>
        <v>0</v>
      </c>
      <c r="AE64" s="571">
        <f>'Tab 4 Adjustment Details'!AH65</f>
        <v>0</v>
      </c>
      <c r="AF64" s="571">
        <f>'Tab 4 Adjustment Details'!AI65</f>
        <v>0</v>
      </c>
      <c r="AG64" s="571">
        <f>'Tab 4 Adjustment Details'!AJ65</f>
        <v>0</v>
      </c>
      <c r="AH64" s="571">
        <f>'Tab 4 Adjustment Details'!AK65</f>
        <v>0</v>
      </c>
      <c r="AI64" s="571">
        <f>'Tab 4 Adjustment Details'!AL65</f>
        <v>0</v>
      </c>
      <c r="AJ64" s="571">
        <f>'Tab 4 Adjustment Details'!AM65</f>
        <v>0</v>
      </c>
      <c r="AK64" s="571">
        <f>'Tab 4 Adjustment Details'!AN65</f>
        <v>0</v>
      </c>
      <c r="AL64" s="571">
        <f>'Tab 4 Adjustment Details'!AO65</f>
        <v>0</v>
      </c>
      <c r="AM64" s="571">
        <f>'Tab 4 Adjustment Details'!AP65</f>
        <v>0</v>
      </c>
      <c r="AN64" s="571">
        <f>'Tab 4 Adjustment Details'!AQ65</f>
        <v>0</v>
      </c>
      <c r="AO64" s="571">
        <f>'Tab 4 Adjustment Details'!AS65</f>
        <v>0</v>
      </c>
      <c r="AP64" s="571" t="e">
        <f>'Tab 4 Adjustment Details'!#REF!</f>
        <v>#REF!</v>
      </c>
    </row>
    <row r="65" spans="1:42" s="548" customFormat="1">
      <c r="A65" s="549">
        <f ca="1">'Tab 4 Adjustment Details'!A66</f>
        <v>38</v>
      </c>
      <c r="B65" s="548" t="str">
        <f>'Tab 4 Adjustment Details'!B66</f>
        <v xml:space="preserve">Total Plant in Service  </v>
      </c>
      <c r="E65" s="560">
        <f>'Tab 4 Adjustment Details'!E66</f>
        <v>2623224</v>
      </c>
      <c r="F65" s="559">
        <f>'Tab 4 Adjustment Details'!F66</f>
        <v>0</v>
      </c>
      <c r="G65" s="559">
        <f>'Tab 4 Adjustment Details'!G66</f>
        <v>0</v>
      </c>
      <c r="H65" s="559">
        <f>'Tab 4 Adjustment Details'!H66</f>
        <v>0</v>
      </c>
      <c r="I65" s="559">
        <f>'Tab 4 Adjustment Details'!I66</f>
        <v>0</v>
      </c>
      <c r="J65" s="559">
        <f>'Tab 4 Adjustment Details'!J66</f>
        <v>0</v>
      </c>
      <c r="K65" s="559">
        <f>'Tab 4 Adjustment Details'!K66</f>
        <v>0</v>
      </c>
      <c r="L65" s="559">
        <f>'Tab 4 Adjustment Details'!L66</f>
        <v>0</v>
      </c>
      <c r="M65" s="559">
        <f>'Tab 4 Adjustment Details'!M66</f>
        <v>0</v>
      </c>
      <c r="N65" s="559">
        <f>'Tab 4 Adjustment Details'!N66</f>
        <v>0</v>
      </c>
      <c r="O65" s="559">
        <f>'Tab 4 Adjustment Details'!O66</f>
        <v>0</v>
      </c>
      <c r="P65" s="559">
        <f>'Tab 4 Adjustment Details'!P66</f>
        <v>0</v>
      </c>
      <c r="Q65" s="559">
        <f>'Tab 4 Adjustment Details'!Q66</f>
        <v>0</v>
      </c>
      <c r="R65" s="559">
        <f>'Tab 4 Adjustment Details'!R66</f>
        <v>0</v>
      </c>
      <c r="S65" s="559">
        <f>'Tab 4 Adjustment Details'!S66</f>
        <v>0</v>
      </c>
      <c r="T65" s="559">
        <f>'Tab 4 Adjustment Details'!T66</f>
        <v>0</v>
      </c>
      <c r="U65" s="559">
        <f>'Tab 4 Adjustment Details'!U66</f>
        <v>0</v>
      </c>
      <c r="V65" s="559">
        <f>'Tab 4 Adjustment Details'!V66</f>
        <v>0</v>
      </c>
      <c r="W65" s="559">
        <f>'Tab 4 Adjustment Details'!W66</f>
        <v>0</v>
      </c>
      <c r="X65" s="559">
        <f>'Tab 4 Adjustment Details'!X66</f>
        <v>0</v>
      </c>
      <c r="Y65" s="559">
        <f>'Tab 4 Adjustment Details'!Y66</f>
        <v>0</v>
      </c>
      <c r="Z65" s="559">
        <f>'Tab 4 Adjustment Details'!Z66</f>
        <v>0</v>
      </c>
      <c r="AA65" s="559">
        <f>'Tab 4 Adjustment Details'!AD66</f>
        <v>0</v>
      </c>
      <c r="AB65" s="559">
        <f>'Tab 4 Adjustment Details'!AE66</f>
        <v>0</v>
      </c>
      <c r="AC65" s="559">
        <f>'Tab 4 Adjustment Details'!AF66</f>
        <v>0</v>
      </c>
      <c r="AD65" s="559">
        <f>'Tab 4 Adjustment Details'!AG66</f>
        <v>0</v>
      </c>
      <c r="AE65" s="559">
        <f>'Tab 4 Adjustment Details'!AH66</f>
        <v>0</v>
      </c>
      <c r="AF65" s="559">
        <f>'Tab 4 Adjustment Details'!AI66</f>
        <v>0</v>
      </c>
      <c r="AG65" s="559">
        <f>'Tab 4 Adjustment Details'!AJ66</f>
        <v>0</v>
      </c>
      <c r="AH65" s="559">
        <f>'Tab 4 Adjustment Details'!AK66</f>
        <v>0</v>
      </c>
      <c r="AI65" s="559">
        <f>'Tab 4 Adjustment Details'!AL66</f>
        <v>0</v>
      </c>
      <c r="AJ65" s="559">
        <f>'Tab 4 Adjustment Details'!AM66</f>
        <v>6889</v>
      </c>
      <c r="AK65" s="559">
        <f>'Tab 4 Adjustment Details'!AN66</f>
        <v>0</v>
      </c>
      <c r="AL65" s="559">
        <f>'Tab 4 Adjustment Details'!AO66</f>
        <v>0</v>
      </c>
      <c r="AM65" s="559">
        <f>'Tab 4 Adjustment Details'!AP66</f>
        <v>0</v>
      </c>
      <c r="AN65" s="559">
        <f>'Tab 4 Adjustment Details'!AQ66</f>
        <v>0</v>
      </c>
      <c r="AO65" s="559">
        <f>'Tab 4 Adjustment Details'!AS66</f>
        <v>0</v>
      </c>
      <c r="AP65" s="559" t="e">
        <f>'Tab 4 Adjustment Details'!#REF!</f>
        <v>#REF!</v>
      </c>
    </row>
    <row r="66" spans="1:42" s="548" customFormat="1">
      <c r="A66" s="549"/>
      <c r="B66" s="548" t="str">
        <f>'Tab 4 Adjustment Details'!B67</f>
        <v>ACCUMULATED DEPRECIATION/AMORT</v>
      </c>
      <c r="E66" s="560"/>
      <c r="F66" s="559"/>
      <c r="G66" s="559"/>
      <c r="H66" s="559"/>
      <c r="I66" s="559"/>
      <c r="J66" s="559"/>
      <c r="K66" s="559"/>
      <c r="L66" s="559"/>
      <c r="M66" s="559"/>
      <c r="N66" s="559"/>
      <c r="O66" s="559"/>
      <c r="P66" s="559"/>
      <c r="Q66" s="559"/>
      <c r="R66" s="559"/>
      <c r="S66" s="559"/>
      <c r="T66" s="559"/>
      <c r="U66" s="559"/>
      <c r="V66" s="559"/>
      <c r="W66" s="559"/>
      <c r="X66" s="559"/>
      <c r="Y66" s="559"/>
      <c r="Z66" s="559"/>
      <c r="AA66" s="559"/>
      <c r="AB66" s="559"/>
      <c r="AC66" s="559"/>
      <c r="AD66" s="559"/>
      <c r="AE66" s="559"/>
      <c r="AF66" s="559"/>
      <c r="AG66" s="559"/>
      <c r="AH66" s="559"/>
      <c r="AI66" s="559"/>
      <c r="AJ66" s="559"/>
      <c r="AK66" s="559"/>
      <c r="AL66" s="559"/>
      <c r="AM66" s="559"/>
      <c r="AN66" s="559"/>
      <c r="AO66" s="559"/>
      <c r="AP66" s="559"/>
    </row>
    <row r="67" spans="1:42" s="548" customFormat="1">
      <c r="A67" s="549">
        <f ca="1">'Tab 4 Adjustment Details'!A68</f>
        <v>39</v>
      </c>
      <c r="C67" s="547" t="str">
        <f>'Tab 4 Adjustment Details'!C68</f>
        <v xml:space="preserve">Intangible  </v>
      </c>
      <c r="E67" s="555">
        <f>'Tab 4 Adjustment Details'!E68</f>
        <v>-30914</v>
      </c>
      <c r="F67" s="559">
        <f>'Tab 4 Adjustment Details'!F68</f>
        <v>0</v>
      </c>
      <c r="G67" s="559">
        <f>'Tab 4 Adjustment Details'!G68</f>
        <v>0</v>
      </c>
      <c r="H67" s="559">
        <f>'Tab 4 Adjustment Details'!H68</f>
        <v>0</v>
      </c>
      <c r="I67" s="559">
        <f>'Tab 4 Adjustment Details'!I68</f>
        <v>0</v>
      </c>
      <c r="J67" s="559">
        <f>'Tab 4 Adjustment Details'!J68</f>
        <v>0</v>
      </c>
      <c r="K67" s="559">
        <f>'Tab 4 Adjustment Details'!K68</f>
        <v>0</v>
      </c>
      <c r="L67" s="559">
        <f>'Tab 4 Adjustment Details'!L68</f>
        <v>0</v>
      </c>
      <c r="M67" s="559">
        <f>'Tab 4 Adjustment Details'!M68</f>
        <v>0</v>
      </c>
      <c r="N67" s="559">
        <f>'Tab 4 Adjustment Details'!N68</f>
        <v>0</v>
      </c>
      <c r="O67" s="559">
        <f>'Tab 4 Adjustment Details'!O68</f>
        <v>0</v>
      </c>
      <c r="P67" s="559">
        <f>'Tab 4 Adjustment Details'!P68</f>
        <v>0</v>
      </c>
      <c r="Q67" s="559">
        <f>'Tab 4 Adjustment Details'!Q68</f>
        <v>0</v>
      </c>
      <c r="R67" s="559">
        <f>'Tab 4 Adjustment Details'!R68</f>
        <v>0</v>
      </c>
      <c r="S67" s="559">
        <f>'Tab 4 Adjustment Details'!S68</f>
        <v>0</v>
      </c>
      <c r="T67" s="559">
        <f>'Tab 4 Adjustment Details'!T68</f>
        <v>0</v>
      </c>
      <c r="U67" s="559">
        <f>'Tab 4 Adjustment Details'!U68</f>
        <v>0</v>
      </c>
      <c r="V67" s="559">
        <f>'Tab 4 Adjustment Details'!V68</f>
        <v>0</v>
      </c>
      <c r="W67" s="559">
        <f>'Tab 4 Adjustment Details'!W68</f>
        <v>0</v>
      </c>
      <c r="X67" s="559">
        <f>'Tab 4 Adjustment Details'!X68</f>
        <v>0</v>
      </c>
      <c r="Y67" s="559">
        <f>'Tab 4 Adjustment Details'!Y68</f>
        <v>0</v>
      </c>
      <c r="Z67" s="559">
        <f>'Tab 4 Adjustment Details'!Z68</f>
        <v>0</v>
      </c>
      <c r="AA67" s="559">
        <f>'Tab 4 Adjustment Details'!AD68</f>
        <v>0</v>
      </c>
      <c r="AB67" s="559">
        <f>'Tab 4 Adjustment Details'!AE68</f>
        <v>0</v>
      </c>
      <c r="AC67" s="559">
        <f>'Tab 4 Adjustment Details'!AF68</f>
        <v>0</v>
      </c>
      <c r="AD67" s="559">
        <f>'Tab 4 Adjustment Details'!AG68</f>
        <v>0</v>
      </c>
      <c r="AE67" s="559">
        <f>'Tab 4 Adjustment Details'!AH68</f>
        <v>0</v>
      </c>
      <c r="AF67" s="559">
        <f>'Tab 4 Adjustment Details'!AI68</f>
        <v>0</v>
      </c>
      <c r="AG67" s="559">
        <f>'Tab 4 Adjustment Details'!AJ68</f>
        <v>0</v>
      </c>
      <c r="AH67" s="559">
        <f>'Tab 4 Adjustment Details'!AK68</f>
        <v>0</v>
      </c>
      <c r="AI67" s="559">
        <f>'Tab 4 Adjustment Details'!AL68</f>
        <v>0</v>
      </c>
      <c r="AJ67" s="559">
        <f>'Tab 4 Adjustment Details'!AM68</f>
        <v>0</v>
      </c>
      <c r="AK67" s="559">
        <f>'Tab 4 Adjustment Details'!AN68</f>
        <v>0</v>
      </c>
      <c r="AL67" s="559">
        <f>'Tab 4 Adjustment Details'!AO68</f>
        <v>0</v>
      </c>
      <c r="AM67" s="559">
        <f>'Tab 4 Adjustment Details'!AP68</f>
        <v>0</v>
      </c>
      <c r="AN67" s="559">
        <f>'Tab 4 Adjustment Details'!AQ68</f>
        <v>0</v>
      </c>
      <c r="AO67" s="559">
        <f>'Tab 4 Adjustment Details'!AS68</f>
        <v>0</v>
      </c>
      <c r="AP67" s="559" t="e">
        <f>'Tab 4 Adjustment Details'!#REF!</f>
        <v>#REF!</v>
      </c>
    </row>
    <row r="68" spans="1:42" s="548" customFormat="1">
      <c r="A68" s="549">
        <f ca="1">'Tab 4 Adjustment Details'!A69</f>
        <v>40</v>
      </c>
      <c r="C68" s="548" t="str">
        <f>'Tab 4 Adjustment Details'!C69</f>
        <v xml:space="preserve">Production  </v>
      </c>
      <c r="E68" s="555">
        <f>'Tab 4 Adjustment Details'!E69</f>
        <v>-351625</v>
      </c>
      <c r="F68" s="559">
        <f>'Tab 4 Adjustment Details'!F69</f>
        <v>0</v>
      </c>
      <c r="G68" s="559">
        <f>'Tab 4 Adjustment Details'!G69</f>
        <v>0</v>
      </c>
      <c r="H68" s="559">
        <f>'Tab 4 Adjustment Details'!H69</f>
        <v>0</v>
      </c>
      <c r="I68" s="559">
        <f>'Tab 4 Adjustment Details'!I69</f>
        <v>0</v>
      </c>
      <c r="J68" s="559">
        <f>'Tab 4 Adjustment Details'!J69</f>
        <v>0</v>
      </c>
      <c r="K68" s="559">
        <f>'Tab 4 Adjustment Details'!K69</f>
        <v>0</v>
      </c>
      <c r="L68" s="559">
        <f>'Tab 4 Adjustment Details'!L69</f>
        <v>0</v>
      </c>
      <c r="M68" s="559">
        <f>'Tab 4 Adjustment Details'!M69</f>
        <v>0</v>
      </c>
      <c r="N68" s="559">
        <f>'Tab 4 Adjustment Details'!N69</f>
        <v>0</v>
      </c>
      <c r="O68" s="559">
        <f>'Tab 4 Adjustment Details'!O69</f>
        <v>0</v>
      </c>
      <c r="P68" s="559">
        <f>'Tab 4 Adjustment Details'!P69</f>
        <v>0</v>
      </c>
      <c r="Q68" s="559">
        <f>'Tab 4 Adjustment Details'!Q69</f>
        <v>0</v>
      </c>
      <c r="R68" s="559">
        <f>'Tab 4 Adjustment Details'!R69</f>
        <v>0</v>
      </c>
      <c r="S68" s="559">
        <f>'Tab 4 Adjustment Details'!S69</f>
        <v>0</v>
      </c>
      <c r="T68" s="559">
        <f>'Tab 4 Adjustment Details'!T69</f>
        <v>0</v>
      </c>
      <c r="U68" s="559">
        <f>'Tab 4 Adjustment Details'!U69</f>
        <v>0</v>
      </c>
      <c r="V68" s="559">
        <f>'Tab 4 Adjustment Details'!V69</f>
        <v>0</v>
      </c>
      <c r="W68" s="559">
        <f>'Tab 4 Adjustment Details'!W69</f>
        <v>0</v>
      </c>
      <c r="X68" s="559">
        <f>'Tab 4 Adjustment Details'!X69</f>
        <v>0</v>
      </c>
      <c r="Y68" s="559">
        <f>'Tab 4 Adjustment Details'!Y69</f>
        <v>0</v>
      </c>
      <c r="Z68" s="559">
        <f>'Tab 4 Adjustment Details'!Z69</f>
        <v>0</v>
      </c>
      <c r="AA68" s="559">
        <f>'Tab 4 Adjustment Details'!AD69</f>
        <v>0</v>
      </c>
      <c r="AB68" s="559">
        <f>'Tab 4 Adjustment Details'!AE69</f>
        <v>0</v>
      </c>
      <c r="AC68" s="559">
        <f>'Tab 4 Adjustment Details'!AF69</f>
        <v>0</v>
      </c>
      <c r="AD68" s="559">
        <f>'Tab 4 Adjustment Details'!AG69</f>
        <v>0</v>
      </c>
      <c r="AE68" s="559">
        <f>'Tab 4 Adjustment Details'!AH69</f>
        <v>0</v>
      </c>
      <c r="AF68" s="559">
        <f>'Tab 4 Adjustment Details'!AI69</f>
        <v>0</v>
      </c>
      <c r="AG68" s="559">
        <f>'Tab 4 Adjustment Details'!AJ69</f>
        <v>0</v>
      </c>
      <c r="AH68" s="559">
        <f>'Tab 4 Adjustment Details'!AK69</f>
        <v>0</v>
      </c>
      <c r="AI68" s="559">
        <f>'Tab 4 Adjustment Details'!AL69</f>
        <v>0</v>
      </c>
      <c r="AJ68" s="559">
        <f>'Tab 4 Adjustment Details'!AM69</f>
        <v>-95.207493278084613</v>
      </c>
      <c r="AK68" s="559">
        <f>'Tab 4 Adjustment Details'!AN69</f>
        <v>0</v>
      </c>
      <c r="AL68" s="559">
        <f>'Tab 4 Adjustment Details'!AO69</f>
        <v>0</v>
      </c>
      <c r="AM68" s="559">
        <f>'Tab 4 Adjustment Details'!AP69</f>
        <v>0</v>
      </c>
      <c r="AN68" s="559">
        <f>'Tab 4 Adjustment Details'!AQ69</f>
        <v>0</v>
      </c>
      <c r="AO68" s="559">
        <f>'Tab 4 Adjustment Details'!AS69</f>
        <v>0</v>
      </c>
      <c r="AP68" s="559" t="e">
        <f>'Tab 4 Adjustment Details'!#REF!</f>
        <v>#REF!</v>
      </c>
    </row>
    <row r="69" spans="1:42" s="548" customFormat="1">
      <c r="A69" s="549">
        <f ca="1">'Tab 4 Adjustment Details'!A70</f>
        <v>41</v>
      </c>
      <c r="C69" s="548" t="str">
        <f>'Tab 4 Adjustment Details'!C70</f>
        <v xml:space="preserve">Transmission  </v>
      </c>
      <c r="E69" s="555">
        <f>'Tab 4 Adjustment Details'!E70</f>
        <v>-135624</v>
      </c>
      <c r="F69" s="559">
        <f>'Tab 4 Adjustment Details'!F70</f>
        <v>0</v>
      </c>
      <c r="G69" s="559">
        <f>'Tab 4 Adjustment Details'!G70</f>
        <v>0</v>
      </c>
      <c r="H69" s="559">
        <f>'Tab 4 Adjustment Details'!H70</f>
        <v>0</v>
      </c>
      <c r="I69" s="559">
        <f>'Tab 4 Adjustment Details'!I70</f>
        <v>0</v>
      </c>
      <c r="J69" s="559">
        <f>'Tab 4 Adjustment Details'!J70</f>
        <v>0</v>
      </c>
      <c r="K69" s="559">
        <f>'Tab 4 Adjustment Details'!K70</f>
        <v>0</v>
      </c>
      <c r="L69" s="559">
        <f>'Tab 4 Adjustment Details'!L70</f>
        <v>0</v>
      </c>
      <c r="M69" s="559">
        <f>'Tab 4 Adjustment Details'!M70</f>
        <v>0</v>
      </c>
      <c r="N69" s="559">
        <f>'Tab 4 Adjustment Details'!N70</f>
        <v>0</v>
      </c>
      <c r="O69" s="559">
        <f>'Tab 4 Adjustment Details'!O70</f>
        <v>0</v>
      </c>
      <c r="P69" s="559">
        <f>'Tab 4 Adjustment Details'!P70</f>
        <v>0</v>
      </c>
      <c r="Q69" s="559">
        <f>'Tab 4 Adjustment Details'!Q70</f>
        <v>0</v>
      </c>
      <c r="R69" s="559">
        <f>'Tab 4 Adjustment Details'!R70</f>
        <v>0</v>
      </c>
      <c r="S69" s="559">
        <f>'Tab 4 Adjustment Details'!S70</f>
        <v>0</v>
      </c>
      <c r="T69" s="559">
        <f>'Tab 4 Adjustment Details'!T70</f>
        <v>0</v>
      </c>
      <c r="U69" s="559">
        <f>'Tab 4 Adjustment Details'!U70</f>
        <v>0</v>
      </c>
      <c r="V69" s="559">
        <f>'Tab 4 Adjustment Details'!V70</f>
        <v>0</v>
      </c>
      <c r="W69" s="559">
        <f>'Tab 4 Adjustment Details'!W70</f>
        <v>0</v>
      </c>
      <c r="X69" s="559">
        <f>'Tab 4 Adjustment Details'!X70</f>
        <v>0</v>
      </c>
      <c r="Y69" s="559">
        <f>'Tab 4 Adjustment Details'!Y70</f>
        <v>0</v>
      </c>
      <c r="Z69" s="559">
        <f>'Tab 4 Adjustment Details'!Z70</f>
        <v>0</v>
      </c>
      <c r="AA69" s="559">
        <f>'Tab 4 Adjustment Details'!AD70</f>
        <v>0</v>
      </c>
      <c r="AB69" s="559">
        <f>'Tab 4 Adjustment Details'!AE70</f>
        <v>0</v>
      </c>
      <c r="AC69" s="559">
        <f>'Tab 4 Adjustment Details'!AF70</f>
        <v>0</v>
      </c>
      <c r="AD69" s="559">
        <f>'Tab 4 Adjustment Details'!AG70</f>
        <v>0</v>
      </c>
      <c r="AE69" s="559">
        <f>'Tab 4 Adjustment Details'!AH70</f>
        <v>0</v>
      </c>
      <c r="AF69" s="559">
        <f>'Tab 4 Adjustment Details'!AI70</f>
        <v>0</v>
      </c>
      <c r="AG69" s="559">
        <f>'Tab 4 Adjustment Details'!AJ70</f>
        <v>0</v>
      </c>
      <c r="AH69" s="559">
        <f>'Tab 4 Adjustment Details'!AK70</f>
        <v>0</v>
      </c>
      <c r="AI69" s="559">
        <f>'Tab 4 Adjustment Details'!AL70</f>
        <v>0</v>
      </c>
      <c r="AJ69" s="559">
        <f>'Tab 4 Adjustment Details'!AM70</f>
        <v>0</v>
      </c>
      <c r="AK69" s="559">
        <f>'Tab 4 Adjustment Details'!AN70</f>
        <v>0</v>
      </c>
      <c r="AL69" s="559">
        <f>'Tab 4 Adjustment Details'!AO70</f>
        <v>0</v>
      </c>
      <c r="AM69" s="559">
        <f>'Tab 4 Adjustment Details'!AP70</f>
        <v>0</v>
      </c>
      <c r="AN69" s="559">
        <f>'Tab 4 Adjustment Details'!AQ70</f>
        <v>0</v>
      </c>
      <c r="AO69" s="559">
        <f>'Tab 4 Adjustment Details'!AS70</f>
        <v>0</v>
      </c>
      <c r="AP69" s="559" t="e">
        <f>'Tab 4 Adjustment Details'!#REF!</f>
        <v>#REF!</v>
      </c>
    </row>
    <row r="70" spans="1:42" s="548" customFormat="1">
      <c r="A70" s="549">
        <f ca="1">'Tab 4 Adjustment Details'!A71</f>
        <v>42</v>
      </c>
      <c r="C70" s="548" t="str">
        <f>'Tab 4 Adjustment Details'!C71</f>
        <v xml:space="preserve">Distribution  </v>
      </c>
      <c r="E70" s="555">
        <f>'Tab 4 Adjustment Details'!E71</f>
        <v>-295383</v>
      </c>
      <c r="F70" s="559">
        <f>'Tab 4 Adjustment Details'!F71</f>
        <v>0</v>
      </c>
      <c r="G70" s="559">
        <f>'Tab 4 Adjustment Details'!G71</f>
        <v>0</v>
      </c>
      <c r="H70" s="559">
        <f>'Tab 4 Adjustment Details'!H71</f>
        <v>0</v>
      </c>
      <c r="I70" s="559">
        <f>'Tab 4 Adjustment Details'!I71</f>
        <v>0</v>
      </c>
      <c r="J70" s="559">
        <f>'Tab 4 Adjustment Details'!J71</f>
        <v>0</v>
      </c>
      <c r="K70" s="559">
        <f>'Tab 4 Adjustment Details'!K71</f>
        <v>0</v>
      </c>
      <c r="L70" s="559">
        <f>'Tab 4 Adjustment Details'!L71</f>
        <v>0</v>
      </c>
      <c r="M70" s="559">
        <f>'Tab 4 Adjustment Details'!M71</f>
        <v>0</v>
      </c>
      <c r="N70" s="559">
        <f>'Tab 4 Adjustment Details'!N71</f>
        <v>0</v>
      </c>
      <c r="O70" s="559">
        <f>'Tab 4 Adjustment Details'!O71</f>
        <v>0</v>
      </c>
      <c r="P70" s="559">
        <f>'Tab 4 Adjustment Details'!P71</f>
        <v>0</v>
      </c>
      <c r="Q70" s="559">
        <f>'Tab 4 Adjustment Details'!Q71</f>
        <v>0</v>
      </c>
      <c r="R70" s="559">
        <f>'Tab 4 Adjustment Details'!R71</f>
        <v>0</v>
      </c>
      <c r="S70" s="559">
        <f>'Tab 4 Adjustment Details'!S71</f>
        <v>0</v>
      </c>
      <c r="T70" s="559">
        <f>'Tab 4 Adjustment Details'!T71</f>
        <v>0</v>
      </c>
      <c r="U70" s="559">
        <f>'Tab 4 Adjustment Details'!U71</f>
        <v>0</v>
      </c>
      <c r="V70" s="559">
        <f>'Tab 4 Adjustment Details'!V71</f>
        <v>0</v>
      </c>
      <c r="W70" s="559">
        <f>'Tab 4 Adjustment Details'!W71</f>
        <v>0</v>
      </c>
      <c r="X70" s="559">
        <f>'Tab 4 Adjustment Details'!X71</f>
        <v>0</v>
      </c>
      <c r="Y70" s="559">
        <f>'Tab 4 Adjustment Details'!Y71</f>
        <v>0</v>
      </c>
      <c r="Z70" s="559">
        <f>'Tab 4 Adjustment Details'!Z71</f>
        <v>0</v>
      </c>
      <c r="AA70" s="559">
        <f>'Tab 4 Adjustment Details'!AD71</f>
        <v>0</v>
      </c>
      <c r="AB70" s="559">
        <f>'Tab 4 Adjustment Details'!AE71</f>
        <v>0</v>
      </c>
      <c r="AC70" s="559">
        <f>'Tab 4 Adjustment Details'!AF71</f>
        <v>0</v>
      </c>
      <c r="AD70" s="559">
        <f>'Tab 4 Adjustment Details'!AG71</f>
        <v>0</v>
      </c>
      <c r="AE70" s="559">
        <f>'Tab 4 Adjustment Details'!AH71</f>
        <v>0</v>
      </c>
      <c r="AF70" s="559">
        <f>'Tab 4 Adjustment Details'!AI71</f>
        <v>0</v>
      </c>
      <c r="AG70" s="559">
        <f>'Tab 4 Adjustment Details'!AJ71</f>
        <v>0</v>
      </c>
      <c r="AH70" s="559">
        <f>'Tab 4 Adjustment Details'!AK71</f>
        <v>0</v>
      </c>
      <c r="AI70" s="559">
        <f>'Tab 4 Adjustment Details'!AL71</f>
        <v>0</v>
      </c>
      <c r="AJ70" s="559">
        <f>'Tab 4 Adjustment Details'!AM71</f>
        <v>0</v>
      </c>
      <c r="AK70" s="559">
        <f>'Tab 4 Adjustment Details'!AN71</f>
        <v>0</v>
      </c>
      <c r="AL70" s="559">
        <f>'Tab 4 Adjustment Details'!AO71</f>
        <v>0</v>
      </c>
      <c r="AM70" s="559">
        <f>'Tab 4 Adjustment Details'!AP71</f>
        <v>0</v>
      </c>
      <c r="AN70" s="559">
        <f>'Tab 4 Adjustment Details'!AQ71</f>
        <v>0</v>
      </c>
      <c r="AO70" s="559">
        <f>'Tab 4 Adjustment Details'!AS71</f>
        <v>0</v>
      </c>
      <c r="AP70" s="559" t="e">
        <f>'Tab 4 Adjustment Details'!#REF!</f>
        <v>#REF!</v>
      </c>
    </row>
    <row r="71" spans="1:42" s="548" customFormat="1">
      <c r="A71" s="549">
        <f ca="1">'Tab 4 Adjustment Details'!A72</f>
        <v>43</v>
      </c>
      <c r="C71" s="548" t="str">
        <f>'Tab 4 Adjustment Details'!C72</f>
        <v xml:space="preserve">General  </v>
      </c>
      <c r="E71" s="555">
        <f>'Tab 4 Adjustment Details'!E72</f>
        <v>-80093</v>
      </c>
      <c r="F71" s="559">
        <f>'Tab 4 Adjustment Details'!F72</f>
        <v>0</v>
      </c>
      <c r="G71" s="559">
        <f>'Tab 4 Adjustment Details'!G72</f>
        <v>0</v>
      </c>
      <c r="H71" s="559">
        <f>'Tab 4 Adjustment Details'!H72</f>
        <v>0</v>
      </c>
      <c r="I71" s="559">
        <f>'Tab 4 Adjustment Details'!I72</f>
        <v>0</v>
      </c>
      <c r="J71" s="559">
        <f>'Tab 4 Adjustment Details'!J72</f>
        <v>0</v>
      </c>
      <c r="K71" s="559">
        <f>'Tab 4 Adjustment Details'!K72</f>
        <v>0</v>
      </c>
      <c r="L71" s="559">
        <f>'Tab 4 Adjustment Details'!L72</f>
        <v>0</v>
      </c>
      <c r="M71" s="559">
        <f>'Tab 4 Adjustment Details'!M72</f>
        <v>0</v>
      </c>
      <c r="N71" s="559">
        <f>'Tab 4 Adjustment Details'!N72</f>
        <v>0</v>
      </c>
      <c r="O71" s="559">
        <f>'Tab 4 Adjustment Details'!O72</f>
        <v>0</v>
      </c>
      <c r="P71" s="559">
        <f>'Tab 4 Adjustment Details'!P72</f>
        <v>0</v>
      </c>
      <c r="Q71" s="559">
        <f>'Tab 4 Adjustment Details'!Q72</f>
        <v>0</v>
      </c>
      <c r="R71" s="559">
        <f>'Tab 4 Adjustment Details'!R72</f>
        <v>0</v>
      </c>
      <c r="S71" s="559">
        <f>'Tab 4 Adjustment Details'!S72</f>
        <v>0</v>
      </c>
      <c r="T71" s="559">
        <f>'Tab 4 Adjustment Details'!T72</f>
        <v>0</v>
      </c>
      <c r="U71" s="559">
        <f>'Tab 4 Adjustment Details'!U72</f>
        <v>0</v>
      </c>
      <c r="V71" s="559">
        <f>'Tab 4 Adjustment Details'!V72</f>
        <v>0</v>
      </c>
      <c r="W71" s="559">
        <f>'Tab 4 Adjustment Details'!W72</f>
        <v>0</v>
      </c>
      <c r="X71" s="559">
        <f>'Tab 4 Adjustment Details'!X72</f>
        <v>0</v>
      </c>
      <c r="Y71" s="559">
        <f>'Tab 4 Adjustment Details'!Y72</f>
        <v>0</v>
      </c>
      <c r="Z71" s="559">
        <f>'Tab 4 Adjustment Details'!Z72</f>
        <v>0</v>
      </c>
      <c r="AA71" s="559">
        <f>'Tab 4 Adjustment Details'!AD72</f>
        <v>0</v>
      </c>
      <c r="AB71" s="559">
        <f>'Tab 4 Adjustment Details'!AE72</f>
        <v>0</v>
      </c>
      <c r="AC71" s="559">
        <f>'Tab 4 Adjustment Details'!AF72</f>
        <v>0</v>
      </c>
      <c r="AD71" s="559">
        <f>'Tab 4 Adjustment Details'!AG72</f>
        <v>0</v>
      </c>
      <c r="AE71" s="559">
        <f>'Tab 4 Adjustment Details'!AH72</f>
        <v>0</v>
      </c>
      <c r="AF71" s="559">
        <f>'Tab 4 Adjustment Details'!AI72</f>
        <v>0</v>
      </c>
      <c r="AG71" s="559">
        <f>'Tab 4 Adjustment Details'!AJ72</f>
        <v>0</v>
      </c>
      <c r="AH71" s="559">
        <f>'Tab 4 Adjustment Details'!AK72</f>
        <v>0</v>
      </c>
      <c r="AI71" s="559">
        <f>'Tab 4 Adjustment Details'!AL72</f>
        <v>0</v>
      </c>
      <c r="AJ71" s="559">
        <f>'Tab 4 Adjustment Details'!AM72</f>
        <v>0</v>
      </c>
      <c r="AK71" s="559">
        <f>'Tab 4 Adjustment Details'!AN72</f>
        <v>0</v>
      </c>
      <c r="AL71" s="559">
        <f>'Tab 4 Adjustment Details'!AO72</f>
        <v>0</v>
      </c>
      <c r="AM71" s="559">
        <f>'Tab 4 Adjustment Details'!AP72</f>
        <v>0</v>
      </c>
      <c r="AN71" s="559">
        <f>'Tab 4 Adjustment Details'!AQ72</f>
        <v>0</v>
      </c>
      <c r="AO71" s="559">
        <f>'Tab 4 Adjustment Details'!AS72</f>
        <v>0</v>
      </c>
      <c r="AP71" s="559" t="e">
        <f>'Tab 4 Adjustment Details'!#REF!</f>
        <v>#REF!</v>
      </c>
    </row>
    <row r="72" spans="1:42" s="548" customFormat="1">
      <c r="A72" s="549">
        <f ca="1">'Tab 4 Adjustment Details'!A73</f>
        <v>44</v>
      </c>
      <c r="B72" s="548" t="str">
        <f>'Tab 4 Adjustment Details'!B73</f>
        <v>Total Accumulated Depreciation</v>
      </c>
      <c r="E72" s="580">
        <f>'Tab 4 Adjustment Details'!E73</f>
        <v>-893639</v>
      </c>
      <c r="F72" s="580">
        <f>'Tab 4 Adjustment Details'!F73</f>
        <v>0</v>
      </c>
      <c r="G72" s="580">
        <f>'Tab 4 Adjustment Details'!G73</f>
        <v>0</v>
      </c>
      <c r="H72" s="580">
        <f>'Tab 4 Adjustment Details'!H73</f>
        <v>0</v>
      </c>
      <c r="I72" s="580">
        <f>'Tab 4 Adjustment Details'!I73</f>
        <v>0</v>
      </c>
      <c r="J72" s="580">
        <f>'Tab 4 Adjustment Details'!J73</f>
        <v>0</v>
      </c>
      <c r="K72" s="580">
        <f>'Tab 4 Adjustment Details'!K73</f>
        <v>0</v>
      </c>
      <c r="L72" s="580">
        <f>'Tab 4 Adjustment Details'!L73</f>
        <v>0</v>
      </c>
      <c r="M72" s="580">
        <f>'Tab 4 Adjustment Details'!M73</f>
        <v>0</v>
      </c>
      <c r="N72" s="580">
        <f>'Tab 4 Adjustment Details'!N73</f>
        <v>0</v>
      </c>
      <c r="O72" s="580">
        <f>'Tab 4 Adjustment Details'!O73</f>
        <v>0</v>
      </c>
      <c r="P72" s="580">
        <f>'Tab 4 Adjustment Details'!P73</f>
        <v>0</v>
      </c>
      <c r="Q72" s="580">
        <f>'Tab 4 Adjustment Details'!Q73</f>
        <v>0</v>
      </c>
      <c r="R72" s="580">
        <f>'Tab 4 Adjustment Details'!R73</f>
        <v>0</v>
      </c>
      <c r="S72" s="580">
        <f>'Tab 4 Adjustment Details'!S73</f>
        <v>0</v>
      </c>
      <c r="T72" s="580">
        <f>'Tab 4 Adjustment Details'!T73</f>
        <v>0</v>
      </c>
      <c r="U72" s="580">
        <f>'Tab 4 Adjustment Details'!U73</f>
        <v>0</v>
      </c>
      <c r="V72" s="580">
        <f>'Tab 4 Adjustment Details'!V73</f>
        <v>0</v>
      </c>
      <c r="W72" s="580">
        <f>'Tab 4 Adjustment Details'!W73</f>
        <v>0</v>
      </c>
      <c r="X72" s="580">
        <f>'Tab 4 Adjustment Details'!X73</f>
        <v>0</v>
      </c>
      <c r="Y72" s="580">
        <f>'Tab 4 Adjustment Details'!Y73</f>
        <v>0</v>
      </c>
      <c r="Z72" s="580">
        <f>'Tab 4 Adjustment Details'!Z73</f>
        <v>0</v>
      </c>
      <c r="AA72" s="580">
        <f>'Tab 4 Adjustment Details'!AD73</f>
        <v>0</v>
      </c>
      <c r="AB72" s="580">
        <f>'Tab 4 Adjustment Details'!AE73</f>
        <v>0</v>
      </c>
      <c r="AC72" s="580">
        <f>'Tab 4 Adjustment Details'!AF73</f>
        <v>0</v>
      </c>
      <c r="AD72" s="580">
        <f>'Tab 4 Adjustment Details'!AG73</f>
        <v>0</v>
      </c>
      <c r="AE72" s="580">
        <f>'Tab 4 Adjustment Details'!AH73</f>
        <v>0</v>
      </c>
      <c r="AF72" s="580">
        <f>'Tab 4 Adjustment Details'!AI73</f>
        <v>0</v>
      </c>
      <c r="AG72" s="580">
        <f>'Tab 4 Adjustment Details'!AJ73</f>
        <v>0</v>
      </c>
      <c r="AH72" s="580">
        <f>'Tab 4 Adjustment Details'!AK73</f>
        <v>0</v>
      </c>
      <c r="AI72" s="580">
        <f>'Tab 4 Adjustment Details'!AL73</f>
        <v>0</v>
      </c>
      <c r="AJ72" s="580">
        <f>'Tab 4 Adjustment Details'!AM73</f>
        <v>-95.207493278084613</v>
      </c>
      <c r="AK72" s="580">
        <f>'Tab 4 Adjustment Details'!AN73</f>
        <v>0</v>
      </c>
      <c r="AL72" s="580">
        <f>'Tab 4 Adjustment Details'!AO73</f>
        <v>0</v>
      </c>
      <c r="AM72" s="580">
        <f>'Tab 4 Adjustment Details'!AP73</f>
        <v>0</v>
      </c>
      <c r="AN72" s="580">
        <f>'Tab 4 Adjustment Details'!AQ73</f>
        <v>0</v>
      </c>
      <c r="AO72" s="580">
        <f>'Tab 4 Adjustment Details'!AS73</f>
        <v>0</v>
      </c>
      <c r="AP72" s="580" t="e">
        <f>'Tab 4 Adjustment Details'!#REF!</f>
        <v>#REF!</v>
      </c>
    </row>
    <row r="73" spans="1:42" s="548" customFormat="1">
      <c r="A73" s="549">
        <f ca="1">'Tab 4 Adjustment Details'!A74</f>
        <v>45</v>
      </c>
      <c r="B73" s="548" t="str">
        <f>'Tab 4 Adjustment Details'!B74</f>
        <v xml:space="preserve">NET PLANT </v>
      </c>
      <c r="E73" s="580">
        <f>'Tab 4 Adjustment Details'!E74</f>
        <v>1729585</v>
      </c>
      <c r="F73" s="580">
        <f>'Tab 4 Adjustment Details'!F74</f>
        <v>0</v>
      </c>
      <c r="G73" s="580">
        <f>'Tab 4 Adjustment Details'!G74</f>
        <v>0</v>
      </c>
      <c r="H73" s="580">
        <f>'Tab 4 Adjustment Details'!H74</f>
        <v>0</v>
      </c>
      <c r="I73" s="580">
        <f>'Tab 4 Adjustment Details'!I74</f>
        <v>0</v>
      </c>
      <c r="J73" s="580">
        <f>'Tab 4 Adjustment Details'!J74</f>
        <v>0</v>
      </c>
      <c r="K73" s="580">
        <f>'Tab 4 Adjustment Details'!K74</f>
        <v>0</v>
      </c>
      <c r="L73" s="580">
        <f>'Tab 4 Adjustment Details'!L74</f>
        <v>0</v>
      </c>
      <c r="M73" s="580">
        <f>'Tab 4 Adjustment Details'!M74</f>
        <v>0</v>
      </c>
      <c r="N73" s="580">
        <f>'Tab 4 Adjustment Details'!N74</f>
        <v>0</v>
      </c>
      <c r="O73" s="580">
        <f>'Tab 4 Adjustment Details'!O74</f>
        <v>0</v>
      </c>
      <c r="P73" s="580">
        <f>'Tab 4 Adjustment Details'!P74</f>
        <v>0</v>
      </c>
      <c r="Q73" s="580">
        <f>'Tab 4 Adjustment Details'!Q74</f>
        <v>0</v>
      </c>
      <c r="R73" s="580">
        <f>'Tab 4 Adjustment Details'!R74</f>
        <v>0</v>
      </c>
      <c r="S73" s="580">
        <f>'Tab 4 Adjustment Details'!S74</f>
        <v>0</v>
      </c>
      <c r="T73" s="580">
        <f>'Tab 4 Adjustment Details'!T74</f>
        <v>0</v>
      </c>
      <c r="U73" s="580">
        <f>'Tab 4 Adjustment Details'!U74</f>
        <v>0</v>
      </c>
      <c r="V73" s="580">
        <f>'Tab 4 Adjustment Details'!V74</f>
        <v>0</v>
      </c>
      <c r="W73" s="580">
        <f>'Tab 4 Adjustment Details'!W74</f>
        <v>0</v>
      </c>
      <c r="X73" s="580">
        <f>'Tab 4 Adjustment Details'!X74</f>
        <v>0</v>
      </c>
      <c r="Y73" s="580">
        <f>'Tab 4 Adjustment Details'!Y74</f>
        <v>0</v>
      </c>
      <c r="Z73" s="580">
        <f>'Tab 4 Adjustment Details'!Z74</f>
        <v>0</v>
      </c>
      <c r="AA73" s="580">
        <f>'Tab 4 Adjustment Details'!AD74</f>
        <v>0</v>
      </c>
      <c r="AB73" s="580">
        <f>'Tab 4 Adjustment Details'!AE74</f>
        <v>0</v>
      </c>
      <c r="AC73" s="580">
        <f>'Tab 4 Adjustment Details'!AF74</f>
        <v>0</v>
      </c>
      <c r="AD73" s="580">
        <f>'Tab 4 Adjustment Details'!AG74</f>
        <v>0</v>
      </c>
      <c r="AE73" s="580">
        <f>'Tab 4 Adjustment Details'!AH74</f>
        <v>0</v>
      </c>
      <c r="AF73" s="580">
        <f>'Tab 4 Adjustment Details'!AI74</f>
        <v>0</v>
      </c>
      <c r="AG73" s="580">
        <f>'Tab 4 Adjustment Details'!AJ74</f>
        <v>0</v>
      </c>
      <c r="AH73" s="580">
        <f>'Tab 4 Adjustment Details'!AK74</f>
        <v>0</v>
      </c>
      <c r="AI73" s="580">
        <f>'Tab 4 Adjustment Details'!AL74</f>
        <v>0</v>
      </c>
      <c r="AJ73" s="580">
        <f>'Tab 4 Adjustment Details'!AM74</f>
        <v>6793.7925067219157</v>
      </c>
      <c r="AK73" s="580">
        <f>'Tab 4 Adjustment Details'!AN74</f>
        <v>0</v>
      </c>
      <c r="AL73" s="580">
        <f>'Tab 4 Adjustment Details'!AO74</f>
        <v>0</v>
      </c>
      <c r="AM73" s="580">
        <f>'Tab 4 Adjustment Details'!AP74</f>
        <v>0</v>
      </c>
      <c r="AN73" s="580">
        <f>'Tab 4 Adjustment Details'!AQ74</f>
        <v>0</v>
      </c>
      <c r="AO73" s="580">
        <f>'Tab 4 Adjustment Details'!AS74</f>
        <v>0</v>
      </c>
      <c r="AP73" s="580" t="e">
        <f>'Tab 4 Adjustment Details'!#REF!</f>
        <v>#REF!</v>
      </c>
    </row>
    <row r="74" spans="1:42" s="548" customFormat="1" ht="6.75" customHeight="1">
      <c r="A74" s="54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69"/>
      <c r="AM74" s="569"/>
      <c r="AN74" s="569"/>
      <c r="AO74" s="569"/>
      <c r="AP74" s="569"/>
    </row>
    <row r="75" spans="1:42" s="548" customFormat="1">
      <c r="A75" s="550">
        <f ca="1">'Tab 4 Adjustment Details'!A76</f>
        <v>46</v>
      </c>
      <c r="B75" s="548" t="str">
        <f>'Tab 4 Adjustment Details'!B76</f>
        <v xml:space="preserve">DEFERRED TAXES  </v>
      </c>
      <c r="E75" s="570">
        <f>'Tab 4 Adjustment Details'!E76</f>
        <v>-354707</v>
      </c>
      <c r="F75" s="571">
        <f>'Tab 4 Adjustment Details'!F76</f>
        <v>806</v>
      </c>
      <c r="G75" s="571">
        <f>'Tab 4 Adjustment Details'!G76</f>
        <v>0</v>
      </c>
      <c r="H75" s="571">
        <f>'Tab 4 Adjustment Details'!H76</f>
        <v>0</v>
      </c>
      <c r="I75" s="571">
        <f>'Tab 4 Adjustment Details'!I76</f>
        <v>0</v>
      </c>
      <c r="J75" s="571">
        <f>'Tab 4 Adjustment Details'!J76</f>
        <v>0</v>
      </c>
      <c r="K75" s="571">
        <f>'Tab 4 Adjustment Details'!K76</f>
        <v>0</v>
      </c>
      <c r="L75" s="571">
        <f>'Tab 4 Adjustment Details'!L76</f>
        <v>0</v>
      </c>
      <c r="M75" s="571">
        <f>'Tab 4 Adjustment Details'!M76</f>
        <v>0</v>
      </c>
      <c r="N75" s="571">
        <f>'Tab 4 Adjustment Details'!N76</f>
        <v>0</v>
      </c>
      <c r="O75" s="571">
        <f>'Tab 4 Adjustment Details'!O76</f>
        <v>0</v>
      </c>
      <c r="P75" s="571">
        <f>'Tab 4 Adjustment Details'!P76</f>
        <v>0</v>
      </c>
      <c r="Q75" s="571">
        <f>'Tab 4 Adjustment Details'!Q76</f>
        <v>0</v>
      </c>
      <c r="R75" s="571">
        <f>'Tab 4 Adjustment Details'!R76</f>
        <v>0</v>
      </c>
      <c r="S75" s="571">
        <f>'Tab 4 Adjustment Details'!S76</f>
        <v>0</v>
      </c>
      <c r="T75" s="571">
        <f>'Tab 4 Adjustment Details'!T76</f>
        <v>0</v>
      </c>
      <c r="U75" s="571">
        <f>'Tab 4 Adjustment Details'!U76</f>
        <v>0</v>
      </c>
      <c r="V75" s="571">
        <f>'Tab 4 Adjustment Details'!V76</f>
        <v>0</v>
      </c>
      <c r="W75" s="571">
        <f>'Tab 4 Adjustment Details'!W76</f>
        <v>0</v>
      </c>
      <c r="X75" s="571">
        <f>'Tab 4 Adjustment Details'!X76</f>
        <v>0</v>
      </c>
      <c r="Y75" s="571">
        <f>'Tab 4 Adjustment Details'!Y76</f>
        <v>0</v>
      </c>
      <c r="Z75" s="571">
        <f>'Tab 4 Adjustment Details'!Z76</f>
        <v>0</v>
      </c>
      <c r="AA75" s="571">
        <f>'Tab 4 Adjustment Details'!AD76</f>
        <v>0</v>
      </c>
      <c r="AB75" s="571">
        <f>'Tab 4 Adjustment Details'!AE76</f>
        <v>0</v>
      </c>
      <c r="AC75" s="571">
        <f>'Tab 4 Adjustment Details'!AF76</f>
        <v>0</v>
      </c>
      <c r="AD75" s="571">
        <f>'Tab 4 Adjustment Details'!AG76</f>
        <v>0</v>
      </c>
      <c r="AE75" s="571">
        <f>'Tab 4 Adjustment Details'!AH76</f>
        <v>0</v>
      </c>
      <c r="AF75" s="571">
        <f>'Tab 4 Adjustment Details'!AI76</f>
        <v>0</v>
      </c>
      <c r="AG75" s="571">
        <f>'Tab 4 Adjustment Details'!AJ76</f>
        <v>0</v>
      </c>
      <c r="AH75" s="571">
        <f>'Tab 4 Adjustment Details'!AK76</f>
        <v>0</v>
      </c>
      <c r="AI75" s="571">
        <f>'Tab 4 Adjustment Details'!AL76</f>
        <v>0</v>
      </c>
      <c r="AJ75" s="571">
        <f>'Tab 4 Adjustment Details'!AM76</f>
        <v>-1229</v>
      </c>
      <c r="AK75" s="571">
        <f>'Tab 4 Adjustment Details'!AN76</f>
        <v>0</v>
      </c>
      <c r="AL75" s="571">
        <f>'Tab 4 Adjustment Details'!AO76</f>
        <v>0</v>
      </c>
      <c r="AM75" s="571">
        <f>'Tab 4 Adjustment Details'!AP76</f>
        <v>0</v>
      </c>
      <c r="AN75" s="571">
        <f>'Tab 4 Adjustment Details'!AQ76</f>
        <v>0</v>
      </c>
      <c r="AO75" s="571">
        <f>'Tab 4 Adjustment Details'!AS76</f>
        <v>0</v>
      </c>
      <c r="AP75" s="571" t="e">
        <f>'Tab 4 Adjustment Details'!#REF!</f>
        <v>#REF!</v>
      </c>
    </row>
    <row r="76" spans="1:42" s="548" customFormat="1">
      <c r="A76" s="550">
        <f ca="1">'Tab 4 Adjustment Details'!A78</f>
        <v>48</v>
      </c>
      <c r="C76" s="548" t="str">
        <f>'Tab 4 Adjustment Details'!C78</f>
        <v>Net Plant After DFIT</v>
      </c>
      <c r="E76" s="569">
        <f>'Tab 4 Adjustment Details'!E78</f>
        <v>1374878</v>
      </c>
      <c r="F76" s="569">
        <f>'Tab 4 Adjustment Details'!F78</f>
        <v>806</v>
      </c>
      <c r="G76" s="569">
        <f>'Tab 4 Adjustment Details'!G78</f>
        <v>0</v>
      </c>
      <c r="H76" s="569">
        <f>'Tab 4 Adjustment Details'!H78</f>
        <v>0</v>
      </c>
      <c r="I76" s="569">
        <f>'Tab 4 Adjustment Details'!I78</f>
        <v>0</v>
      </c>
      <c r="J76" s="569">
        <f>'Tab 4 Adjustment Details'!J78</f>
        <v>0</v>
      </c>
      <c r="K76" s="569">
        <f>'Tab 4 Adjustment Details'!K78</f>
        <v>0</v>
      </c>
      <c r="L76" s="569">
        <f>'Tab 4 Adjustment Details'!L78</f>
        <v>0</v>
      </c>
      <c r="M76" s="569">
        <f>'Tab 4 Adjustment Details'!M78</f>
        <v>0</v>
      </c>
      <c r="N76" s="569">
        <f>'Tab 4 Adjustment Details'!N78</f>
        <v>0</v>
      </c>
      <c r="O76" s="569">
        <f>'Tab 4 Adjustment Details'!O78</f>
        <v>0</v>
      </c>
      <c r="P76" s="569">
        <f>'Tab 4 Adjustment Details'!P78</f>
        <v>0</v>
      </c>
      <c r="Q76" s="569">
        <f>'Tab 4 Adjustment Details'!Q78</f>
        <v>0</v>
      </c>
      <c r="R76" s="569">
        <f>'Tab 4 Adjustment Details'!R78</f>
        <v>0</v>
      </c>
      <c r="S76" s="569">
        <f>'Tab 4 Adjustment Details'!S78</f>
        <v>0</v>
      </c>
      <c r="T76" s="569">
        <f>'Tab 4 Adjustment Details'!T78</f>
        <v>0</v>
      </c>
      <c r="U76" s="569">
        <f>'Tab 4 Adjustment Details'!U78</f>
        <v>0</v>
      </c>
      <c r="V76" s="569">
        <f>'Tab 4 Adjustment Details'!V78</f>
        <v>0</v>
      </c>
      <c r="W76" s="569">
        <f>'Tab 4 Adjustment Details'!W78</f>
        <v>0</v>
      </c>
      <c r="X76" s="569">
        <f>'Tab 4 Adjustment Details'!X78</f>
        <v>0</v>
      </c>
      <c r="Y76" s="569">
        <f>'Tab 4 Adjustment Details'!Y78</f>
        <v>0</v>
      </c>
      <c r="Z76" s="569">
        <f>'Tab 4 Adjustment Details'!Z78</f>
        <v>0</v>
      </c>
      <c r="AA76" s="569">
        <f>'Tab 4 Adjustment Details'!AD78</f>
        <v>0</v>
      </c>
      <c r="AB76" s="569">
        <f>'Tab 4 Adjustment Details'!AE78</f>
        <v>0</v>
      </c>
      <c r="AC76" s="569">
        <f>'Tab 4 Adjustment Details'!AF78</f>
        <v>0</v>
      </c>
      <c r="AD76" s="569">
        <f>'Tab 4 Adjustment Details'!AG78</f>
        <v>0</v>
      </c>
      <c r="AE76" s="569">
        <f>'Tab 4 Adjustment Details'!AH78</f>
        <v>0</v>
      </c>
      <c r="AF76" s="569">
        <f>'Tab 4 Adjustment Details'!AI78</f>
        <v>0</v>
      </c>
      <c r="AG76" s="569">
        <f>'Tab 4 Adjustment Details'!AJ78</f>
        <v>0</v>
      </c>
      <c r="AH76" s="569">
        <f>'Tab 4 Adjustment Details'!AK78</f>
        <v>0</v>
      </c>
      <c r="AI76" s="569">
        <f>'Tab 4 Adjustment Details'!AL78</f>
        <v>0</v>
      </c>
      <c r="AJ76" s="569">
        <f>'Tab 4 Adjustment Details'!AM78</f>
        <v>5564.7925067219157</v>
      </c>
      <c r="AK76" s="569">
        <f>'Tab 4 Adjustment Details'!AN78</f>
        <v>0</v>
      </c>
      <c r="AL76" s="569">
        <f>'Tab 4 Adjustment Details'!AO78</f>
        <v>0</v>
      </c>
      <c r="AM76" s="569">
        <f>'Tab 4 Adjustment Details'!AP78</f>
        <v>0</v>
      </c>
      <c r="AN76" s="569">
        <f>'Tab 4 Adjustment Details'!AQ78</f>
        <v>0</v>
      </c>
      <c r="AO76" s="569">
        <f>'Tab 4 Adjustment Details'!AS78</f>
        <v>0</v>
      </c>
      <c r="AP76" s="569" t="e">
        <f>'Tab 4 Adjustment Details'!#REF!</f>
        <v>#REF!</v>
      </c>
    </row>
    <row r="77" spans="1:42" s="548" customFormat="1">
      <c r="A77" s="549">
        <f ca="1">'Tab 4 Adjustment Details'!A79</f>
        <v>49</v>
      </c>
      <c r="B77" s="548" t="str">
        <f>'Tab 4 Adjustment Details'!B79</f>
        <v>DEFERRED DEBITS AND CREDITS &amp; OTHER</v>
      </c>
      <c r="E77" s="569">
        <f>'Tab 4 Adjustment Details'!E79</f>
        <v>4568</v>
      </c>
      <c r="F77" s="559">
        <f>'Tab 4 Adjustment Details'!F79</f>
        <v>0</v>
      </c>
      <c r="G77" s="559">
        <f>'Tab 4 Adjustment Details'!G79</f>
        <v>0</v>
      </c>
      <c r="H77" s="559">
        <f>'Tab 4 Adjustment Details'!H79</f>
        <v>0</v>
      </c>
      <c r="I77" s="559">
        <f>'Tab 4 Adjustment Details'!I79</f>
        <v>0</v>
      </c>
      <c r="J77" s="559">
        <f>'Tab 4 Adjustment Details'!J79</f>
        <v>0</v>
      </c>
      <c r="K77" s="559">
        <f>'Tab 4 Adjustment Details'!K79</f>
        <v>0</v>
      </c>
      <c r="L77" s="559">
        <f>'Tab 4 Adjustment Details'!L79</f>
        <v>0</v>
      </c>
      <c r="M77" s="559">
        <f>'Tab 4 Adjustment Details'!M79</f>
        <v>0</v>
      </c>
      <c r="N77" s="559">
        <f>'Tab 4 Adjustment Details'!N79</f>
        <v>0</v>
      </c>
      <c r="O77" s="559">
        <f>'Tab 4 Adjustment Details'!O79</f>
        <v>0</v>
      </c>
      <c r="P77" s="559">
        <f>'Tab 4 Adjustment Details'!P79</f>
        <v>0</v>
      </c>
      <c r="Q77" s="559">
        <f>'Tab 4 Adjustment Details'!Q79</f>
        <v>0</v>
      </c>
      <c r="R77" s="559">
        <f>'Tab 4 Adjustment Details'!R79</f>
        <v>0</v>
      </c>
      <c r="S77" s="559">
        <f>'Tab 4 Adjustment Details'!S79</f>
        <v>0</v>
      </c>
      <c r="T77" s="559">
        <f>'Tab 4 Adjustment Details'!T79</f>
        <v>0</v>
      </c>
      <c r="U77" s="559">
        <f>'Tab 4 Adjustment Details'!U79</f>
        <v>0</v>
      </c>
      <c r="V77" s="559">
        <f>'Tab 4 Adjustment Details'!V79</f>
        <v>0</v>
      </c>
      <c r="W77" s="559">
        <f>'Tab 4 Adjustment Details'!W79</f>
        <v>0</v>
      </c>
      <c r="X77" s="559">
        <f>'Tab 4 Adjustment Details'!X79</f>
        <v>0</v>
      </c>
      <c r="Y77" s="559">
        <f>'Tab 4 Adjustment Details'!Y79</f>
        <v>0</v>
      </c>
      <c r="Z77" s="559">
        <f>'Tab 4 Adjustment Details'!Z79</f>
        <v>0</v>
      </c>
      <c r="AA77" s="559">
        <f>'Tab 4 Adjustment Details'!AD79</f>
        <v>0</v>
      </c>
      <c r="AB77" s="559">
        <f>'Tab 4 Adjustment Details'!AE79</f>
        <v>0</v>
      </c>
      <c r="AC77" s="559">
        <f>'Tab 4 Adjustment Details'!AF79</f>
        <v>0</v>
      </c>
      <c r="AD77" s="559">
        <f>'Tab 4 Adjustment Details'!AG79</f>
        <v>0</v>
      </c>
      <c r="AE77" s="559">
        <f>'Tab 4 Adjustment Details'!AH79</f>
        <v>0</v>
      </c>
      <c r="AF77" s="559">
        <f>'Tab 4 Adjustment Details'!AI79</f>
        <v>0</v>
      </c>
      <c r="AG77" s="559">
        <f>'Tab 4 Adjustment Details'!AJ79</f>
        <v>0</v>
      </c>
      <c r="AH77" s="559">
        <f>'Tab 4 Adjustment Details'!AK79</f>
        <v>0</v>
      </c>
      <c r="AI77" s="559">
        <f>'Tab 4 Adjustment Details'!AL79</f>
        <v>-5346</v>
      </c>
      <c r="AJ77" s="559">
        <f>'Tab 4 Adjustment Details'!AM79</f>
        <v>0</v>
      </c>
      <c r="AK77" s="559">
        <f>'Tab 4 Adjustment Details'!AN79</f>
        <v>0</v>
      </c>
      <c r="AL77" s="559">
        <f>'Tab 4 Adjustment Details'!AO79</f>
        <v>0</v>
      </c>
      <c r="AM77" s="559">
        <f>'Tab 4 Adjustment Details'!AP79</f>
        <v>0</v>
      </c>
      <c r="AN77" s="559">
        <f>'Tab 4 Adjustment Details'!AQ79</f>
        <v>0</v>
      </c>
      <c r="AO77" s="559">
        <f>'Tab 4 Adjustment Details'!AS79</f>
        <v>0</v>
      </c>
      <c r="AP77" s="559" t="e">
        <f>'Tab 4 Adjustment Details'!#REF!</f>
        <v>#REF!</v>
      </c>
    </row>
    <row r="78" spans="1:42" s="548" customFormat="1">
      <c r="A78" s="549">
        <f ca="1">'Tab 4 Adjustment Details'!A80</f>
        <v>50</v>
      </c>
      <c r="B78" s="548" t="str">
        <f>'Tab 4 Adjustment Details'!B80</f>
        <v xml:space="preserve">WORKING CAPITAL </v>
      </c>
      <c r="E78" s="569">
        <f>'Tab 4 Adjustment Details'!E80</f>
        <v>65480</v>
      </c>
      <c r="F78" s="571">
        <f>'Tab 4 Adjustment Details'!F80</f>
        <v>0</v>
      </c>
      <c r="G78" s="571">
        <f>'Tab 4 Adjustment Details'!G80</f>
        <v>0</v>
      </c>
      <c r="H78" s="571">
        <f>'Tab 4 Adjustment Details'!H80</f>
        <v>-3006</v>
      </c>
      <c r="I78" s="571">
        <f>'Tab 4 Adjustment Details'!I80</f>
        <v>0</v>
      </c>
      <c r="J78" s="571">
        <f>'Tab 4 Adjustment Details'!J80</f>
        <v>0</v>
      </c>
      <c r="K78" s="571">
        <f>'Tab 4 Adjustment Details'!K80</f>
        <v>0</v>
      </c>
      <c r="L78" s="571">
        <f>'Tab 4 Adjustment Details'!L80</f>
        <v>0</v>
      </c>
      <c r="M78" s="571">
        <f>'Tab 4 Adjustment Details'!M80</f>
        <v>0</v>
      </c>
      <c r="N78" s="571">
        <f>'Tab 4 Adjustment Details'!N80</f>
        <v>0</v>
      </c>
      <c r="O78" s="571">
        <f>'Tab 4 Adjustment Details'!O80</f>
        <v>0</v>
      </c>
      <c r="P78" s="571">
        <f>'Tab 4 Adjustment Details'!P80</f>
        <v>0</v>
      </c>
      <c r="Q78" s="571">
        <f>'Tab 4 Adjustment Details'!Q80</f>
        <v>0</v>
      </c>
      <c r="R78" s="571">
        <f>'Tab 4 Adjustment Details'!R80</f>
        <v>0</v>
      </c>
      <c r="S78" s="571">
        <f>'Tab 4 Adjustment Details'!S80</f>
        <v>0</v>
      </c>
      <c r="T78" s="571">
        <f>'Tab 4 Adjustment Details'!T80</f>
        <v>0</v>
      </c>
      <c r="U78" s="571">
        <f>'Tab 4 Adjustment Details'!U80</f>
        <v>0</v>
      </c>
      <c r="V78" s="571">
        <f>'Tab 4 Adjustment Details'!V80</f>
        <v>0</v>
      </c>
      <c r="W78" s="571">
        <f>'Tab 4 Adjustment Details'!W80</f>
        <v>0</v>
      </c>
      <c r="X78" s="571">
        <f>'Tab 4 Adjustment Details'!X80</f>
        <v>0</v>
      </c>
      <c r="Y78" s="571">
        <f>'Tab 4 Adjustment Details'!Y80</f>
        <v>0</v>
      </c>
      <c r="Z78" s="571">
        <f>'Tab 4 Adjustment Details'!Z80</f>
        <v>0</v>
      </c>
      <c r="AA78" s="571">
        <f>'Tab 4 Adjustment Details'!AD80</f>
        <v>0</v>
      </c>
      <c r="AB78" s="571">
        <f>'Tab 4 Adjustment Details'!AE80</f>
        <v>0</v>
      </c>
      <c r="AC78" s="571">
        <f>'Tab 4 Adjustment Details'!AF80</f>
        <v>0</v>
      </c>
      <c r="AD78" s="571">
        <f>'Tab 4 Adjustment Details'!AG80</f>
        <v>0</v>
      </c>
      <c r="AE78" s="571">
        <f>'Tab 4 Adjustment Details'!AH80</f>
        <v>0</v>
      </c>
      <c r="AF78" s="571">
        <f>'Tab 4 Adjustment Details'!AI80</f>
        <v>0</v>
      </c>
      <c r="AG78" s="571">
        <f>'Tab 4 Adjustment Details'!AJ80</f>
        <v>0</v>
      </c>
      <c r="AH78" s="571">
        <f>'Tab 4 Adjustment Details'!AK80</f>
        <v>0</v>
      </c>
      <c r="AI78" s="571">
        <f>'Tab 4 Adjustment Details'!AL80</f>
        <v>0</v>
      </c>
      <c r="AJ78" s="571">
        <f>'Tab 4 Adjustment Details'!AM80</f>
        <v>0</v>
      </c>
      <c r="AK78" s="571">
        <f>'Tab 4 Adjustment Details'!AN80</f>
        <v>0</v>
      </c>
      <c r="AL78" s="571">
        <f>'Tab 4 Adjustment Details'!AO80</f>
        <v>0</v>
      </c>
      <c r="AM78" s="571">
        <f>'Tab 4 Adjustment Details'!AP80</f>
        <v>0</v>
      </c>
      <c r="AN78" s="571">
        <f>'Tab 4 Adjustment Details'!AQ80</f>
        <v>0</v>
      </c>
      <c r="AO78" s="571">
        <f>'Tab 4 Adjustment Details'!AS80</f>
        <v>0</v>
      </c>
      <c r="AP78" s="571" t="e">
        <f>'Tab 4 Adjustment Details'!#REF!</f>
        <v>#REF!</v>
      </c>
    </row>
    <row r="79" spans="1:42" s="548" customFormat="1" ht="6.75" customHeight="1">
      <c r="A79" s="550"/>
      <c r="E79" s="580">
        <f>'Tab 4 Adjustment Details'!E81</f>
        <v>0</v>
      </c>
      <c r="F79" s="559">
        <f>'Tab 4 Adjustment Details'!F81</f>
        <v>0</v>
      </c>
      <c r="G79" s="559">
        <f>'Tab 4 Adjustment Details'!G81</f>
        <v>0</v>
      </c>
      <c r="H79" s="559">
        <f>'Tab 4 Adjustment Details'!H81</f>
        <v>0</v>
      </c>
      <c r="I79" s="559">
        <f>'Tab 4 Adjustment Details'!I81</f>
        <v>0</v>
      </c>
      <c r="J79" s="559">
        <f>'Tab 4 Adjustment Details'!J81</f>
        <v>0</v>
      </c>
      <c r="K79" s="559">
        <f>'Tab 4 Adjustment Details'!K81</f>
        <v>0</v>
      </c>
      <c r="L79" s="559">
        <f>'Tab 4 Adjustment Details'!L81</f>
        <v>0</v>
      </c>
      <c r="M79" s="559">
        <f>'Tab 4 Adjustment Details'!M81</f>
        <v>0</v>
      </c>
      <c r="N79" s="559">
        <f>'Tab 4 Adjustment Details'!N81</f>
        <v>0</v>
      </c>
      <c r="O79" s="559">
        <f>'Tab 4 Adjustment Details'!O81</f>
        <v>0</v>
      </c>
      <c r="P79" s="559">
        <f>'Tab 4 Adjustment Details'!P81</f>
        <v>0</v>
      </c>
      <c r="Q79" s="559">
        <f>'Tab 4 Adjustment Details'!Q81</f>
        <v>0</v>
      </c>
      <c r="R79" s="559">
        <f>'Tab 4 Adjustment Details'!R81</f>
        <v>0</v>
      </c>
      <c r="S79" s="559">
        <f>'Tab 4 Adjustment Details'!S81</f>
        <v>0</v>
      </c>
      <c r="T79" s="559">
        <f>'Tab 4 Adjustment Details'!T81</f>
        <v>0</v>
      </c>
      <c r="U79" s="559">
        <f>'Tab 4 Adjustment Details'!U81</f>
        <v>0</v>
      </c>
      <c r="V79" s="559">
        <f>'Tab 4 Adjustment Details'!V81</f>
        <v>0</v>
      </c>
      <c r="W79" s="559">
        <f>'Tab 4 Adjustment Details'!W81</f>
        <v>0</v>
      </c>
      <c r="X79" s="559">
        <f>'Tab 4 Adjustment Details'!X81</f>
        <v>0</v>
      </c>
      <c r="Y79" s="559">
        <f>'Tab 4 Adjustment Details'!Y81</f>
        <v>0</v>
      </c>
      <c r="Z79" s="559">
        <f>'Tab 4 Adjustment Details'!Z81</f>
        <v>0</v>
      </c>
      <c r="AA79" s="559">
        <f>'Tab 4 Adjustment Details'!AD81</f>
        <v>0</v>
      </c>
      <c r="AB79" s="559">
        <f>'Tab 4 Adjustment Details'!AE81</f>
        <v>0</v>
      </c>
      <c r="AC79" s="559">
        <f>'Tab 4 Adjustment Details'!AF81</f>
        <v>0</v>
      </c>
      <c r="AD79" s="559">
        <f>'Tab 4 Adjustment Details'!AG81</f>
        <v>0</v>
      </c>
      <c r="AE79" s="559">
        <f>'Tab 4 Adjustment Details'!AH81</f>
        <v>0</v>
      </c>
      <c r="AF79" s="559">
        <f>'Tab 4 Adjustment Details'!AI81</f>
        <v>0</v>
      </c>
      <c r="AG79" s="559">
        <f>'Tab 4 Adjustment Details'!AJ81</f>
        <v>0</v>
      </c>
      <c r="AH79" s="559">
        <f>'Tab 4 Adjustment Details'!AK81</f>
        <v>0</v>
      </c>
      <c r="AI79" s="559">
        <f>'Tab 4 Adjustment Details'!AL81</f>
        <v>0</v>
      </c>
      <c r="AJ79" s="559">
        <f>'Tab 4 Adjustment Details'!AM81</f>
        <v>0</v>
      </c>
      <c r="AK79" s="559">
        <f>'Tab 4 Adjustment Details'!AN81</f>
        <v>0</v>
      </c>
      <c r="AL79" s="559">
        <f>'Tab 4 Adjustment Details'!AO81</f>
        <v>0</v>
      </c>
      <c r="AM79" s="559">
        <f>'Tab 4 Adjustment Details'!AP81</f>
        <v>0</v>
      </c>
      <c r="AN79" s="559">
        <f>'Tab 4 Adjustment Details'!AQ81</f>
        <v>0</v>
      </c>
      <c r="AO79" s="559">
        <f>'Tab 4 Adjustment Details'!AS81</f>
        <v>0</v>
      </c>
      <c r="AP79" s="559" t="e">
        <f>'Tab 4 Adjustment Details'!#REF!</f>
        <v>#REF!</v>
      </c>
    </row>
    <row r="80" spans="1:42" s="547" customFormat="1" ht="12.75" thickBot="1">
      <c r="A80" s="546">
        <f ca="1">'Tab 4 Adjustment Details'!A82</f>
        <v>51</v>
      </c>
      <c r="B80" s="547" t="str">
        <f>'Tab 4 Adjustment Details'!B82</f>
        <v xml:space="preserve">TOTAL RATE BASE  </v>
      </c>
      <c r="E80" s="582">
        <f>'Tab 4 Adjustment Details'!E82</f>
        <v>1444926</v>
      </c>
      <c r="F80" s="582">
        <f>'Tab 4 Adjustment Details'!F82</f>
        <v>806</v>
      </c>
      <c r="G80" s="582">
        <f>'Tab 4 Adjustment Details'!G82</f>
        <v>0</v>
      </c>
      <c r="H80" s="582">
        <f>'Tab 4 Adjustment Details'!H82</f>
        <v>-3006</v>
      </c>
      <c r="I80" s="582">
        <f>'Tab 4 Adjustment Details'!I82</f>
        <v>0</v>
      </c>
      <c r="J80" s="582">
        <f>'Tab 4 Adjustment Details'!J82</f>
        <v>0</v>
      </c>
      <c r="K80" s="582">
        <f>'Tab 4 Adjustment Details'!K82</f>
        <v>0</v>
      </c>
      <c r="L80" s="582">
        <f>'Tab 4 Adjustment Details'!L82</f>
        <v>0</v>
      </c>
      <c r="M80" s="582">
        <f>'Tab 4 Adjustment Details'!M82</f>
        <v>0</v>
      </c>
      <c r="N80" s="582">
        <f>'Tab 4 Adjustment Details'!N82</f>
        <v>0</v>
      </c>
      <c r="O80" s="582">
        <f>'Tab 4 Adjustment Details'!O82</f>
        <v>0</v>
      </c>
      <c r="P80" s="582">
        <f>'Tab 4 Adjustment Details'!P82</f>
        <v>0</v>
      </c>
      <c r="Q80" s="582">
        <f>'Tab 4 Adjustment Details'!Q82</f>
        <v>0</v>
      </c>
      <c r="R80" s="582">
        <f>'Tab 4 Adjustment Details'!R82</f>
        <v>0</v>
      </c>
      <c r="S80" s="582">
        <f>'Tab 4 Adjustment Details'!S82</f>
        <v>0</v>
      </c>
      <c r="T80" s="582">
        <f>'Tab 4 Adjustment Details'!T82</f>
        <v>0</v>
      </c>
      <c r="U80" s="582">
        <f>'Tab 4 Adjustment Details'!U82</f>
        <v>0</v>
      </c>
      <c r="V80" s="582">
        <f>'Tab 4 Adjustment Details'!V82</f>
        <v>0</v>
      </c>
      <c r="W80" s="582">
        <f>'Tab 4 Adjustment Details'!W82</f>
        <v>0</v>
      </c>
      <c r="X80" s="582">
        <f>'Tab 4 Adjustment Details'!X82</f>
        <v>0</v>
      </c>
      <c r="Y80" s="582">
        <f>'Tab 4 Adjustment Details'!Y82</f>
        <v>0</v>
      </c>
      <c r="Z80" s="582">
        <f>'Tab 4 Adjustment Details'!Z82</f>
        <v>0</v>
      </c>
      <c r="AA80" s="582">
        <f>'Tab 4 Adjustment Details'!AD82</f>
        <v>0</v>
      </c>
      <c r="AB80" s="582">
        <f>'Tab 4 Adjustment Details'!AE82</f>
        <v>0</v>
      </c>
      <c r="AC80" s="582">
        <f>'Tab 4 Adjustment Details'!AF82</f>
        <v>0</v>
      </c>
      <c r="AD80" s="582">
        <f>'Tab 4 Adjustment Details'!AG82</f>
        <v>0</v>
      </c>
      <c r="AE80" s="582">
        <f>'Tab 4 Adjustment Details'!AH82</f>
        <v>0</v>
      </c>
      <c r="AF80" s="582">
        <f>'Tab 4 Adjustment Details'!AI82</f>
        <v>0</v>
      </c>
      <c r="AG80" s="582">
        <f>'Tab 4 Adjustment Details'!AJ82</f>
        <v>0</v>
      </c>
      <c r="AH80" s="582">
        <f>'Tab 4 Adjustment Details'!AK82</f>
        <v>0</v>
      </c>
      <c r="AI80" s="582">
        <f>'Tab 4 Adjustment Details'!AL82</f>
        <v>-5346</v>
      </c>
      <c r="AJ80" s="582">
        <f>'Tab 4 Adjustment Details'!AM82</f>
        <v>5564.7925067219157</v>
      </c>
      <c r="AK80" s="582">
        <f>'Tab 4 Adjustment Details'!AN82</f>
        <v>0</v>
      </c>
      <c r="AL80" s="582">
        <f>'Tab 4 Adjustment Details'!AO82</f>
        <v>0</v>
      </c>
      <c r="AM80" s="582">
        <f>'Tab 4 Adjustment Details'!AP82</f>
        <v>0</v>
      </c>
      <c r="AN80" s="582">
        <f>'Tab 4 Adjustment Details'!AQ82</f>
        <v>0</v>
      </c>
      <c r="AO80" s="582">
        <f>'Tab 4 Adjustment Details'!AS82</f>
        <v>0</v>
      </c>
      <c r="AP80" s="582" t="e">
        <f>'Tab 4 Adjustment Details'!#REF!</f>
        <v>#REF!</v>
      </c>
    </row>
    <row r="81" spans="4:5" ht="12.75" thickTop="1">
      <c r="D81" s="552"/>
      <c r="E81" s="559"/>
    </row>
    <row r="82" spans="4:5">
      <c r="E82" s="559"/>
    </row>
  </sheetData>
  <sheetProtection formatCells="0" formatColumns="0" formatRows="0" insertColumns="0" insertRows="0" insertHyperlinks="0" deleteColumns="0" deleteRows="0" sort="0" autoFilter="0" pivotTables="0"/>
  <mergeCells count="1">
    <mergeCell ref="Z3:Z6"/>
  </mergeCells>
  <pageMargins left="1.25" right="0.51" top="0.4" bottom="0.5" header="0.27" footer="0.5"/>
  <pageSetup scale="83" firstPageNumber="4" fitToWidth="3" orientation="portrait" r:id="rId1"/>
  <headerFooter scaleWithDoc="0" alignWithMargins="0"/>
  <colBreaks count="37" manualBreakCount="37">
    <brk id="5" min="1" max="79" man="1"/>
    <brk id="6" min="1" max="79" man="1"/>
    <brk id="7" min="1" max="79" man="1"/>
    <brk id="8" min="1" max="79" man="1"/>
    <brk id="9" max="1048575" man="1"/>
    <brk id="10" min="1" max="79" man="1"/>
    <brk id="11" min="1" max="79" man="1"/>
    <brk id="12" min="1" max="79" man="1"/>
    <brk id="13" min="1" max="79" man="1"/>
    <brk id="14" min="1" max="79" man="1"/>
    <brk id="15" min="1" max="79" man="1"/>
    <brk id="16" min="1" max="79" man="1"/>
    <brk id="17" min="1" max="79" man="1"/>
    <brk id="18" min="1" max="79" man="1"/>
    <brk id="19" min="1" max="79"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XFD479"/>
  <sheetViews>
    <sheetView zoomScaleNormal="100" workbookViewId="0"/>
  </sheetViews>
  <sheetFormatPr defaultColWidth="12.42578125" defaultRowHeight="12"/>
  <cols>
    <col min="1" max="1" width="7.85546875" style="325" customWidth="1"/>
    <col min="2" max="2" width="26.140625" style="324" customWidth="1"/>
    <col min="3" max="3" width="12.42578125" style="324" customWidth="1"/>
    <col min="4" max="4" width="5.5703125" style="324" bestFit="1" customWidth="1"/>
    <col min="5" max="5" width="14.7109375" style="324" customWidth="1"/>
    <col min="6" max="8" width="12.42578125" style="324" customWidth="1"/>
    <col min="9" max="9" width="14.7109375" style="324" hidden="1" customWidth="1"/>
    <col min="10" max="11" width="12.42578125" style="324" hidden="1" customWidth="1"/>
    <col min="12" max="16384" width="12.42578125" style="324"/>
  </cols>
  <sheetData>
    <row r="1" spans="1:11">
      <c r="A1" s="352" t="s">
        <v>116</v>
      </c>
      <c r="B1" s="353"/>
      <c r="C1" s="352"/>
    </row>
    <row r="2" spans="1:11">
      <c r="A2" s="352" t="s">
        <v>86</v>
      </c>
      <c r="B2" s="353"/>
      <c r="C2" s="352"/>
      <c r="I2" s="352"/>
      <c r="J2" s="325" t="s">
        <v>141</v>
      </c>
      <c r="K2" s="352"/>
    </row>
    <row r="3" spans="1:11">
      <c r="A3" s="353" t="str">
        <f>'Tab 4 Adjustment Details'!A5</f>
        <v>TWELVE MONTHS ENDED DECEMBER 31, 2016</v>
      </c>
      <c r="B3" s="353"/>
      <c r="C3" s="352"/>
      <c r="I3" s="352" t="s">
        <v>142</v>
      </c>
      <c r="J3" s="352"/>
      <c r="K3" s="352"/>
    </row>
    <row r="4" spans="1:11">
      <c r="A4" s="352" t="s">
        <v>0</v>
      </c>
      <c r="B4" s="353"/>
      <c r="C4" s="352"/>
      <c r="F4" s="483"/>
      <c r="I4" s="351" t="s">
        <v>89</v>
      </c>
      <c r="J4" s="351"/>
      <c r="K4" s="350"/>
    </row>
    <row r="5" spans="1:11">
      <c r="A5" s="352"/>
      <c r="B5" s="353"/>
      <c r="C5" s="352"/>
      <c r="I5" s="349"/>
      <c r="J5" s="349"/>
      <c r="K5" s="348"/>
    </row>
    <row r="6" spans="1:11">
      <c r="A6" s="352"/>
      <c r="B6" s="353"/>
      <c r="C6" s="352"/>
      <c r="E6" s="352" t="s">
        <v>87</v>
      </c>
      <c r="F6" s="352"/>
      <c r="G6" s="352"/>
      <c r="I6" s="349"/>
      <c r="J6" s="349"/>
      <c r="K6" s="348"/>
    </row>
    <row r="7" spans="1:11">
      <c r="A7" s="352"/>
      <c r="B7" s="353"/>
      <c r="C7" s="352"/>
      <c r="E7" s="352" t="s">
        <v>88</v>
      </c>
      <c r="F7" s="352"/>
      <c r="G7" s="352"/>
      <c r="I7" s="349"/>
      <c r="J7" s="349"/>
      <c r="K7" s="348"/>
    </row>
    <row r="8" spans="1:11">
      <c r="A8" s="352"/>
      <c r="B8" s="353"/>
      <c r="C8" s="352"/>
      <c r="E8" s="351" t="s">
        <v>89</v>
      </c>
      <c r="F8" s="351"/>
      <c r="G8" s="350"/>
      <c r="I8" s="349"/>
      <c r="J8" s="349"/>
      <c r="K8" s="348"/>
    </row>
    <row r="9" spans="1:11">
      <c r="A9" s="325" t="s">
        <v>8</v>
      </c>
    </row>
    <row r="10" spans="1:11" s="325" customFormat="1">
      <c r="A10" s="325" t="s">
        <v>90</v>
      </c>
      <c r="B10" s="347" t="s">
        <v>22</v>
      </c>
      <c r="C10" s="347"/>
      <c r="E10" s="347" t="s">
        <v>91</v>
      </c>
      <c r="F10" s="347" t="s">
        <v>92</v>
      </c>
      <c r="G10" s="347" t="s">
        <v>75</v>
      </c>
      <c r="H10" s="346" t="s">
        <v>93</v>
      </c>
      <c r="I10" s="347" t="s">
        <v>91</v>
      </c>
      <c r="J10" s="347" t="s">
        <v>92</v>
      </c>
      <c r="K10" s="347"/>
    </row>
    <row r="11" spans="1:11" s="325" customFormat="1" ht="5.25" customHeight="1">
      <c r="B11" s="421"/>
      <c r="C11" s="421"/>
      <c r="E11" s="421"/>
      <c r="F11" s="421"/>
      <c r="G11" s="421"/>
      <c r="H11" s="346"/>
      <c r="I11" s="421"/>
      <c r="J11" s="421"/>
      <c r="K11" s="421"/>
    </row>
    <row r="12" spans="1:11" s="325" customFormat="1" ht="5.25" customHeight="1">
      <c r="B12" s="421"/>
      <c r="C12" s="421"/>
      <c r="E12" s="421"/>
      <c r="F12" s="421"/>
      <c r="G12" s="421"/>
      <c r="H12" s="346"/>
      <c r="I12" s="421"/>
      <c r="J12" s="421"/>
      <c r="K12" s="421"/>
    </row>
    <row r="13" spans="1:11">
      <c r="B13" s="327" t="s">
        <v>40</v>
      </c>
    </row>
    <row r="14" spans="1:11" s="331" customFormat="1">
      <c r="A14" s="334">
        <v>1</v>
      </c>
      <c r="B14" s="333" t="s">
        <v>41</v>
      </c>
      <c r="E14" s="340">
        <f>F14+G14</f>
        <v>516333</v>
      </c>
      <c r="F14" s="340">
        <f>SUM(F85:F88)+F90</f>
        <v>516333</v>
      </c>
      <c r="G14" s="340">
        <f>SUM(G85:G89)</f>
        <v>0</v>
      </c>
      <c r="H14" s="331" t="str">
        <f t="shared" ref="H14:H19" si="0">IF(E14=F14+G14," ","ERROR")</f>
        <v xml:space="preserve"> </v>
      </c>
      <c r="I14" s="340" t="e">
        <f>J14+K14</f>
        <v>#REF!</v>
      </c>
      <c r="J14" s="340" t="e">
        <f>#REF!</f>
        <v>#REF!</v>
      </c>
      <c r="K14" s="340"/>
    </row>
    <row r="15" spans="1:11">
      <c r="A15" s="325">
        <v>2</v>
      </c>
      <c r="B15" s="327" t="s">
        <v>42</v>
      </c>
      <c r="E15" s="336">
        <f>F15+G15</f>
        <v>946</v>
      </c>
      <c r="F15" s="336">
        <f>SUM(F89)</f>
        <v>946</v>
      </c>
      <c r="G15" s="336">
        <f>SUM(G90)</f>
        <v>0</v>
      </c>
      <c r="H15" s="331" t="str">
        <f t="shared" si="0"/>
        <v xml:space="preserve"> </v>
      </c>
      <c r="I15" s="336" t="e">
        <f>J15+K15</f>
        <v>#REF!</v>
      </c>
      <c r="J15" s="336" t="e">
        <f>#REF!</f>
        <v>#REF!</v>
      </c>
      <c r="K15" s="336"/>
    </row>
    <row r="16" spans="1:11">
      <c r="A16" s="325">
        <v>3</v>
      </c>
      <c r="B16" s="327" t="s">
        <v>94</v>
      </c>
      <c r="E16" s="336">
        <f>F16+G16</f>
        <v>78098</v>
      </c>
      <c r="F16" s="336">
        <f>SUM(F93)</f>
        <v>78098</v>
      </c>
      <c r="G16" s="336">
        <f>SUM(G93)</f>
        <v>0</v>
      </c>
      <c r="H16" s="331" t="str">
        <f t="shared" si="0"/>
        <v xml:space="preserve"> </v>
      </c>
      <c r="I16" s="336" t="e">
        <f>J16+K16</f>
        <v>#REF!</v>
      </c>
      <c r="J16" s="336" t="e">
        <f>#REF!</f>
        <v>#REF!</v>
      </c>
      <c r="K16" s="336"/>
    </row>
    <row r="17" spans="1:11">
      <c r="A17" s="325">
        <v>4</v>
      </c>
      <c r="B17" s="327" t="s">
        <v>95</v>
      </c>
      <c r="E17" s="344">
        <f>E14+E15+E16</f>
        <v>595377</v>
      </c>
      <c r="F17" s="344">
        <f>F14+F15+F16</f>
        <v>595377</v>
      </c>
      <c r="G17" s="344">
        <f>G14+G15+G16</f>
        <v>0</v>
      </c>
      <c r="H17" s="331" t="str">
        <f t="shared" si="0"/>
        <v xml:space="preserve"> </v>
      </c>
      <c r="I17" s="344" t="e">
        <f>I14+I15+I16</f>
        <v>#REF!</v>
      </c>
      <c r="J17" s="344" t="e">
        <f>J14+J15+J16</f>
        <v>#REF!</v>
      </c>
      <c r="K17" s="344"/>
    </row>
    <row r="18" spans="1:11">
      <c r="A18" s="325">
        <v>5</v>
      </c>
      <c r="B18" s="327" t="s">
        <v>45</v>
      </c>
      <c r="E18" s="345">
        <f>F18+G18</f>
        <v>81735</v>
      </c>
      <c r="F18" s="336">
        <f>SUM(F97:F101)+1</f>
        <v>81735</v>
      </c>
      <c r="G18" s="336">
        <f>SUM(G98:G101)</f>
        <v>0</v>
      </c>
      <c r="H18" s="331" t="str">
        <f t="shared" si="0"/>
        <v xml:space="preserve"> </v>
      </c>
      <c r="I18" s="345" t="e">
        <f>J18+K18</f>
        <v>#REF!</v>
      </c>
      <c r="J18" s="336" t="e">
        <f>#REF!</f>
        <v>#REF!</v>
      </c>
      <c r="K18" s="336"/>
    </row>
    <row r="19" spans="1:11">
      <c r="A19" s="325">
        <v>6</v>
      </c>
      <c r="B19" s="327" t="s">
        <v>96</v>
      </c>
      <c r="E19" s="344">
        <f>E17+E18</f>
        <v>677112</v>
      </c>
      <c r="F19" s="344">
        <f>F17+F18</f>
        <v>677112</v>
      </c>
      <c r="G19" s="344">
        <f>G17+G18</f>
        <v>0</v>
      </c>
      <c r="H19" s="331" t="str">
        <f t="shared" si="0"/>
        <v xml:space="preserve"> </v>
      </c>
      <c r="I19" s="344" t="e">
        <f>I17+I18</f>
        <v>#REF!</v>
      </c>
      <c r="J19" s="344" t="e">
        <f>J17+J18</f>
        <v>#REF!</v>
      </c>
      <c r="K19" s="344"/>
    </row>
    <row r="20" spans="1:11">
      <c r="E20" s="338"/>
      <c r="F20" s="338"/>
      <c r="G20" s="338"/>
      <c r="H20" s="331"/>
      <c r="I20" s="338"/>
      <c r="J20" s="338"/>
      <c r="K20" s="338"/>
    </row>
    <row r="21" spans="1:11">
      <c r="B21" s="327" t="s">
        <v>47</v>
      </c>
      <c r="E21" s="338"/>
      <c r="F21" s="338"/>
      <c r="G21" s="338"/>
      <c r="H21" s="331"/>
      <c r="I21" s="338"/>
      <c r="J21" s="338"/>
      <c r="K21" s="338"/>
    </row>
    <row r="22" spans="1:11">
      <c r="B22" s="327" t="s">
        <v>48</v>
      </c>
      <c r="E22" s="338"/>
      <c r="F22" s="338"/>
      <c r="G22" s="338"/>
      <c r="H22" s="331"/>
      <c r="I22" s="338"/>
      <c r="J22" s="338"/>
      <c r="K22" s="338"/>
    </row>
    <row r="23" spans="1:11">
      <c r="A23" s="325">
        <v>7</v>
      </c>
      <c r="B23" s="327" t="s">
        <v>97</v>
      </c>
      <c r="E23" s="336">
        <f>F23+G23</f>
        <v>184672</v>
      </c>
      <c r="F23" s="336">
        <f>SUM(F161-F157+F182)</f>
        <v>184672</v>
      </c>
      <c r="G23" s="336">
        <f>SUM(G161-G157+G182)</f>
        <v>0</v>
      </c>
      <c r="H23" s="331" t="str">
        <f>IF(E23=F23+G23," ","ERROR")</f>
        <v xml:space="preserve"> </v>
      </c>
      <c r="I23" s="336" t="e">
        <f>J23+K23</f>
        <v>#REF!</v>
      </c>
      <c r="J23" s="336" t="e">
        <f>#REF!+#REF!+#REF!+#REF!+#REF!</f>
        <v>#REF!</v>
      </c>
      <c r="K23" s="336"/>
    </row>
    <row r="24" spans="1:11">
      <c r="A24" s="325">
        <v>8</v>
      </c>
      <c r="B24" s="327" t="s">
        <v>98</v>
      </c>
      <c r="E24" s="336">
        <f>F24+G24</f>
        <v>96772</v>
      </c>
      <c r="F24" s="336">
        <f>SUM(F157)</f>
        <v>96772</v>
      </c>
      <c r="G24" s="336">
        <f>SUM(G157)</f>
        <v>0</v>
      </c>
      <c r="H24" s="331" t="str">
        <f>IF(E24=F24+G24," ","ERROR")</f>
        <v xml:space="preserve"> </v>
      </c>
      <c r="I24" s="336" t="e">
        <f>J24+K24</f>
        <v>#REF!</v>
      </c>
      <c r="J24" s="336" t="e">
        <f>#REF!</f>
        <v>#REF!</v>
      </c>
      <c r="K24" s="336"/>
    </row>
    <row r="25" spans="1:11">
      <c r="A25" s="325">
        <v>9</v>
      </c>
      <c r="B25" s="327" t="s">
        <v>586</v>
      </c>
      <c r="E25" s="336">
        <f>F25+G25</f>
        <v>26677</v>
      </c>
      <c r="F25" s="336">
        <f>SUM(F184:F187)</f>
        <v>26677</v>
      </c>
      <c r="G25" s="336">
        <f>SUM(G184:G186)</f>
        <v>0</v>
      </c>
      <c r="H25" s="331" t="str">
        <f>IF(E25=F25+G25," ","ERROR")</f>
        <v xml:space="preserve"> </v>
      </c>
      <c r="I25" s="336" t="e">
        <f>J25+K25</f>
        <v>#REF!</v>
      </c>
      <c r="J25" s="336" t="e">
        <f>#REF!</f>
        <v>#REF!</v>
      </c>
      <c r="K25" s="336"/>
    </row>
    <row r="26" spans="1:11">
      <c r="A26" s="325">
        <v>10</v>
      </c>
      <c r="B26" s="327" t="s">
        <v>585</v>
      </c>
      <c r="E26" s="336">
        <f>F26+G26</f>
        <v>4312</v>
      </c>
      <c r="F26" s="336">
        <f>SUM(F188:F219)</f>
        <v>4310</v>
      </c>
      <c r="G26" s="336">
        <f>SUM(G188:G218)</f>
        <v>2</v>
      </c>
      <c r="H26" s="331"/>
      <c r="I26" s="336"/>
      <c r="J26" s="336"/>
      <c r="K26" s="336"/>
    </row>
    <row r="27" spans="1:11">
      <c r="A27" s="325">
        <v>11</v>
      </c>
      <c r="B27" s="327" t="s">
        <v>99</v>
      </c>
      <c r="E27" s="335">
        <f>F27+G27</f>
        <v>14904</v>
      </c>
      <c r="F27" s="336">
        <f>SUM(F220)</f>
        <v>14904</v>
      </c>
      <c r="G27" s="336">
        <f>SUM(G220)</f>
        <v>0</v>
      </c>
      <c r="H27" s="331" t="str">
        <f>IF(E27=F27+G27," ","ERROR")</f>
        <v xml:space="preserve"> </v>
      </c>
      <c r="I27" s="335" t="e">
        <f>J27+K27</f>
        <v>#REF!</v>
      </c>
      <c r="J27" s="336" t="e">
        <f>#REF!</f>
        <v>#REF!</v>
      </c>
      <c r="K27" s="336"/>
    </row>
    <row r="28" spans="1:11">
      <c r="A28" s="325">
        <v>12</v>
      </c>
      <c r="B28" s="327" t="s">
        <v>100</v>
      </c>
      <c r="E28" s="344">
        <f>SUM(E23:E27)</f>
        <v>327337</v>
      </c>
      <c r="F28" s="344">
        <f>SUM(F23:F27)</f>
        <v>327335</v>
      </c>
      <c r="G28" s="344">
        <f>SUM(G23:G27)</f>
        <v>2</v>
      </c>
      <c r="H28" s="331" t="str">
        <f>IF(E28=F28+G28," ","ERROR")</f>
        <v xml:space="preserve"> </v>
      </c>
      <c r="I28" s="336" t="e">
        <f>I23+I24+I25+I27</f>
        <v>#REF!</v>
      </c>
      <c r="J28" s="344" t="e">
        <f>J23+J24+J25+J27</f>
        <v>#REF!</v>
      </c>
      <c r="K28" s="344"/>
    </row>
    <row r="29" spans="1:11">
      <c r="E29" s="336"/>
      <c r="F29" s="338"/>
      <c r="G29" s="338"/>
      <c r="H29" s="331"/>
      <c r="I29" s="336"/>
      <c r="J29" s="338"/>
      <c r="K29" s="338"/>
    </row>
    <row r="30" spans="1:11">
      <c r="B30" s="327" t="s">
        <v>52</v>
      </c>
      <c r="E30" s="336"/>
      <c r="F30" s="338"/>
      <c r="G30" s="338"/>
      <c r="H30" s="331"/>
      <c r="I30" s="336"/>
      <c r="J30" s="338"/>
      <c r="K30" s="338"/>
    </row>
    <row r="31" spans="1:11">
      <c r="A31" s="325">
        <v>13</v>
      </c>
      <c r="B31" s="327" t="s">
        <v>97</v>
      </c>
      <c r="E31" s="336">
        <f>F31+G31</f>
        <v>21420</v>
      </c>
      <c r="F31" s="336">
        <f>SUM(F249)</f>
        <v>21420</v>
      </c>
      <c r="G31" s="336">
        <f>SUM(G249)</f>
        <v>0</v>
      </c>
      <c r="H31" s="331" t="str">
        <f>IF(E31=F31+G31," ","ERROR")</f>
        <v xml:space="preserve"> </v>
      </c>
      <c r="I31" s="336" t="e">
        <f>J31+K31</f>
        <v>#REF!</v>
      </c>
      <c r="J31" s="336" t="e">
        <f>#REF!</f>
        <v>#REF!</v>
      </c>
      <c r="K31" s="336"/>
    </row>
    <row r="32" spans="1:11">
      <c r="A32" s="325">
        <v>14</v>
      </c>
      <c r="B32" s="327" t="s">
        <v>586</v>
      </c>
      <c r="E32" s="336">
        <f>F32+G32</f>
        <v>27913</v>
      </c>
      <c r="F32" s="336">
        <f>SUM(F251:F252)</f>
        <v>27913</v>
      </c>
      <c r="G32" s="336">
        <f>SUM(G251:G252)</f>
        <v>0</v>
      </c>
      <c r="H32" s="331" t="str">
        <f>IF(E32=F32+G32," ","ERROR")</f>
        <v xml:space="preserve"> </v>
      </c>
      <c r="I32" s="336" t="e">
        <f>J32+K32</f>
        <v>#REF!</v>
      </c>
      <c r="J32" s="336" t="e">
        <f>#REF!</f>
        <v>#REF!</v>
      </c>
      <c r="K32" s="336"/>
    </row>
    <row r="33" spans="1:18" ht="12.75">
      <c r="A33" s="379"/>
      <c r="B33" s="327" t="s">
        <v>585</v>
      </c>
      <c r="E33" s="336">
        <f>F33+G33</f>
        <v>0</v>
      </c>
      <c r="F33" s="336">
        <f>SUM(F254)</f>
        <v>0</v>
      </c>
      <c r="G33" s="336">
        <f>SUM(G252:G253)</f>
        <v>0</v>
      </c>
      <c r="H33" s="331" t="str">
        <f>IF(E33=F33+G33," ","ERROR")</f>
        <v xml:space="preserve"> </v>
      </c>
      <c r="I33" s="336" t="e">
        <f>J33+K33</f>
        <v>#REF!</v>
      </c>
      <c r="J33" s="336" t="e">
        <f>#REF!</f>
        <v>#REF!</v>
      </c>
      <c r="K33" s="336"/>
      <c r="L33" s="760"/>
      <c r="M33" s="761"/>
      <c r="N33" s="761"/>
      <c r="O33" s="761"/>
      <c r="P33" s="761"/>
      <c r="Q33" s="762"/>
      <c r="R33" s="762"/>
    </row>
    <row r="34" spans="1:18">
      <c r="A34" s="325">
        <v>15</v>
      </c>
      <c r="B34" s="327" t="s">
        <v>99</v>
      </c>
      <c r="E34" s="335">
        <f>F34+G34</f>
        <v>45258</v>
      </c>
      <c r="F34" s="336">
        <f>SUM(F253)</f>
        <v>45258</v>
      </c>
      <c r="G34" s="336">
        <f>SUM(G253)</f>
        <v>0</v>
      </c>
      <c r="H34" s="331" t="str">
        <f>IF(E34=F34+G34," ","ERROR")</f>
        <v xml:space="preserve"> </v>
      </c>
      <c r="I34" s="335" t="e">
        <f>J34+K34</f>
        <v>#REF!</v>
      </c>
      <c r="J34" s="336" t="e">
        <f>#REF!</f>
        <v>#REF!</v>
      </c>
      <c r="K34" s="336"/>
    </row>
    <row r="35" spans="1:18">
      <c r="A35" s="325">
        <v>16</v>
      </c>
      <c r="B35" s="327" t="s">
        <v>101</v>
      </c>
      <c r="E35" s="336">
        <f>E31+E32+E34</f>
        <v>94591</v>
      </c>
      <c r="F35" s="344">
        <f>F31+F32+F34</f>
        <v>94591</v>
      </c>
      <c r="G35" s="344">
        <f>G31+G32+G34</f>
        <v>0</v>
      </c>
      <c r="H35" s="331" t="str">
        <f>IF(E35=F35+G35," ","ERROR")</f>
        <v xml:space="preserve"> </v>
      </c>
      <c r="I35" s="336" t="e">
        <f>I31+I32+I34</f>
        <v>#REF!</v>
      </c>
      <c r="J35" s="344" t="e">
        <f>J31+J32+J34</f>
        <v>#REF!</v>
      </c>
      <c r="K35" s="344"/>
    </row>
    <row r="36" spans="1:18">
      <c r="E36" s="338"/>
      <c r="F36" s="338"/>
      <c r="G36" s="338"/>
      <c r="H36" s="331"/>
      <c r="I36" s="338"/>
      <c r="J36" s="338"/>
      <c r="K36" s="338"/>
    </row>
    <row r="37" spans="1:18">
      <c r="A37" s="325">
        <v>17</v>
      </c>
      <c r="B37" s="327" t="s">
        <v>54</v>
      </c>
      <c r="E37" s="336">
        <f>F37+G37</f>
        <v>11733</v>
      </c>
      <c r="F37" s="336">
        <f>SUM(F265)</f>
        <v>11733</v>
      </c>
      <c r="G37" s="336">
        <f>SUM(G265)</f>
        <v>0</v>
      </c>
      <c r="H37" s="331" t="str">
        <f>IF(E37=F37+G37," ","ERROR")</f>
        <v xml:space="preserve"> </v>
      </c>
      <c r="I37" s="336" t="e">
        <f>J37+K37</f>
        <v>#REF!</v>
      </c>
      <c r="J37" s="336" t="e">
        <f>#REF!</f>
        <v>#REF!</v>
      </c>
      <c r="K37" s="336"/>
    </row>
    <row r="38" spans="1:18">
      <c r="A38" s="325">
        <v>18</v>
      </c>
      <c r="B38" s="327" t="s">
        <v>55</v>
      </c>
      <c r="E38" s="336">
        <f>F38+G38</f>
        <v>18081</v>
      </c>
      <c r="F38" s="336">
        <f>SUM(F271)</f>
        <v>18081</v>
      </c>
      <c r="G38" s="336">
        <f>SUM(G271)</f>
        <v>0</v>
      </c>
      <c r="H38" s="331" t="str">
        <f>IF(E38=F38+G38," ","ERROR")</f>
        <v xml:space="preserve"> </v>
      </c>
      <c r="I38" s="336" t="e">
        <f>J38+K38</f>
        <v>#REF!</v>
      </c>
      <c r="J38" s="336" t="e">
        <f>#REF!</f>
        <v>#REF!</v>
      </c>
      <c r="K38" s="336"/>
    </row>
    <row r="39" spans="1:18">
      <c r="A39" s="325">
        <v>19</v>
      </c>
      <c r="B39" s="327" t="s">
        <v>56</v>
      </c>
      <c r="E39" s="336">
        <f>F39+G39</f>
        <v>0</v>
      </c>
      <c r="F39" s="336">
        <f>SUM(F277)</f>
        <v>0</v>
      </c>
      <c r="G39" s="336">
        <f>SUM(G277)</f>
        <v>0</v>
      </c>
      <c r="H39" s="331" t="str">
        <f>IF(E39=F39+G39," ","ERROR")</f>
        <v xml:space="preserve"> </v>
      </c>
      <c r="I39" s="336" t="e">
        <f>J39+K39</f>
        <v>#REF!</v>
      </c>
      <c r="J39" s="336" t="e">
        <f>#REF!</f>
        <v>#REF!</v>
      </c>
      <c r="K39" s="336"/>
    </row>
    <row r="40" spans="1:18">
      <c r="E40" s="338"/>
      <c r="F40" s="338"/>
      <c r="G40" s="338"/>
      <c r="H40" s="331"/>
      <c r="I40" s="338"/>
      <c r="J40" s="338"/>
      <c r="K40" s="338"/>
    </row>
    <row r="41" spans="1:18">
      <c r="B41" s="327" t="s">
        <v>57</v>
      </c>
      <c r="E41" s="338"/>
      <c r="F41" s="338"/>
      <c r="G41" s="338"/>
      <c r="H41" s="331"/>
      <c r="I41" s="338"/>
      <c r="J41" s="338"/>
      <c r="K41" s="338"/>
    </row>
    <row r="42" spans="1:18">
      <c r="A42" s="325">
        <v>20</v>
      </c>
      <c r="B42" s="327" t="s">
        <v>97</v>
      </c>
      <c r="E42" s="336">
        <f>F42+G42</f>
        <v>50568</v>
      </c>
      <c r="F42" s="336">
        <f>SUM(F292)</f>
        <v>50568</v>
      </c>
      <c r="G42" s="336">
        <f>SUM(G292)</f>
        <v>0</v>
      </c>
      <c r="H42" s="331" t="str">
        <f>IF(E42=F42+G42," ","ERROR")</f>
        <v xml:space="preserve"> </v>
      </c>
      <c r="I42" s="336" t="e">
        <f>J42+K42</f>
        <v>#REF!</v>
      </c>
      <c r="J42" s="336" t="e">
        <f>#REF!</f>
        <v>#REF!</v>
      </c>
      <c r="K42" s="336"/>
    </row>
    <row r="43" spans="1:18">
      <c r="A43" s="325">
        <v>21</v>
      </c>
      <c r="B43" s="327" t="s">
        <v>586</v>
      </c>
      <c r="E43" s="336">
        <f>F43+G43</f>
        <v>23877</v>
      </c>
      <c r="F43" s="336">
        <f>SUM(F300)</f>
        <v>23877</v>
      </c>
      <c r="G43" s="336">
        <f>SUM(G300)</f>
        <v>0</v>
      </c>
      <c r="H43" s="331" t="str">
        <f>IF(E43=F43+G43," ","ERROR")</f>
        <v xml:space="preserve"> </v>
      </c>
      <c r="I43" s="336" t="e">
        <f>J43+K43</f>
        <v>#REF!</v>
      </c>
      <c r="J43" s="336" t="e">
        <f>#REF!</f>
        <v>#REF!</v>
      </c>
      <c r="K43" s="336"/>
    </row>
    <row r="44" spans="1:18">
      <c r="A44" s="325">
        <v>22</v>
      </c>
      <c r="B44" s="327" t="s">
        <v>99</v>
      </c>
      <c r="E44" s="336">
        <f>F44+G44</f>
        <v>0</v>
      </c>
      <c r="F44" s="336">
        <v>0</v>
      </c>
      <c r="G44" s="336">
        <v>0</v>
      </c>
      <c r="H44" s="331" t="str">
        <f>IF(E44=F44+G44," ","ERROR")</f>
        <v xml:space="preserve"> </v>
      </c>
      <c r="I44" s="336" t="e">
        <f>J44+K44</f>
        <v>#REF!</v>
      </c>
      <c r="J44" s="336" t="e">
        <f>#REF!</f>
        <v>#REF!</v>
      </c>
      <c r="K44" s="336"/>
    </row>
    <row r="45" spans="1:18">
      <c r="A45" s="325">
        <v>23</v>
      </c>
      <c r="B45" s="327" t="s">
        <v>102</v>
      </c>
      <c r="E45" s="343">
        <f>E42+E43+E44</f>
        <v>74445</v>
      </c>
      <c r="F45" s="343">
        <f>F42+F43+F44</f>
        <v>74445</v>
      </c>
      <c r="G45" s="343">
        <f>G42+G43+G44</f>
        <v>0</v>
      </c>
      <c r="H45" s="331" t="str">
        <f>IF(E45=F45+G45," ","ERROR")</f>
        <v xml:space="preserve"> </v>
      </c>
      <c r="I45" s="343" t="e">
        <f>I42+I43+I44</f>
        <v>#REF!</v>
      </c>
      <c r="J45" s="343" t="e">
        <f>J42+J43+J44</f>
        <v>#REF!</v>
      </c>
      <c r="K45" s="343"/>
    </row>
    <row r="46" spans="1:18" ht="18.75" customHeight="1">
      <c r="A46" s="325">
        <v>24</v>
      </c>
      <c r="B46" s="327" t="s">
        <v>59</v>
      </c>
      <c r="E46" s="342">
        <f>E28+E35+E37+E38+E39+E45</f>
        <v>526187</v>
      </c>
      <c r="F46" s="342">
        <f>F28+F35+F37+F38+F39+F45</f>
        <v>526185</v>
      </c>
      <c r="G46" s="342">
        <f>G28+G35+G37+G38+G39+G45</f>
        <v>2</v>
      </c>
      <c r="H46" s="331" t="str">
        <f>IF(E46=F46+G46," ","ERROR")</f>
        <v xml:space="preserve"> </v>
      </c>
      <c r="I46" s="342" t="e">
        <f>I28+I35+I37+I38+I39+I45</f>
        <v>#REF!</v>
      </c>
      <c r="J46" s="342" t="e">
        <f>J28+J35+J37+J38+J39+J45</f>
        <v>#REF!</v>
      </c>
      <c r="K46" s="342"/>
    </row>
    <row r="47" spans="1:18">
      <c r="E47" s="338"/>
      <c r="F47" s="338"/>
      <c r="G47" s="338"/>
      <c r="H47" s="331"/>
      <c r="I47" s="338"/>
      <c r="J47" s="338"/>
      <c r="K47" s="338"/>
    </row>
    <row r="48" spans="1:18">
      <c r="A48" s="379">
        <v>25</v>
      </c>
      <c r="B48" s="327" t="s">
        <v>103</v>
      </c>
      <c r="E48" s="338">
        <f>E19-E46</f>
        <v>150925</v>
      </c>
      <c r="F48" s="338">
        <f>F19-F46</f>
        <v>150927</v>
      </c>
      <c r="G48" s="338">
        <f>G19-G46</f>
        <v>-2</v>
      </c>
      <c r="H48" s="331" t="str">
        <f>IF(E48=F48+G48," ","ERROR")</f>
        <v xml:space="preserve"> </v>
      </c>
      <c r="I48" s="338" t="e">
        <f>I19-I46</f>
        <v>#REF!</v>
      </c>
      <c r="J48" s="338" t="e">
        <f>J19-J46</f>
        <v>#REF!</v>
      </c>
      <c r="K48" s="338"/>
    </row>
    <row r="49" spans="1:11">
      <c r="B49" s="327"/>
      <c r="E49" s="338"/>
      <c r="F49" s="338"/>
      <c r="G49" s="338"/>
      <c r="H49" s="331"/>
      <c r="I49" s="338"/>
      <c r="J49" s="338"/>
      <c r="K49" s="338"/>
    </row>
    <row r="50" spans="1:11">
      <c r="B50" s="327" t="s">
        <v>104</v>
      </c>
      <c r="E50" s="338"/>
      <c r="F50" s="338"/>
      <c r="G50" s="338"/>
      <c r="H50" s="331"/>
      <c r="I50" s="338"/>
      <c r="J50" s="338"/>
      <c r="K50" s="338"/>
    </row>
    <row r="51" spans="1:11">
      <c r="A51" s="325">
        <v>26</v>
      </c>
      <c r="B51" s="327" t="s">
        <v>105</v>
      </c>
      <c r="D51" s="341">
        <v>0.35</v>
      </c>
      <c r="E51" s="336">
        <f>F51+G51</f>
        <v>-25741</v>
      </c>
      <c r="F51" s="336">
        <f>SUM(F308)</f>
        <v>-25741</v>
      </c>
      <c r="G51" s="336">
        <f>SUM(G308)</f>
        <v>0</v>
      </c>
      <c r="H51" s="331" t="str">
        <f>IF(E51=F51+G51," ","ERROR")</f>
        <v xml:space="preserve"> </v>
      </c>
      <c r="I51" s="336" t="e">
        <f>J51+K51</f>
        <v>#REF!</v>
      </c>
      <c r="J51" s="336" t="e">
        <f>#REF!</f>
        <v>#REF!</v>
      </c>
      <c r="K51" s="336"/>
    </row>
    <row r="52" spans="1:11">
      <c r="A52" s="325">
        <v>27</v>
      </c>
      <c r="B52" s="327" t="s">
        <v>595</v>
      </c>
      <c r="D52" s="341"/>
      <c r="E52" s="336"/>
      <c r="F52" s="336"/>
      <c r="G52" s="336"/>
      <c r="H52" s="331"/>
      <c r="I52" s="336"/>
      <c r="J52" s="336"/>
      <c r="K52" s="336"/>
    </row>
    <row r="53" spans="1:11">
      <c r="A53" s="325">
        <v>28</v>
      </c>
      <c r="B53" s="327" t="s">
        <v>106</v>
      </c>
      <c r="E53" s="336">
        <f>F53+G53</f>
        <v>66436</v>
      </c>
      <c r="F53" s="336">
        <f t="shared" ref="F53:G54" si="1">SUM(F309)</f>
        <v>66436</v>
      </c>
      <c r="G53" s="336">
        <f t="shared" si="1"/>
        <v>0</v>
      </c>
      <c r="H53" s="331" t="str">
        <f>IF(E53=F53+G53," ","ERROR")</f>
        <v xml:space="preserve"> </v>
      </c>
      <c r="I53" s="336" t="e">
        <f>J53+K53</f>
        <v>#REF!</v>
      </c>
      <c r="J53" s="336" t="e">
        <f>#REF!</f>
        <v>#REF!</v>
      </c>
      <c r="K53" s="336"/>
    </row>
    <row r="54" spans="1:11">
      <c r="A54" s="325">
        <v>29</v>
      </c>
      <c r="B54" s="327" t="s">
        <v>107</v>
      </c>
      <c r="E54" s="335">
        <f>F54+G54</f>
        <v>-325</v>
      </c>
      <c r="F54" s="335">
        <f t="shared" si="1"/>
        <v>-325</v>
      </c>
      <c r="G54" s="335">
        <f t="shared" si="1"/>
        <v>0</v>
      </c>
      <c r="H54" s="331" t="str">
        <f>IF(E54=F54+G54," ","ERROR")</f>
        <v xml:space="preserve"> </v>
      </c>
      <c r="I54" s="336" t="e">
        <f>J54+K54</f>
        <v>#REF!</v>
      </c>
      <c r="J54" s="336" t="e">
        <f>#REF!</f>
        <v>#REF!</v>
      </c>
      <c r="K54" s="336"/>
    </row>
    <row r="55" spans="1:11">
      <c r="B55" s="327"/>
      <c r="E55" s="337"/>
      <c r="F55" s="337"/>
      <c r="G55" s="337"/>
      <c r="H55" s="331"/>
      <c r="I55" s="336"/>
      <c r="J55" s="336"/>
      <c r="K55" s="336"/>
    </row>
    <row r="56" spans="1:11" s="331" customFormat="1" ht="12.75" thickBot="1">
      <c r="A56" s="334">
        <v>30</v>
      </c>
      <c r="B56" s="333" t="s">
        <v>65</v>
      </c>
      <c r="E56" s="332">
        <f>E48-(E50+E51+E53+E54)</f>
        <v>110555</v>
      </c>
      <c r="F56" s="332">
        <f>F48-(F50+F51+F53+F54)</f>
        <v>110557</v>
      </c>
      <c r="G56" s="332">
        <f>G48-(G50+G51+G53+G54)</f>
        <v>-2</v>
      </c>
      <c r="H56" s="331" t="str">
        <f>IF(E56=F56+G56," ","ERROR")</f>
        <v xml:space="preserve"> </v>
      </c>
      <c r="I56" s="332" t="e">
        <f>I48-(I50+I51+I53+I54+#REF!)</f>
        <v>#REF!</v>
      </c>
      <c r="J56" s="332" t="e">
        <f>J48-(J50+J51+J53+J54+#REF!)</f>
        <v>#REF!</v>
      </c>
      <c r="K56" s="332"/>
    </row>
    <row r="57" spans="1:11" ht="12.75" thickTop="1">
      <c r="H57" s="331"/>
    </row>
    <row r="58" spans="1:11">
      <c r="B58" s="327" t="s">
        <v>66</v>
      </c>
      <c r="H58" s="331"/>
    </row>
    <row r="59" spans="1:11">
      <c r="B59" s="327" t="s">
        <v>67</v>
      </c>
      <c r="H59" s="331"/>
    </row>
    <row r="60" spans="1:11" s="331" customFormat="1">
      <c r="A60" s="334">
        <v>31</v>
      </c>
      <c r="B60" s="333" t="s">
        <v>108</v>
      </c>
      <c r="E60" s="340">
        <f>F60+G60</f>
        <v>156057</v>
      </c>
      <c r="F60" s="340">
        <f>SUM(F324)</f>
        <v>156057</v>
      </c>
      <c r="G60" s="340">
        <f>SUM(G324)</f>
        <v>0</v>
      </c>
      <c r="H60" s="331" t="str">
        <f t="shared" ref="H60:H66" si="2">IF(E60=F60+G60," ","ERROR")</f>
        <v xml:space="preserve"> </v>
      </c>
      <c r="I60" s="340" t="e">
        <f>J60+K60</f>
        <v>#REF!</v>
      </c>
      <c r="J60" s="340" t="e">
        <f>#REF!</f>
        <v>#REF!</v>
      </c>
      <c r="K60" s="340"/>
    </row>
    <row r="61" spans="1:11">
      <c r="A61" s="325">
        <v>32</v>
      </c>
      <c r="B61" s="327" t="s">
        <v>109</v>
      </c>
      <c r="E61" s="336">
        <f>F61+G61</f>
        <v>832833</v>
      </c>
      <c r="F61" s="336">
        <f>SUM(F357)</f>
        <v>832833</v>
      </c>
      <c r="G61" s="336">
        <f>SUM(G357)</f>
        <v>0</v>
      </c>
      <c r="H61" s="331" t="str">
        <f t="shared" si="2"/>
        <v xml:space="preserve"> </v>
      </c>
      <c r="I61" s="336" t="e">
        <f>J61+K61</f>
        <v>#REF!</v>
      </c>
      <c r="J61" s="336" t="e">
        <f>#REF!</f>
        <v>#REF!</v>
      </c>
      <c r="K61" s="336"/>
    </row>
    <row r="62" spans="1:11">
      <c r="A62" s="325">
        <v>33</v>
      </c>
      <c r="B62" s="327" t="s">
        <v>110</v>
      </c>
      <c r="E62" s="336">
        <f>F62+G62</f>
        <v>430613</v>
      </c>
      <c r="F62" s="336">
        <f>SUM(F370)</f>
        <v>430613</v>
      </c>
      <c r="G62" s="336">
        <f>SUM(G370)</f>
        <v>0</v>
      </c>
      <c r="H62" s="331" t="str">
        <f t="shared" si="2"/>
        <v xml:space="preserve"> </v>
      </c>
      <c r="I62" s="336" t="e">
        <f>J62+K62</f>
        <v>#REF!</v>
      </c>
      <c r="J62" s="336" t="e">
        <f>#REF!</f>
        <v>#REF!</v>
      </c>
      <c r="K62" s="336"/>
    </row>
    <row r="63" spans="1:11">
      <c r="A63" s="325">
        <v>34</v>
      </c>
      <c r="B63" s="327" t="s">
        <v>111</v>
      </c>
      <c r="E63" s="336">
        <f>F63+G63</f>
        <v>970455</v>
      </c>
      <c r="F63" s="336">
        <f>SUM(F388)</f>
        <v>970455</v>
      </c>
      <c r="G63" s="336">
        <f>SUM(G389)</f>
        <v>0</v>
      </c>
      <c r="H63" s="331" t="str">
        <f t="shared" si="2"/>
        <v xml:space="preserve"> </v>
      </c>
      <c r="I63" s="336" t="e">
        <f>J63+K63</f>
        <v>#REF!</v>
      </c>
      <c r="J63" s="336" t="e">
        <f>#REF!</f>
        <v>#REF!</v>
      </c>
      <c r="K63" s="336"/>
    </row>
    <row r="64" spans="1:11">
      <c r="A64" s="325">
        <v>35</v>
      </c>
      <c r="B64" s="327" t="s">
        <v>112</v>
      </c>
      <c r="E64" s="335">
        <f>F64+G64</f>
        <v>233267</v>
      </c>
      <c r="F64" s="335">
        <f>SUM(F403)</f>
        <v>233267</v>
      </c>
      <c r="G64" s="335">
        <f>SUM(G404)</f>
        <v>0</v>
      </c>
      <c r="H64" s="331" t="str">
        <f t="shared" si="2"/>
        <v xml:space="preserve"> </v>
      </c>
      <c r="I64" s="335" t="e">
        <f>J64+K64</f>
        <v>#REF!</v>
      </c>
      <c r="J64" s="335" t="e">
        <f>#REF!</f>
        <v>#REF!</v>
      </c>
      <c r="K64" s="335"/>
    </row>
    <row r="65" spans="1:11">
      <c r="A65" s="325">
        <v>36</v>
      </c>
      <c r="B65" s="327" t="s">
        <v>113</v>
      </c>
      <c r="E65" s="338">
        <f>E60+E61+E62+E63+E64</f>
        <v>2623225</v>
      </c>
      <c r="F65" s="338">
        <f>F60+F61+F62+F63+F64</f>
        <v>2623225</v>
      </c>
      <c r="G65" s="338">
        <f>G60+G61+G62+G63+G64</f>
        <v>0</v>
      </c>
      <c r="H65" s="331" t="str">
        <f t="shared" si="2"/>
        <v xml:space="preserve"> </v>
      </c>
      <c r="I65" s="338" t="e">
        <f>I60+I61+I62+I63+I64</f>
        <v>#REF!</v>
      </c>
      <c r="J65" s="338" t="e">
        <f>J60+J61+J62+J63+J64</f>
        <v>#REF!</v>
      </c>
      <c r="K65" s="338"/>
    </row>
    <row r="66" spans="1:11" ht="19.5" customHeight="1">
      <c r="B66" s="327" t="s">
        <v>589</v>
      </c>
      <c r="E66" s="336"/>
      <c r="F66" s="336"/>
      <c r="G66" s="336"/>
      <c r="H66" s="331" t="str">
        <f t="shared" si="2"/>
        <v xml:space="preserve"> </v>
      </c>
      <c r="I66" s="336" t="e">
        <f>J66+K66</f>
        <v>#REF!</v>
      </c>
      <c r="J66" s="336" t="e">
        <f>#REF!</f>
        <v>#REF!</v>
      </c>
      <c r="K66" s="336"/>
    </row>
    <row r="67" spans="1:11">
      <c r="A67" s="325">
        <v>37</v>
      </c>
      <c r="B67" s="333" t="s">
        <v>108</v>
      </c>
      <c r="E67" s="336">
        <f>F67+G67</f>
        <v>-30914</v>
      </c>
      <c r="F67" s="336">
        <f>SUM(F418:F421)</f>
        <v>-30914</v>
      </c>
      <c r="G67" s="340">
        <f>SUM(G419:G420)</f>
        <v>0</v>
      </c>
      <c r="H67" s="331"/>
      <c r="I67" s="336"/>
      <c r="J67" s="336"/>
      <c r="K67" s="336"/>
    </row>
    <row r="68" spans="1:11">
      <c r="A68" s="325">
        <v>38</v>
      </c>
      <c r="B68" s="327" t="s">
        <v>109</v>
      </c>
      <c r="E68" s="336">
        <f>F68+G68</f>
        <v>-351625</v>
      </c>
      <c r="F68" s="336">
        <f>SUM(F409:F411)</f>
        <v>-351625</v>
      </c>
      <c r="G68" s="340">
        <f>SUM(G410:G412)</f>
        <v>0</v>
      </c>
      <c r="H68" s="331"/>
      <c r="I68" s="336"/>
      <c r="J68" s="336"/>
      <c r="K68" s="336"/>
    </row>
    <row r="69" spans="1:11">
      <c r="A69" s="325">
        <v>39</v>
      </c>
      <c r="B69" s="327" t="s">
        <v>110</v>
      </c>
      <c r="E69" s="336">
        <f>F69+G69</f>
        <v>-135624</v>
      </c>
      <c r="F69" s="336">
        <f>SUM(F412)</f>
        <v>-135624</v>
      </c>
      <c r="G69" s="340">
        <f>SUM(G413)</f>
        <v>0</v>
      </c>
      <c r="H69" s="331"/>
      <c r="I69" s="336"/>
      <c r="J69" s="336"/>
      <c r="K69" s="336"/>
    </row>
    <row r="70" spans="1:11">
      <c r="A70" s="325">
        <v>40</v>
      </c>
      <c r="B70" s="327" t="s">
        <v>111</v>
      </c>
      <c r="E70" s="336">
        <f>F70+G70</f>
        <v>-295383</v>
      </c>
      <c r="F70" s="336">
        <f>SUM(F413)</f>
        <v>-295383</v>
      </c>
      <c r="G70" s="340">
        <f>SUM(G414)</f>
        <v>0</v>
      </c>
      <c r="H70" s="331"/>
      <c r="I70" s="336"/>
      <c r="J70" s="336"/>
      <c r="K70" s="336"/>
    </row>
    <row r="71" spans="1:11">
      <c r="A71" s="325">
        <v>41</v>
      </c>
      <c r="B71" s="327" t="s">
        <v>112</v>
      </c>
      <c r="E71" s="335">
        <f>F71+G71</f>
        <v>-80093</v>
      </c>
      <c r="F71" s="335">
        <f>SUM(F414,F422)</f>
        <v>-80093</v>
      </c>
      <c r="G71" s="339">
        <f>SUM(G415,G421,G422,G423)</f>
        <v>0</v>
      </c>
    </row>
    <row r="72" spans="1:11">
      <c r="A72" s="325">
        <v>42</v>
      </c>
      <c r="B72" s="327" t="s">
        <v>307</v>
      </c>
      <c r="E72" s="488">
        <f>SUM(E67:E71)</f>
        <v>-893639</v>
      </c>
      <c r="F72" s="488">
        <f>SUM(F67:F71)</f>
        <v>-893639</v>
      </c>
      <c r="G72" s="324">
        <f>SUM(G67:G71)</f>
        <v>0</v>
      </c>
    </row>
    <row r="73" spans="1:11">
      <c r="A73" s="325">
        <v>43</v>
      </c>
      <c r="B73" s="324" t="s">
        <v>592</v>
      </c>
      <c r="E73" s="380">
        <f>E65+E72</f>
        <v>1729586</v>
      </c>
      <c r="F73" s="380">
        <f>F65+F72</f>
        <v>1729586</v>
      </c>
      <c r="G73" s="380">
        <f>G65+G72</f>
        <v>0</v>
      </c>
    </row>
    <row r="74" spans="1:11" ht="3.75" customHeight="1">
      <c r="B74" s="327"/>
      <c r="E74" s="338"/>
      <c r="F74" s="338"/>
      <c r="G74" s="338"/>
      <c r="H74" s="331"/>
      <c r="I74" s="338"/>
      <c r="J74" s="338"/>
      <c r="K74" s="338"/>
    </row>
    <row r="75" spans="1:11">
      <c r="A75" s="325">
        <v>44</v>
      </c>
      <c r="B75" s="327" t="s">
        <v>590</v>
      </c>
      <c r="E75" s="335">
        <f>F75+G75</f>
        <v>-354706</v>
      </c>
      <c r="F75" s="335">
        <f>SUM(F440)</f>
        <v>-354706</v>
      </c>
      <c r="G75" s="335">
        <f>SUM(G441)</f>
        <v>0</v>
      </c>
      <c r="H75" s="331" t="str">
        <f>IF(E75=F75+G75," ","ERROR")</f>
        <v xml:space="preserve"> </v>
      </c>
      <c r="I75" s="335" t="e">
        <f>J75+K75</f>
        <v>#REF!</v>
      </c>
      <c r="J75" s="335" t="e">
        <f>#REF!</f>
        <v>#REF!</v>
      </c>
      <c r="K75" s="335"/>
    </row>
    <row r="76" spans="1:11">
      <c r="A76" s="325">
        <v>45</v>
      </c>
      <c r="B76" s="327" t="s">
        <v>591</v>
      </c>
      <c r="E76" s="337">
        <f>SUM(E73:E75)</f>
        <v>1374880</v>
      </c>
      <c r="F76" s="337">
        <f>SUM(F73:F75)</f>
        <v>1374880</v>
      </c>
      <c r="G76" s="337">
        <f>SUM(G73-G75)</f>
        <v>0</v>
      </c>
      <c r="H76" s="331"/>
      <c r="I76" s="337"/>
      <c r="J76" s="337"/>
      <c r="K76" s="337"/>
    </row>
    <row r="77" spans="1:11">
      <c r="A77" s="325">
        <v>46</v>
      </c>
      <c r="B77" s="327" t="s">
        <v>306</v>
      </c>
      <c r="E77" s="336">
        <f t="shared" ref="E77:E78" si="3">F77+G77</f>
        <v>4566</v>
      </c>
      <c r="F77" s="338">
        <f>SUM(F476)-F78-1</f>
        <v>4566</v>
      </c>
      <c r="G77" s="338">
        <f>SUM(G446:G476)-G78</f>
        <v>0</v>
      </c>
      <c r="H77" s="331"/>
      <c r="I77" s="338"/>
      <c r="J77" s="338"/>
      <c r="K77" s="338"/>
    </row>
    <row r="78" spans="1:11">
      <c r="A78" s="325">
        <v>47</v>
      </c>
      <c r="B78" s="327" t="s">
        <v>285</v>
      </c>
      <c r="E78" s="335">
        <f t="shared" si="3"/>
        <v>65480</v>
      </c>
      <c r="F78" s="335">
        <f>F474</f>
        <v>65480</v>
      </c>
      <c r="G78" s="335">
        <f>G475</f>
        <v>0</v>
      </c>
      <c r="H78" s="331"/>
      <c r="I78" s="336"/>
      <c r="J78" s="336"/>
      <c r="K78" s="336"/>
    </row>
    <row r="79" spans="1:11">
      <c r="H79" s="331"/>
    </row>
    <row r="80" spans="1:11" s="331" customFormat="1" ht="12.75" thickBot="1">
      <c r="A80" s="334">
        <v>48</v>
      </c>
      <c r="B80" s="333" t="s">
        <v>74</v>
      </c>
      <c r="E80" s="332">
        <f>SUM(E76:E78)</f>
        <v>1444926</v>
      </c>
      <c r="F80" s="332">
        <f>SUM(F76:F78)</f>
        <v>1444926</v>
      </c>
      <c r="G80" s="332">
        <f>SUM(G76:G78)</f>
        <v>0</v>
      </c>
      <c r="H80" s="331" t="str">
        <f>IF(E80=F80+G80," ","ERROR")</f>
        <v xml:space="preserve"> </v>
      </c>
      <c r="I80" s="332" t="e">
        <f>J80+K80</f>
        <v>#REF!</v>
      </c>
      <c r="J80" s="332" t="e">
        <f>J65-#REF!+#REF!+#REF!</f>
        <v>#REF!</v>
      </c>
      <c r="K80" s="332"/>
    </row>
    <row r="81" spans="1:14" s="326" customFormat="1" ht="12.75" thickTop="1">
      <c r="E81" s="321">
        <f>E56/E80</f>
        <v>7.6512568809752199E-2</v>
      </c>
      <c r="F81" s="321">
        <f>F56/F80</f>
        <v>7.6513952963681187E-2</v>
      </c>
      <c r="G81" s="321"/>
      <c r="I81" s="321" t="e">
        <f>I56/I80</f>
        <v>#REF!</v>
      </c>
      <c r="J81" s="321" t="e">
        <f>J56/J80</f>
        <v>#REF!</v>
      </c>
      <c r="K81" s="321"/>
    </row>
    <row r="82" spans="1:14">
      <c r="A82" s="324"/>
      <c r="B82" s="330" t="s">
        <v>114</v>
      </c>
      <c r="C82" s="329"/>
      <c r="D82" s="329"/>
      <c r="E82" s="329"/>
      <c r="F82" s="329"/>
      <c r="G82" s="328"/>
      <c r="I82" s="329"/>
      <c r="J82" s="329"/>
      <c r="K82" s="328"/>
    </row>
    <row r="83" spans="1:14" ht="15.75">
      <c r="A83" s="356"/>
      <c r="B83" s="357" t="s">
        <v>310</v>
      </c>
      <c r="C83" s="357"/>
      <c r="M83" s="512"/>
      <c r="N83" s="512"/>
    </row>
    <row r="84" spans="1:14" ht="15.75">
      <c r="A84" s="356"/>
      <c r="B84" s="358" t="s">
        <v>311</v>
      </c>
      <c r="C84" s="357"/>
      <c r="M84" s="508"/>
      <c r="N84" s="512"/>
    </row>
    <row r="85" spans="1:14" ht="15.75">
      <c r="A85" s="359">
        <v>440000</v>
      </c>
      <c r="B85" s="358" t="s">
        <v>312</v>
      </c>
      <c r="C85" s="357"/>
      <c r="F85" s="324">
        <f>ROUND(H85/1000,0)</f>
        <v>227836</v>
      </c>
      <c r="G85" s="324">
        <v>0</v>
      </c>
      <c r="H85" s="324">
        <v>227836069</v>
      </c>
      <c r="M85" s="508"/>
      <c r="N85" s="512"/>
    </row>
    <row r="86" spans="1:14" ht="15.75">
      <c r="A86" s="359">
        <v>442200</v>
      </c>
      <c r="B86" s="358" t="s">
        <v>313</v>
      </c>
      <c r="C86" s="357"/>
      <c r="F86" s="324">
        <f t="shared" ref="F86:F150" si="4">ROUND(H86/1000,0)</f>
        <v>216620</v>
      </c>
      <c r="G86" s="324">
        <v>0</v>
      </c>
      <c r="H86" s="324">
        <v>216620304</v>
      </c>
      <c r="M86" s="508"/>
      <c r="N86" s="512"/>
    </row>
    <row r="87" spans="1:14" ht="15.75">
      <c r="A87" s="359">
        <v>442300</v>
      </c>
      <c r="B87" s="358" t="s">
        <v>314</v>
      </c>
      <c r="C87" s="357"/>
      <c r="F87" s="324">
        <f t="shared" si="4"/>
        <v>63048</v>
      </c>
      <c r="G87" s="324">
        <v>0</v>
      </c>
      <c r="H87" s="324">
        <v>63048488</v>
      </c>
      <c r="M87" s="508"/>
      <c r="N87" s="512"/>
    </row>
    <row r="88" spans="1:14" ht="15.75">
      <c r="A88" s="359">
        <v>444000</v>
      </c>
      <c r="B88" s="358" t="s">
        <v>315</v>
      </c>
      <c r="C88" s="357"/>
      <c r="F88" s="324">
        <f t="shared" si="4"/>
        <v>5155</v>
      </c>
      <c r="G88" s="324">
        <v>0</v>
      </c>
      <c r="H88" s="324">
        <v>5154751</v>
      </c>
      <c r="M88" s="508"/>
      <c r="N88" s="512"/>
    </row>
    <row r="89" spans="1:14" ht="15.75">
      <c r="A89" s="359">
        <v>448000</v>
      </c>
      <c r="B89" s="358" t="s">
        <v>318</v>
      </c>
      <c r="E89" s="357"/>
      <c r="F89" s="324">
        <f t="shared" si="4"/>
        <v>946</v>
      </c>
      <c r="G89" s="324">
        <v>0</v>
      </c>
      <c r="H89" s="324">
        <v>945950</v>
      </c>
      <c r="M89" s="508"/>
      <c r="N89" s="512"/>
    </row>
    <row r="90" spans="1:14" ht="15.75">
      <c r="A90" s="356" t="s">
        <v>316</v>
      </c>
      <c r="B90" s="358" t="s">
        <v>317</v>
      </c>
      <c r="C90" s="357"/>
      <c r="F90" s="324">
        <f t="shared" si="4"/>
        <v>3674</v>
      </c>
      <c r="G90" s="324">
        <v>0</v>
      </c>
      <c r="H90" s="324">
        <v>3673833</v>
      </c>
      <c r="M90" s="508"/>
      <c r="N90" s="512"/>
    </row>
    <row r="91" spans="1:14" ht="15.75">
      <c r="A91" s="359"/>
      <c r="B91" s="358" t="s">
        <v>319</v>
      </c>
      <c r="C91" s="357"/>
      <c r="F91" s="324">
        <f t="shared" si="4"/>
        <v>517279</v>
      </c>
      <c r="G91" s="324">
        <v>0</v>
      </c>
      <c r="H91" s="324">
        <v>517279395</v>
      </c>
      <c r="M91" s="508"/>
      <c r="N91" s="512"/>
    </row>
    <row r="92" spans="1:14" ht="15.75">
      <c r="A92" s="359"/>
      <c r="B92" s="358"/>
      <c r="C92" s="357"/>
      <c r="F92" s="324">
        <f t="shared" si="4"/>
        <v>0</v>
      </c>
      <c r="G92" s="324">
        <v>0</v>
      </c>
      <c r="M92" s="508"/>
      <c r="N92" s="512"/>
    </row>
    <row r="93" spans="1:14" ht="15.75">
      <c r="A93" s="359" t="s">
        <v>320</v>
      </c>
      <c r="B93" s="358" t="s">
        <v>43</v>
      </c>
      <c r="C93" s="357"/>
      <c r="F93" s="324">
        <f t="shared" si="4"/>
        <v>78098</v>
      </c>
      <c r="G93" s="324">
        <v>0</v>
      </c>
      <c r="H93" s="324">
        <v>78097735</v>
      </c>
      <c r="M93" s="508"/>
      <c r="N93" s="512"/>
    </row>
    <row r="94" spans="1:14" ht="15.75">
      <c r="A94" s="359"/>
      <c r="B94" s="358" t="s">
        <v>321</v>
      </c>
      <c r="C94" s="357"/>
      <c r="F94" s="324">
        <f t="shared" si="4"/>
        <v>595377</v>
      </c>
      <c r="G94" s="324">
        <v>0</v>
      </c>
      <c r="H94" s="324">
        <v>595377130</v>
      </c>
      <c r="M94" s="508"/>
      <c r="N94" s="512"/>
    </row>
    <row r="95" spans="1:14" ht="15.75">
      <c r="A95" s="359"/>
      <c r="B95" s="358"/>
      <c r="C95" s="357"/>
      <c r="F95" s="324">
        <f t="shared" si="4"/>
        <v>0</v>
      </c>
      <c r="G95" s="324">
        <v>0</v>
      </c>
      <c r="M95" s="508"/>
      <c r="N95" s="512"/>
    </row>
    <row r="96" spans="1:14" ht="15.75">
      <c r="A96" s="359"/>
      <c r="B96" s="358" t="s">
        <v>322</v>
      </c>
      <c r="C96" s="357"/>
      <c r="F96" s="324">
        <f t="shared" si="4"/>
        <v>0</v>
      </c>
      <c r="G96" s="324">
        <v>0</v>
      </c>
      <c r="M96" s="508"/>
      <c r="N96" s="512"/>
    </row>
    <row r="97" spans="1:14" ht="15.75">
      <c r="A97" s="509">
        <v>449100</v>
      </c>
      <c r="B97" s="508" t="s">
        <v>698</v>
      </c>
      <c r="C97" s="357"/>
      <c r="F97" s="324">
        <f t="shared" ref="F97" si="5">ROUND(H97/1000,0)</f>
        <v>220</v>
      </c>
      <c r="G97" s="324">
        <v>1</v>
      </c>
      <c r="H97" s="324">
        <v>220462</v>
      </c>
      <c r="M97" s="508"/>
      <c r="N97" s="512"/>
    </row>
    <row r="98" spans="1:14" ht="15.75">
      <c r="A98" s="359">
        <v>451000</v>
      </c>
      <c r="B98" s="358" t="s">
        <v>323</v>
      </c>
      <c r="C98" s="357"/>
      <c r="F98" s="324">
        <f t="shared" si="4"/>
        <v>267</v>
      </c>
      <c r="G98" s="324">
        <v>0</v>
      </c>
      <c r="H98" s="324">
        <v>266939</v>
      </c>
      <c r="M98" s="508"/>
      <c r="N98" s="512"/>
    </row>
    <row r="99" spans="1:14" ht="15.75">
      <c r="A99" s="359">
        <v>453000</v>
      </c>
      <c r="B99" s="358" t="s">
        <v>324</v>
      </c>
      <c r="C99" s="357"/>
      <c r="F99" s="324">
        <f t="shared" si="4"/>
        <v>234</v>
      </c>
      <c r="G99" s="324">
        <v>0</v>
      </c>
      <c r="H99" s="324">
        <v>234435</v>
      </c>
      <c r="M99" s="508"/>
      <c r="N99" s="512"/>
    </row>
    <row r="100" spans="1:14" ht="15.75">
      <c r="A100" s="359">
        <v>454000</v>
      </c>
      <c r="B100" s="358" t="s">
        <v>325</v>
      </c>
      <c r="C100" s="357"/>
      <c r="F100" s="324">
        <f t="shared" si="4"/>
        <v>1829</v>
      </c>
      <c r="G100" s="324">
        <v>0</v>
      </c>
      <c r="H100" s="324">
        <v>1828847</v>
      </c>
      <c r="M100" s="508"/>
      <c r="N100" s="512"/>
    </row>
    <row r="101" spans="1:14" ht="15.75">
      <c r="A101" s="356" t="s">
        <v>326</v>
      </c>
      <c r="B101" s="358" t="s">
        <v>327</v>
      </c>
      <c r="C101" s="357"/>
      <c r="F101" s="324">
        <f t="shared" si="4"/>
        <v>79184</v>
      </c>
      <c r="G101" s="324">
        <v>0</v>
      </c>
      <c r="H101" s="324">
        <v>79183997</v>
      </c>
      <c r="M101" s="508"/>
      <c r="N101" s="512"/>
    </row>
    <row r="102" spans="1:14" ht="15.75">
      <c r="A102" s="356"/>
      <c r="B102" s="358" t="s">
        <v>328</v>
      </c>
      <c r="C102" s="357"/>
      <c r="F102" s="324">
        <f t="shared" si="4"/>
        <v>81735</v>
      </c>
      <c r="G102" s="324">
        <v>0</v>
      </c>
      <c r="H102" s="324">
        <v>81734680</v>
      </c>
      <c r="M102" s="508"/>
      <c r="N102" s="512"/>
    </row>
    <row r="103" spans="1:14" ht="15.75">
      <c r="A103" s="356"/>
      <c r="B103" s="358" t="s">
        <v>329</v>
      </c>
      <c r="C103" s="357"/>
      <c r="F103" s="324">
        <f t="shared" si="4"/>
        <v>677112</v>
      </c>
      <c r="G103" s="324">
        <v>0</v>
      </c>
      <c r="H103" s="324">
        <v>677111810</v>
      </c>
      <c r="M103" s="508"/>
      <c r="N103" s="512"/>
    </row>
    <row r="104" spans="1:14" ht="15.75">
      <c r="A104" s="356"/>
      <c r="B104" s="358"/>
      <c r="C104" s="357"/>
      <c r="F104" s="324">
        <f t="shared" si="4"/>
        <v>0</v>
      </c>
      <c r="G104" s="324">
        <v>0</v>
      </c>
      <c r="M104" s="508"/>
      <c r="N104" s="512"/>
    </row>
    <row r="105" spans="1:14" ht="15.75">
      <c r="A105" s="356"/>
      <c r="B105" s="358" t="s">
        <v>330</v>
      </c>
      <c r="C105" s="357"/>
      <c r="F105" s="324">
        <f t="shared" si="4"/>
        <v>0</v>
      </c>
      <c r="G105" s="324">
        <v>0</v>
      </c>
      <c r="M105" s="508"/>
      <c r="N105" s="512"/>
    </row>
    <row r="106" spans="1:14" ht="15.75">
      <c r="A106" s="356"/>
      <c r="B106" s="358" t="s">
        <v>331</v>
      </c>
      <c r="C106" s="357"/>
      <c r="F106" s="324">
        <f t="shared" si="4"/>
        <v>0</v>
      </c>
      <c r="G106" s="324">
        <v>0</v>
      </c>
      <c r="M106" s="508"/>
      <c r="N106" s="512"/>
    </row>
    <row r="107" spans="1:14" ht="15.75">
      <c r="A107" s="356"/>
      <c r="B107" s="358" t="s">
        <v>332</v>
      </c>
      <c r="C107" s="357"/>
      <c r="F107" s="324">
        <f t="shared" si="4"/>
        <v>0</v>
      </c>
      <c r="G107" s="324">
        <v>0</v>
      </c>
      <c r="M107" s="508"/>
      <c r="N107" s="512"/>
    </row>
    <row r="108" spans="1:14" ht="15.75">
      <c r="A108" s="359">
        <v>500000</v>
      </c>
      <c r="B108" s="358" t="s">
        <v>333</v>
      </c>
      <c r="C108" s="357"/>
      <c r="F108" s="324">
        <f t="shared" si="4"/>
        <v>209</v>
      </c>
      <c r="G108" s="324">
        <v>0</v>
      </c>
      <c r="H108" s="324">
        <v>209468</v>
      </c>
      <c r="M108" s="508"/>
      <c r="N108" s="512"/>
    </row>
    <row r="109" spans="1:14" ht="15.75">
      <c r="A109" s="359">
        <v>501000</v>
      </c>
      <c r="B109" s="358" t="s">
        <v>334</v>
      </c>
      <c r="C109" s="357"/>
      <c r="F109" s="324">
        <f t="shared" si="4"/>
        <v>20076</v>
      </c>
      <c r="G109" s="324">
        <v>0</v>
      </c>
      <c r="H109" s="324">
        <v>20075571</v>
      </c>
      <c r="M109" s="508"/>
      <c r="N109" s="512"/>
    </row>
    <row r="110" spans="1:14" ht="15.75">
      <c r="A110" s="359">
        <v>502000</v>
      </c>
      <c r="B110" s="358" t="s">
        <v>335</v>
      </c>
      <c r="C110" s="357"/>
      <c r="F110" s="324">
        <f t="shared" si="4"/>
        <v>2933</v>
      </c>
      <c r="G110" s="324">
        <v>0</v>
      </c>
      <c r="H110" s="324">
        <v>2933168</v>
      </c>
      <c r="M110" s="508"/>
      <c r="N110" s="512"/>
    </row>
    <row r="111" spans="1:14" ht="15.75">
      <c r="A111" s="359">
        <v>505000</v>
      </c>
      <c r="B111" s="358" t="s">
        <v>336</v>
      </c>
      <c r="C111" s="357"/>
      <c r="F111" s="324">
        <f t="shared" si="4"/>
        <v>789</v>
      </c>
      <c r="G111" s="324">
        <v>0</v>
      </c>
      <c r="H111" s="324">
        <v>789466</v>
      </c>
      <c r="M111" s="508"/>
      <c r="N111" s="512"/>
    </row>
    <row r="112" spans="1:14" ht="15.75">
      <c r="A112" s="359">
        <v>506000</v>
      </c>
      <c r="B112" s="358" t="s">
        <v>337</v>
      </c>
      <c r="C112" s="357"/>
      <c r="F112" s="324">
        <f t="shared" si="4"/>
        <v>2154</v>
      </c>
      <c r="G112" s="324">
        <v>0</v>
      </c>
      <c r="H112" s="324">
        <v>2154267</v>
      </c>
      <c r="M112" s="508"/>
      <c r="N112" s="512"/>
    </row>
    <row r="113" spans="1:14" ht="15.75">
      <c r="A113" s="359">
        <v>507000</v>
      </c>
      <c r="B113" s="358" t="s">
        <v>338</v>
      </c>
      <c r="C113" s="357"/>
      <c r="F113" s="324">
        <f t="shared" si="4"/>
        <v>27</v>
      </c>
      <c r="G113" s="324">
        <v>0</v>
      </c>
      <c r="H113" s="324">
        <v>27201</v>
      </c>
      <c r="M113" s="508"/>
      <c r="N113" s="512"/>
    </row>
    <row r="114" spans="1:14" ht="15.75">
      <c r="A114" s="359"/>
      <c r="B114" s="358"/>
      <c r="C114" s="357"/>
      <c r="F114" s="324">
        <f t="shared" si="4"/>
        <v>0</v>
      </c>
      <c r="G114" s="324">
        <v>0</v>
      </c>
      <c r="M114" s="508"/>
      <c r="N114" s="512"/>
    </row>
    <row r="115" spans="1:14" ht="15.75">
      <c r="A115" s="359"/>
      <c r="B115" s="358" t="s">
        <v>339</v>
      </c>
      <c r="C115" s="357"/>
      <c r="F115" s="324">
        <f t="shared" si="4"/>
        <v>0</v>
      </c>
      <c r="G115" s="324">
        <v>0</v>
      </c>
      <c r="M115" s="508"/>
      <c r="N115" s="512"/>
    </row>
    <row r="116" spans="1:14" ht="15.75">
      <c r="A116" s="359">
        <v>510000</v>
      </c>
      <c r="B116" s="358" t="s">
        <v>333</v>
      </c>
      <c r="C116" s="357"/>
      <c r="F116" s="324">
        <f t="shared" si="4"/>
        <v>383</v>
      </c>
      <c r="G116" s="324">
        <v>0</v>
      </c>
      <c r="H116" s="324">
        <v>383082</v>
      </c>
      <c r="M116" s="508"/>
      <c r="N116" s="512"/>
    </row>
    <row r="117" spans="1:14" ht="15.75">
      <c r="A117" s="359">
        <v>511000</v>
      </c>
      <c r="B117" s="358" t="s">
        <v>340</v>
      </c>
      <c r="C117" s="357"/>
      <c r="F117" s="324">
        <f t="shared" si="4"/>
        <v>463</v>
      </c>
      <c r="G117" s="324">
        <v>0</v>
      </c>
      <c r="H117" s="324">
        <v>463477</v>
      </c>
      <c r="M117" s="508"/>
      <c r="N117" s="512"/>
    </row>
    <row r="118" spans="1:14" ht="15.75">
      <c r="A118" s="359">
        <v>512000</v>
      </c>
      <c r="B118" s="358" t="s">
        <v>341</v>
      </c>
      <c r="C118" s="357"/>
      <c r="F118" s="324">
        <f t="shared" si="4"/>
        <v>4737</v>
      </c>
      <c r="G118" s="324">
        <v>0</v>
      </c>
      <c r="H118" s="324">
        <v>4737098</v>
      </c>
      <c r="M118" s="508"/>
      <c r="N118" s="512"/>
    </row>
    <row r="119" spans="1:14" ht="15.75">
      <c r="A119" s="359">
        <v>513000</v>
      </c>
      <c r="B119" s="358" t="s">
        <v>342</v>
      </c>
      <c r="C119" s="357"/>
      <c r="F119" s="324">
        <f t="shared" si="4"/>
        <v>1598</v>
      </c>
      <c r="G119" s="324">
        <v>0</v>
      </c>
      <c r="H119" s="324">
        <v>1598258</v>
      </c>
      <c r="M119" s="508"/>
      <c r="N119" s="512"/>
    </row>
    <row r="120" spans="1:14" ht="15.75">
      <c r="A120" s="359">
        <v>514000</v>
      </c>
      <c r="B120" s="358" t="s">
        <v>343</v>
      </c>
      <c r="C120" s="357"/>
      <c r="F120" s="324">
        <f t="shared" si="4"/>
        <v>1123</v>
      </c>
      <c r="G120" s="324">
        <v>0</v>
      </c>
      <c r="H120" s="324">
        <v>1122549</v>
      </c>
      <c r="M120" s="508"/>
      <c r="N120" s="512"/>
    </row>
    <row r="121" spans="1:14" ht="15.75">
      <c r="A121" s="356"/>
      <c r="B121" s="358" t="s">
        <v>344</v>
      </c>
      <c r="C121" s="357"/>
      <c r="F121" s="324">
        <f t="shared" si="4"/>
        <v>34494</v>
      </c>
      <c r="G121" s="324">
        <v>0</v>
      </c>
      <c r="H121" s="324">
        <v>34493605</v>
      </c>
      <c r="M121" s="508"/>
      <c r="N121" s="512"/>
    </row>
    <row r="122" spans="1:14" ht="15.75">
      <c r="A122" s="356"/>
      <c r="B122" s="358"/>
      <c r="C122" s="357"/>
      <c r="F122" s="324">
        <f t="shared" si="4"/>
        <v>0</v>
      </c>
      <c r="G122" s="324">
        <v>0</v>
      </c>
      <c r="M122" s="508"/>
      <c r="N122" s="512"/>
    </row>
    <row r="123" spans="1:14" ht="15.75">
      <c r="A123" s="356"/>
      <c r="B123" s="358" t="s">
        <v>345</v>
      </c>
      <c r="C123" s="357"/>
      <c r="F123" s="324">
        <f t="shared" si="4"/>
        <v>0</v>
      </c>
      <c r="G123" s="324">
        <v>0</v>
      </c>
      <c r="M123" s="508"/>
      <c r="N123" s="512"/>
    </row>
    <row r="124" spans="1:14" ht="15.75">
      <c r="A124" s="356"/>
      <c r="B124" s="358" t="s">
        <v>332</v>
      </c>
      <c r="C124" s="357"/>
      <c r="F124" s="324">
        <f t="shared" si="4"/>
        <v>0</v>
      </c>
      <c r="G124" s="324">
        <v>0</v>
      </c>
      <c r="M124" s="508"/>
      <c r="N124" s="512"/>
    </row>
    <row r="125" spans="1:14" ht="15.75">
      <c r="A125" s="359">
        <v>535000</v>
      </c>
      <c r="B125" s="358" t="s">
        <v>333</v>
      </c>
      <c r="C125" s="357"/>
      <c r="F125" s="324">
        <f t="shared" si="4"/>
        <v>1896</v>
      </c>
      <c r="G125" s="324">
        <v>0</v>
      </c>
      <c r="H125" s="324">
        <v>1896004</v>
      </c>
      <c r="M125" s="508"/>
      <c r="N125" s="512"/>
    </row>
    <row r="126" spans="1:14" ht="15.75">
      <c r="A126" s="359">
        <v>536000</v>
      </c>
      <c r="B126" s="358" t="s">
        <v>346</v>
      </c>
      <c r="C126" s="357"/>
      <c r="F126" s="324">
        <f t="shared" si="4"/>
        <v>711</v>
      </c>
      <c r="G126" s="324">
        <v>0</v>
      </c>
      <c r="H126" s="324">
        <v>710557</v>
      </c>
      <c r="M126" s="508"/>
      <c r="N126" s="512"/>
    </row>
    <row r="127" spans="1:14" ht="15.75">
      <c r="A127" s="359">
        <v>537000</v>
      </c>
      <c r="B127" s="358" t="s">
        <v>347</v>
      </c>
      <c r="C127" s="357"/>
      <c r="F127" s="324">
        <f t="shared" si="4"/>
        <v>4744</v>
      </c>
      <c r="G127" s="324">
        <v>0</v>
      </c>
      <c r="H127" s="324">
        <v>4744114</v>
      </c>
      <c r="M127" s="508"/>
      <c r="N127" s="512"/>
    </row>
    <row r="128" spans="1:14" ht="15.75">
      <c r="A128" s="359">
        <v>538000</v>
      </c>
      <c r="B128" s="358" t="s">
        <v>336</v>
      </c>
      <c r="C128" s="357"/>
      <c r="F128" s="324">
        <f t="shared" si="4"/>
        <v>4696</v>
      </c>
      <c r="G128" s="324">
        <v>0</v>
      </c>
      <c r="H128" s="324">
        <v>4695602</v>
      </c>
      <c r="M128" s="508"/>
      <c r="N128" s="512"/>
    </row>
    <row r="129" spans="1:14" ht="15.75">
      <c r="A129" s="359">
        <v>539000</v>
      </c>
      <c r="B129" s="358" t="s">
        <v>348</v>
      </c>
      <c r="C129" s="357"/>
      <c r="F129" s="324">
        <f t="shared" si="4"/>
        <v>598</v>
      </c>
      <c r="G129" s="324">
        <v>0</v>
      </c>
      <c r="H129" s="324">
        <v>597770</v>
      </c>
      <c r="M129" s="508"/>
      <c r="N129" s="512"/>
    </row>
    <row r="130" spans="1:14" ht="15.75">
      <c r="A130" s="359">
        <v>540000</v>
      </c>
      <c r="B130" s="358" t="s">
        <v>338</v>
      </c>
      <c r="C130" s="357"/>
      <c r="F130" s="324">
        <f t="shared" si="4"/>
        <v>837</v>
      </c>
      <c r="G130" s="324">
        <v>0</v>
      </c>
      <c r="H130" s="324">
        <v>837315</v>
      </c>
      <c r="M130" s="508"/>
      <c r="N130" s="512"/>
    </row>
    <row r="131" spans="1:14" ht="15.75">
      <c r="A131" s="360">
        <v>540100</v>
      </c>
      <c r="B131" s="361" t="s">
        <v>349</v>
      </c>
      <c r="C131" s="362"/>
      <c r="F131" s="324">
        <f t="shared" si="4"/>
        <v>3657</v>
      </c>
      <c r="G131" s="324">
        <v>0</v>
      </c>
      <c r="H131" s="324">
        <v>3656641</v>
      </c>
      <c r="M131" s="511"/>
      <c r="N131" s="517"/>
    </row>
    <row r="132" spans="1:14" ht="15.75">
      <c r="A132" s="356"/>
      <c r="B132" s="358"/>
      <c r="C132" s="357"/>
      <c r="F132" s="324">
        <f t="shared" si="4"/>
        <v>0</v>
      </c>
      <c r="G132" s="324">
        <v>0</v>
      </c>
      <c r="M132" s="508"/>
      <c r="N132" s="512"/>
    </row>
    <row r="133" spans="1:14" ht="15.75">
      <c r="A133" s="356"/>
      <c r="B133" s="358" t="s">
        <v>339</v>
      </c>
      <c r="C133" s="357"/>
      <c r="F133" s="324">
        <f t="shared" si="4"/>
        <v>0</v>
      </c>
      <c r="G133" s="324">
        <v>0</v>
      </c>
      <c r="M133" s="508"/>
      <c r="N133" s="512"/>
    </row>
    <row r="134" spans="1:14" ht="15.75">
      <c r="A134" s="359">
        <v>541000</v>
      </c>
      <c r="B134" s="358" t="s">
        <v>333</v>
      </c>
      <c r="C134" s="357"/>
      <c r="F134" s="324">
        <f t="shared" si="4"/>
        <v>594</v>
      </c>
      <c r="G134" s="324">
        <v>0</v>
      </c>
      <c r="H134" s="324">
        <v>594394</v>
      </c>
      <c r="M134" s="508"/>
      <c r="N134" s="512"/>
    </row>
    <row r="135" spans="1:14" ht="15.75">
      <c r="A135" s="359">
        <v>542000</v>
      </c>
      <c r="B135" s="358" t="s">
        <v>340</v>
      </c>
      <c r="C135" s="357"/>
      <c r="F135" s="324">
        <f t="shared" si="4"/>
        <v>338</v>
      </c>
      <c r="G135" s="324">
        <v>0</v>
      </c>
      <c r="H135" s="324">
        <v>338373</v>
      </c>
      <c r="M135" s="508"/>
      <c r="N135" s="512"/>
    </row>
    <row r="136" spans="1:14" ht="15.75">
      <c r="A136" s="359">
        <v>543000</v>
      </c>
      <c r="B136" s="358" t="s">
        <v>350</v>
      </c>
      <c r="C136" s="357"/>
      <c r="F136" s="324">
        <f t="shared" si="4"/>
        <v>1559</v>
      </c>
      <c r="G136" s="324">
        <v>0</v>
      </c>
      <c r="H136" s="324">
        <v>1559413</v>
      </c>
      <c r="M136" s="508"/>
      <c r="N136" s="512"/>
    </row>
    <row r="137" spans="1:14" ht="15.75">
      <c r="A137" s="359">
        <v>544000</v>
      </c>
      <c r="B137" s="358" t="s">
        <v>342</v>
      </c>
      <c r="C137" s="357"/>
      <c r="F137" s="324">
        <f t="shared" si="4"/>
        <v>2011</v>
      </c>
      <c r="G137" s="324">
        <v>0</v>
      </c>
      <c r="H137" s="324">
        <v>2011360</v>
      </c>
      <c r="M137" s="508"/>
      <c r="N137" s="512"/>
    </row>
    <row r="138" spans="1:14" ht="15.75">
      <c r="A138" s="359">
        <v>545000</v>
      </c>
      <c r="B138" s="358" t="s">
        <v>351</v>
      </c>
      <c r="C138" s="357"/>
      <c r="F138" s="324">
        <f t="shared" si="4"/>
        <v>476</v>
      </c>
      <c r="G138" s="324">
        <v>0</v>
      </c>
      <c r="H138" s="324">
        <v>475795</v>
      </c>
      <c r="M138" s="508"/>
      <c r="N138" s="512"/>
    </row>
    <row r="139" spans="1:14" ht="15.75">
      <c r="A139" s="356"/>
      <c r="B139" s="358" t="s">
        <v>352</v>
      </c>
      <c r="C139" s="357"/>
      <c r="F139" s="324">
        <f t="shared" si="4"/>
        <v>22117</v>
      </c>
      <c r="G139" s="324">
        <v>0</v>
      </c>
      <c r="H139" s="324">
        <v>22117338</v>
      </c>
      <c r="M139" s="508"/>
      <c r="N139" s="512"/>
    </row>
    <row r="140" spans="1:14" ht="15.75">
      <c r="A140" s="356"/>
      <c r="B140" s="358"/>
      <c r="C140" s="357"/>
      <c r="F140" s="324">
        <f t="shared" si="4"/>
        <v>0</v>
      </c>
      <c r="G140" s="324">
        <v>0</v>
      </c>
      <c r="M140" s="508"/>
      <c r="N140" s="512"/>
    </row>
    <row r="141" spans="1:14" ht="15.75">
      <c r="A141" s="356"/>
      <c r="B141" s="358" t="s">
        <v>353</v>
      </c>
      <c r="C141" s="357"/>
      <c r="F141" s="324">
        <f t="shared" si="4"/>
        <v>0</v>
      </c>
      <c r="G141" s="324">
        <v>0</v>
      </c>
      <c r="M141" s="508"/>
      <c r="N141" s="512"/>
    </row>
    <row r="142" spans="1:14" ht="15.75">
      <c r="A142" s="356"/>
      <c r="B142" s="358" t="s">
        <v>332</v>
      </c>
      <c r="C142" s="357"/>
      <c r="F142" s="324">
        <f t="shared" si="4"/>
        <v>0</v>
      </c>
      <c r="G142" s="324">
        <v>0</v>
      </c>
      <c r="M142" s="508"/>
      <c r="N142" s="512"/>
    </row>
    <row r="143" spans="1:14" ht="15.75">
      <c r="A143" s="359">
        <v>546000</v>
      </c>
      <c r="B143" s="358" t="s">
        <v>333</v>
      </c>
      <c r="C143" s="357"/>
      <c r="F143" s="324">
        <f t="shared" si="4"/>
        <v>801</v>
      </c>
      <c r="G143" s="324">
        <v>0</v>
      </c>
      <c r="H143" s="324">
        <v>801026</v>
      </c>
      <c r="M143" s="508"/>
      <c r="N143" s="512"/>
    </row>
    <row r="144" spans="1:14" ht="15.75">
      <c r="A144" s="359">
        <v>547000</v>
      </c>
      <c r="B144" s="358" t="s">
        <v>334</v>
      </c>
      <c r="C144" s="357"/>
      <c r="F144" s="324">
        <f t="shared" si="4"/>
        <v>50743</v>
      </c>
      <c r="G144" s="324">
        <v>0</v>
      </c>
      <c r="H144" s="324">
        <v>50742893</v>
      </c>
      <c r="M144" s="508"/>
      <c r="N144" s="512"/>
    </row>
    <row r="145" spans="1:14" ht="15.75">
      <c r="A145" s="359">
        <v>548000</v>
      </c>
      <c r="B145" s="358" t="s">
        <v>354</v>
      </c>
      <c r="C145" s="357"/>
      <c r="F145" s="324">
        <f t="shared" si="4"/>
        <v>1041</v>
      </c>
      <c r="G145" s="324">
        <v>0</v>
      </c>
      <c r="H145" s="324">
        <v>1041442</v>
      </c>
      <c r="M145" s="508"/>
      <c r="N145" s="512"/>
    </row>
    <row r="146" spans="1:14" ht="15.75">
      <c r="A146" s="359">
        <v>549000</v>
      </c>
      <c r="B146" s="358" t="s">
        <v>355</v>
      </c>
      <c r="C146" s="357"/>
      <c r="F146" s="324">
        <f t="shared" si="4"/>
        <v>392</v>
      </c>
      <c r="G146" s="324">
        <v>0</v>
      </c>
      <c r="H146" s="324">
        <v>391678</v>
      </c>
      <c r="M146" s="508"/>
      <c r="N146" s="512"/>
    </row>
    <row r="147" spans="1:14" ht="15.75">
      <c r="A147" s="359">
        <v>550000</v>
      </c>
      <c r="B147" s="358" t="s">
        <v>338</v>
      </c>
      <c r="C147" s="357"/>
      <c r="F147" s="324">
        <f t="shared" si="4"/>
        <v>-22</v>
      </c>
      <c r="G147" s="324">
        <v>0</v>
      </c>
      <c r="H147" s="324">
        <v>-22132</v>
      </c>
      <c r="M147" s="508"/>
      <c r="N147" s="512"/>
    </row>
    <row r="148" spans="1:14" ht="15.75">
      <c r="A148" s="356"/>
      <c r="B148" s="358"/>
      <c r="C148" s="357"/>
      <c r="F148" s="324">
        <f t="shared" si="4"/>
        <v>0</v>
      </c>
      <c r="G148" s="324">
        <v>0</v>
      </c>
      <c r="M148" s="508"/>
      <c r="N148" s="512"/>
    </row>
    <row r="149" spans="1:14" ht="15.75">
      <c r="A149" s="356"/>
      <c r="B149" s="358" t="s">
        <v>339</v>
      </c>
      <c r="C149" s="357"/>
      <c r="F149" s="324">
        <f t="shared" si="4"/>
        <v>0</v>
      </c>
      <c r="G149" s="324">
        <v>0</v>
      </c>
      <c r="M149" s="508"/>
      <c r="N149" s="512"/>
    </row>
    <row r="150" spans="1:14" ht="15.75">
      <c r="A150" s="359">
        <v>551000</v>
      </c>
      <c r="B150" s="358" t="s">
        <v>333</v>
      </c>
      <c r="C150" s="357"/>
      <c r="F150" s="324">
        <f t="shared" si="4"/>
        <v>415</v>
      </c>
      <c r="G150" s="324">
        <v>0</v>
      </c>
      <c r="H150" s="324">
        <v>414996</v>
      </c>
      <c r="M150" s="508"/>
      <c r="N150" s="512"/>
    </row>
    <row r="151" spans="1:14" ht="15.75">
      <c r="A151" s="359">
        <v>552000</v>
      </c>
      <c r="B151" s="358" t="s">
        <v>340</v>
      </c>
      <c r="C151" s="357"/>
      <c r="F151" s="324">
        <f t="shared" ref="F151:F228" si="6">ROUND(H151/1000,0)</f>
        <v>84</v>
      </c>
      <c r="G151" s="324">
        <v>0</v>
      </c>
      <c r="H151" s="324">
        <v>83600</v>
      </c>
      <c r="M151" s="508"/>
      <c r="N151" s="512"/>
    </row>
    <row r="152" spans="1:14" ht="15.75">
      <c r="A152" s="359">
        <v>553000</v>
      </c>
      <c r="B152" s="358" t="s">
        <v>356</v>
      </c>
      <c r="C152" s="357"/>
      <c r="F152" s="324">
        <f t="shared" si="6"/>
        <v>2102</v>
      </c>
      <c r="G152" s="324">
        <v>0</v>
      </c>
      <c r="H152" s="324">
        <v>2101726</v>
      </c>
      <c r="M152" s="508"/>
      <c r="N152" s="512"/>
    </row>
    <row r="153" spans="1:14" ht="15.75">
      <c r="A153" s="359">
        <v>554000</v>
      </c>
      <c r="B153" s="358" t="s">
        <v>357</v>
      </c>
      <c r="C153" s="357"/>
      <c r="F153" s="324">
        <f t="shared" si="6"/>
        <v>178</v>
      </c>
      <c r="G153" s="324">
        <v>0</v>
      </c>
      <c r="H153" s="324">
        <v>177570</v>
      </c>
      <c r="M153" s="508"/>
      <c r="N153" s="512"/>
    </row>
    <row r="154" spans="1:14" ht="15.75">
      <c r="A154" s="356"/>
      <c r="B154" s="358" t="s">
        <v>358</v>
      </c>
      <c r="C154" s="357"/>
      <c r="F154" s="324">
        <f t="shared" si="6"/>
        <v>55733</v>
      </c>
      <c r="G154" s="324">
        <v>0</v>
      </c>
      <c r="H154" s="324">
        <v>55732799</v>
      </c>
      <c r="M154" s="508"/>
      <c r="N154" s="512"/>
    </row>
    <row r="155" spans="1:14" ht="15.75">
      <c r="A155" s="356"/>
      <c r="B155" s="358"/>
      <c r="C155" s="357"/>
      <c r="F155" s="324">
        <f t="shared" si="6"/>
        <v>0</v>
      </c>
      <c r="G155" s="324">
        <v>0</v>
      </c>
      <c r="M155" s="508"/>
      <c r="N155" s="512"/>
    </row>
    <row r="156" spans="1:14" ht="15.75">
      <c r="A156" s="356"/>
      <c r="B156" s="358" t="s">
        <v>359</v>
      </c>
      <c r="C156" s="357"/>
      <c r="F156" s="324">
        <f t="shared" si="6"/>
        <v>0</v>
      </c>
      <c r="G156" s="324">
        <v>0</v>
      </c>
      <c r="M156" s="508"/>
      <c r="N156" s="512"/>
    </row>
    <row r="157" spans="1:14" ht="15.75">
      <c r="A157" s="356" t="s">
        <v>360</v>
      </c>
      <c r="B157" s="358" t="s">
        <v>50</v>
      </c>
      <c r="C157" s="357"/>
      <c r="F157" s="324">
        <f t="shared" si="6"/>
        <v>96772</v>
      </c>
      <c r="G157" s="324">
        <v>0</v>
      </c>
      <c r="H157" s="324">
        <v>96772129</v>
      </c>
      <c r="M157" s="508"/>
      <c r="N157" s="512"/>
    </row>
    <row r="158" spans="1:14" ht="15.75">
      <c r="A158" s="359">
        <v>556000</v>
      </c>
      <c r="B158" s="358" t="s">
        <v>361</v>
      </c>
      <c r="C158" s="357"/>
      <c r="F158" s="324">
        <f t="shared" si="6"/>
        <v>493</v>
      </c>
      <c r="G158" s="324">
        <v>0</v>
      </c>
      <c r="H158" s="324">
        <v>493194</v>
      </c>
      <c r="M158" s="508"/>
      <c r="N158" s="512"/>
    </row>
    <row r="159" spans="1:14" ht="15.75">
      <c r="A159" s="359" t="s">
        <v>362</v>
      </c>
      <c r="B159" s="358" t="s">
        <v>363</v>
      </c>
      <c r="C159" s="357"/>
      <c r="F159" s="324">
        <f t="shared" si="6"/>
        <v>51397</v>
      </c>
      <c r="G159" s="324">
        <v>0</v>
      </c>
      <c r="H159" s="324">
        <v>51396875</v>
      </c>
      <c r="M159" s="508"/>
      <c r="N159" s="512"/>
    </row>
    <row r="160" spans="1:14" ht="15.75">
      <c r="A160" s="359"/>
      <c r="B160" s="358" t="s">
        <v>364</v>
      </c>
      <c r="C160" s="357"/>
      <c r="F160" s="324">
        <f t="shared" si="6"/>
        <v>148662</v>
      </c>
      <c r="G160" s="324">
        <v>0</v>
      </c>
      <c r="H160" s="324">
        <v>148662198</v>
      </c>
      <c r="M160" s="508"/>
      <c r="N160" s="512"/>
    </row>
    <row r="161" spans="1:14" ht="15.75">
      <c r="A161" s="359"/>
      <c r="B161" s="358" t="s">
        <v>365</v>
      </c>
      <c r="C161" s="357"/>
      <c r="F161" s="324">
        <f t="shared" si="6"/>
        <v>261006</v>
      </c>
      <c r="G161" s="324">
        <v>0</v>
      </c>
      <c r="H161" s="324">
        <v>261005940</v>
      </c>
      <c r="M161" s="508"/>
      <c r="N161" s="512"/>
    </row>
    <row r="162" spans="1:14" ht="15.75">
      <c r="A162" s="359"/>
      <c r="B162" s="358"/>
      <c r="C162" s="357"/>
      <c r="F162" s="324">
        <f t="shared" si="6"/>
        <v>0</v>
      </c>
      <c r="G162" s="324">
        <v>0</v>
      </c>
      <c r="M162" s="508"/>
      <c r="N162" s="512"/>
    </row>
    <row r="163" spans="1:14" ht="15.75">
      <c r="A163" s="359"/>
      <c r="B163" s="358" t="s">
        <v>366</v>
      </c>
      <c r="C163" s="357"/>
      <c r="F163" s="324">
        <f t="shared" si="6"/>
        <v>0</v>
      </c>
      <c r="G163" s="324">
        <v>0</v>
      </c>
      <c r="M163" s="508"/>
      <c r="N163" s="512"/>
    </row>
    <row r="164" spans="1:14" ht="15.75">
      <c r="A164" s="359"/>
      <c r="B164" s="358" t="s">
        <v>332</v>
      </c>
      <c r="C164" s="357"/>
      <c r="F164" s="324">
        <f t="shared" si="6"/>
        <v>0</v>
      </c>
      <c r="G164" s="324">
        <v>0</v>
      </c>
      <c r="M164" s="508"/>
      <c r="N164" s="512"/>
    </row>
    <row r="165" spans="1:14" ht="15.75">
      <c r="A165" s="359">
        <v>560000</v>
      </c>
      <c r="B165" s="358" t="s">
        <v>333</v>
      </c>
      <c r="C165" s="357"/>
      <c r="F165" s="324">
        <f t="shared" si="6"/>
        <v>1670</v>
      </c>
      <c r="G165" s="324">
        <v>0</v>
      </c>
      <c r="H165" s="324">
        <v>1669589</v>
      </c>
      <c r="M165" s="508"/>
      <c r="N165" s="512"/>
    </row>
    <row r="166" spans="1:14" ht="15.75">
      <c r="A166" s="359">
        <v>561000</v>
      </c>
      <c r="B166" s="358" t="s">
        <v>367</v>
      </c>
      <c r="C166" s="357"/>
      <c r="F166" s="324">
        <f t="shared" si="6"/>
        <v>1863</v>
      </c>
      <c r="G166" s="324">
        <v>0</v>
      </c>
      <c r="H166" s="324">
        <v>1862591</v>
      </c>
      <c r="M166" s="508"/>
      <c r="N166" s="512"/>
    </row>
    <row r="167" spans="1:14" ht="15.75">
      <c r="A167" s="359">
        <v>562000</v>
      </c>
      <c r="B167" s="358" t="s">
        <v>368</v>
      </c>
      <c r="C167" s="357"/>
      <c r="F167" s="324">
        <f t="shared" si="6"/>
        <v>287</v>
      </c>
      <c r="G167" s="324">
        <v>0</v>
      </c>
      <c r="H167" s="324">
        <v>287138</v>
      </c>
      <c r="M167" s="508"/>
      <c r="N167" s="512"/>
    </row>
    <row r="168" spans="1:14" ht="15.75">
      <c r="A168" s="509">
        <v>562100</v>
      </c>
      <c r="B168" s="508" t="s">
        <v>699</v>
      </c>
      <c r="C168" s="357"/>
      <c r="F168" s="324">
        <f t="shared" ref="F168" si="7">ROUND(H168/1000,0)</f>
        <v>0</v>
      </c>
      <c r="G168" s="324">
        <v>0</v>
      </c>
      <c r="H168" s="324">
        <v>0</v>
      </c>
      <c r="M168" s="508"/>
      <c r="N168" s="512"/>
    </row>
    <row r="169" spans="1:14" ht="15.75">
      <c r="A169" s="359">
        <v>563000</v>
      </c>
      <c r="B169" s="358" t="s">
        <v>369</v>
      </c>
      <c r="C169" s="357"/>
      <c r="F169" s="324">
        <f t="shared" si="6"/>
        <v>337</v>
      </c>
      <c r="G169" s="324">
        <v>0</v>
      </c>
      <c r="H169" s="324">
        <v>337280</v>
      </c>
      <c r="M169" s="508"/>
      <c r="N169" s="512"/>
    </row>
    <row r="170" spans="1:14" ht="15.75">
      <c r="A170" s="359">
        <v>565000</v>
      </c>
      <c r="B170" s="358" t="s">
        <v>370</v>
      </c>
      <c r="C170" s="357"/>
      <c r="F170" s="324">
        <f t="shared" si="6"/>
        <v>11339</v>
      </c>
      <c r="G170" s="324">
        <v>0</v>
      </c>
      <c r="H170" s="324">
        <v>11339318</v>
      </c>
      <c r="M170" s="508"/>
      <c r="N170" s="512"/>
    </row>
    <row r="171" spans="1:14" ht="15.75">
      <c r="A171" s="359">
        <v>566000</v>
      </c>
      <c r="B171" s="358" t="s">
        <v>371</v>
      </c>
      <c r="C171" s="357"/>
      <c r="F171" s="324">
        <f t="shared" si="6"/>
        <v>1599</v>
      </c>
      <c r="G171" s="324">
        <v>0</v>
      </c>
      <c r="H171" s="324">
        <v>1598537</v>
      </c>
      <c r="M171" s="508"/>
      <c r="N171" s="512"/>
    </row>
    <row r="172" spans="1:14" ht="15.75">
      <c r="A172" s="359">
        <v>567000</v>
      </c>
      <c r="B172" s="358" t="s">
        <v>338</v>
      </c>
      <c r="C172" s="357"/>
      <c r="F172" s="324">
        <f t="shared" si="6"/>
        <v>125</v>
      </c>
      <c r="G172" s="324">
        <v>0</v>
      </c>
      <c r="H172" s="324">
        <v>125349</v>
      </c>
      <c r="M172" s="508"/>
      <c r="N172" s="512"/>
    </row>
    <row r="173" spans="1:14" ht="15.75">
      <c r="A173" s="356"/>
      <c r="B173" s="358"/>
      <c r="C173" s="357"/>
      <c r="F173" s="324">
        <f t="shared" si="6"/>
        <v>0</v>
      </c>
      <c r="G173" s="324">
        <v>0</v>
      </c>
      <c r="M173" s="508"/>
      <c r="N173" s="512"/>
    </row>
    <row r="174" spans="1:14" ht="15.75">
      <c r="A174" s="356"/>
      <c r="B174" s="358" t="s">
        <v>339</v>
      </c>
      <c r="C174" s="357"/>
      <c r="F174" s="324">
        <f t="shared" si="6"/>
        <v>0</v>
      </c>
      <c r="G174" s="324">
        <v>0</v>
      </c>
      <c r="M174" s="508"/>
      <c r="N174" s="512"/>
    </row>
    <row r="175" spans="1:14" ht="15.75">
      <c r="A175" s="359">
        <v>568000</v>
      </c>
      <c r="B175" s="358" t="s">
        <v>333</v>
      </c>
      <c r="C175" s="357"/>
      <c r="F175" s="324">
        <f t="shared" si="6"/>
        <v>672</v>
      </c>
      <c r="G175" s="324">
        <v>0</v>
      </c>
      <c r="H175" s="324">
        <v>671604</v>
      </c>
      <c r="M175" s="508"/>
      <c r="N175" s="512"/>
    </row>
    <row r="176" spans="1:14" ht="15.75">
      <c r="A176" s="359">
        <v>569000</v>
      </c>
      <c r="B176" s="358" t="s">
        <v>340</v>
      </c>
      <c r="C176" s="357"/>
      <c r="F176" s="324">
        <f t="shared" si="6"/>
        <v>445</v>
      </c>
      <c r="G176" s="324">
        <v>0</v>
      </c>
      <c r="H176" s="324">
        <v>445134</v>
      </c>
      <c r="M176" s="508"/>
      <c r="N176" s="512"/>
    </row>
    <row r="177" spans="1:14" ht="15.75">
      <c r="A177" s="359">
        <v>570000</v>
      </c>
      <c r="B177" s="358" t="s">
        <v>372</v>
      </c>
      <c r="C177" s="357"/>
      <c r="F177" s="324">
        <f t="shared" si="6"/>
        <v>875</v>
      </c>
      <c r="G177" s="324">
        <v>0</v>
      </c>
      <c r="H177" s="324">
        <v>874609</v>
      </c>
      <c r="M177" s="508"/>
      <c r="N177" s="512"/>
    </row>
    <row r="178" spans="1:14" ht="15.75">
      <c r="A178" s="509">
        <v>570100</v>
      </c>
      <c r="B178" s="508" t="s">
        <v>699</v>
      </c>
      <c r="C178" s="357"/>
      <c r="F178" s="324">
        <f t="shared" ref="F178" si="8">ROUND(H178/1000,0)</f>
        <v>0</v>
      </c>
      <c r="G178" s="324">
        <v>0</v>
      </c>
      <c r="H178" s="324">
        <v>0</v>
      </c>
      <c r="M178" s="508"/>
      <c r="N178" s="512"/>
    </row>
    <row r="179" spans="1:14" ht="15.75">
      <c r="A179" s="359">
        <v>571000</v>
      </c>
      <c r="B179" s="358" t="s">
        <v>373</v>
      </c>
      <c r="C179" s="357"/>
      <c r="F179" s="324">
        <f t="shared" si="6"/>
        <v>1172</v>
      </c>
      <c r="G179" s="324">
        <v>0</v>
      </c>
      <c r="H179" s="324">
        <v>1171516</v>
      </c>
      <c r="M179" s="508"/>
      <c r="N179" s="512"/>
    </row>
    <row r="180" spans="1:14" ht="15.75">
      <c r="A180" s="359">
        <v>572000</v>
      </c>
      <c r="B180" s="358" t="s">
        <v>374</v>
      </c>
      <c r="C180" s="357"/>
      <c r="F180" s="324">
        <f t="shared" si="6"/>
        <v>1</v>
      </c>
      <c r="G180" s="324">
        <v>0</v>
      </c>
      <c r="H180" s="324">
        <v>1088</v>
      </c>
      <c r="M180" s="508"/>
      <c r="N180" s="512"/>
    </row>
    <row r="181" spans="1:14" ht="15.75">
      <c r="A181" s="359">
        <v>573000</v>
      </c>
      <c r="B181" s="358" t="s">
        <v>375</v>
      </c>
      <c r="C181" s="357"/>
      <c r="F181" s="324">
        <f t="shared" si="6"/>
        <v>54</v>
      </c>
      <c r="G181" s="324">
        <v>0</v>
      </c>
      <c r="H181" s="324">
        <v>54411</v>
      </c>
      <c r="M181" s="508"/>
      <c r="N181" s="512"/>
    </row>
    <row r="182" spans="1:14" ht="15.75">
      <c r="A182" s="356"/>
      <c r="B182" s="358" t="s">
        <v>376</v>
      </c>
      <c r="C182" s="357"/>
      <c r="F182" s="324">
        <f t="shared" si="6"/>
        <v>20438</v>
      </c>
      <c r="G182" s="324">
        <v>0</v>
      </c>
      <c r="H182" s="324">
        <v>20438164</v>
      </c>
      <c r="M182" s="508"/>
      <c r="N182" s="512"/>
    </row>
    <row r="183" spans="1:14" ht="15.75">
      <c r="A183" s="356"/>
      <c r="B183" s="358"/>
      <c r="C183" s="357"/>
      <c r="F183" s="324">
        <f t="shared" si="6"/>
        <v>0</v>
      </c>
      <c r="G183" s="324">
        <v>0</v>
      </c>
      <c r="M183" s="508"/>
    </row>
    <row r="184" spans="1:14" ht="15.75">
      <c r="A184" s="356"/>
      <c r="B184" s="358" t="s">
        <v>377</v>
      </c>
      <c r="C184" s="357"/>
      <c r="F184" s="324">
        <f>ROUND(H184/1000,0)</f>
        <v>18302</v>
      </c>
      <c r="G184" s="324">
        <v>0</v>
      </c>
      <c r="H184" s="324">
        <v>18301777</v>
      </c>
      <c r="M184" s="508" t="s">
        <v>377</v>
      </c>
    </row>
    <row r="185" spans="1:14" ht="15.75">
      <c r="A185" s="356"/>
      <c r="B185" s="358" t="s">
        <v>378</v>
      </c>
      <c r="C185" s="357"/>
      <c r="F185" s="324">
        <f t="shared" ref="F185:F223" si="9">ROUND(H185/1000,0)</f>
        <v>7755</v>
      </c>
      <c r="G185" s="324">
        <v>0</v>
      </c>
      <c r="H185" s="324">
        <v>7755079</v>
      </c>
      <c r="M185" s="508" t="s">
        <v>378</v>
      </c>
    </row>
    <row r="186" spans="1:14" ht="15.75">
      <c r="A186" s="363"/>
      <c r="B186" s="361" t="s">
        <v>379</v>
      </c>
      <c r="C186" s="362"/>
      <c r="F186" s="324">
        <f t="shared" si="9"/>
        <v>761</v>
      </c>
      <c r="G186" s="324">
        <v>0</v>
      </c>
      <c r="H186" s="324">
        <v>761423</v>
      </c>
      <c r="M186" s="511" t="s">
        <v>379</v>
      </c>
    </row>
    <row r="187" spans="1:14" ht="15.75">
      <c r="A187" s="363"/>
      <c r="B187" s="358" t="s">
        <v>653</v>
      </c>
      <c r="C187" s="362"/>
      <c r="F187" s="324">
        <f t="shared" si="9"/>
        <v>-141</v>
      </c>
      <c r="G187" s="324">
        <v>0</v>
      </c>
      <c r="H187" s="324">
        <v>-141072</v>
      </c>
      <c r="M187" s="508" t="s">
        <v>653</v>
      </c>
    </row>
    <row r="188" spans="1:14" ht="15.75">
      <c r="A188" s="359">
        <v>405930</v>
      </c>
      <c r="B188" s="358" t="s">
        <v>380</v>
      </c>
      <c r="C188" s="357"/>
      <c r="F188" s="324">
        <f t="shared" si="9"/>
        <v>2450</v>
      </c>
      <c r="G188" s="324">
        <v>0</v>
      </c>
      <c r="H188" s="324">
        <v>2450031</v>
      </c>
      <c r="M188" s="508" t="s">
        <v>380</v>
      </c>
    </row>
    <row r="189" spans="1:14" ht="15.75">
      <c r="A189" s="359">
        <v>406100</v>
      </c>
      <c r="B189" s="358" t="s">
        <v>381</v>
      </c>
      <c r="C189" s="357"/>
      <c r="F189" s="324">
        <f t="shared" si="9"/>
        <v>32</v>
      </c>
      <c r="G189" s="324">
        <v>0</v>
      </c>
      <c r="H189" s="324">
        <v>31743</v>
      </c>
      <c r="M189" s="508" t="s">
        <v>381</v>
      </c>
    </row>
    <row r="190" spans="1:14" ht="15.75">
      <c r="A190" s="359">
        <v>407312</v>
      </c>
      <c r="B190" s="358" t="s">
        <v>382</v>
      </c>
      <c r="C190" s="357"/>
      <c r="F190" s="324">
        <f t="shared" si="9"/>
        <v>0</v>
      </c>
      <c r="G190" s="324">
        <v>0</v>
      </c>
      <c r="H190" s="324">
        <v>0</v>
      </c>
      <c r="M190" s="508" t="s">
        <v>382</v>
      </c>
    </row>
    <row r="191" spans="1:14" ht="15.75">
      <c r="A191" s="510">
        <v>407320</v>
      </c>
      <c r="B191" s="511" t="s">
        <v>702</v>
      </c>
      <c r="C191" s="357"/>
      <c r="F191" s="324">
        <f t="shared" si="9"/>
        <v>0</v>
      </c>
      <c r="G191" s="324">
        <v>0</v>
      </c>
      <c r="H191" s="324">
        <v>0</v>
      </c>
      <c r="M191" s="511" t="s">
        <v>702</v>
      </c>
    </row>
    <row r="192" spans="1:14" ht="15.75">
      <c r="A192" s="360">
        <v>407322</v>
      </c>
      <c r="B192" s="361" t="s">
        <v>383</v>
      </c>
      <c r="C192" s="362"/>
      <c r="F192" s="324">
        <f t="shared" si="9"/>
        <v>73</v>
      </c>
      <c r="G192" s="324">
        <v>0</v>
      </c>
      <c r="H192" s="324">
        <v>72939</v>
      </c>
      <c r="M192" s="511" t="s">
        <v>383</v>
      </c>
    </row>
    <row r="193" spans="1:13" ht="15.75">
      <c r="A193" s="360">
        <v>407324</v>
      </c>
      <c r="B193" s="361" t="s">
        <v>384</v>
      </c>
      <c r="C193" s="362"/>
      <c r="F193" s="324">
        <f t="shared" si="9"/>
        <v>143</v>
      </c>
      <c r="G193" s="324">
        <v>0</v>
      </c>
      <c r="H193" s="324">
        <v>142525</v>
      </c>
      <c r="M193" s="511" t="s">
        <v>384</v>
      </c>
    </row>
    <row r="194" spans="1:13" ht="15.75">
      <c r="A194" s="360">
        <v>407326</v>
      </c>
      <c r="B194" s="361" t="s">
        <v>706</v>
      </c>
      <c r="C194" s="362"/>
      <c r="F194" s="324">
        <f t="shared" si="9"/>
        <v>0</v>
      </c>
      <c r="H194" s="324">
        <v>0</v>
      </c>
      <c r="M194" s="511" t="s">
        <v>706</v>
      </c>
    </row>
    <row r="195" spans="1:13" ht="15.75">
      <c r="A195" s="360">
        <v>407331</v>
      </c>
      <c r="B195" s="361" t="s">
        <v>654</v>
      </c>
      <c r="C195" s="362"/>
      <c r="F195" s="324">
        <f t="shared" si="9"/>
        <v>0</v>
      </c>
      <c r="G195" s="324">
        <v>0</v>
      </c>
      <c r="H195" s="324">
        <v>0</v>
      </c>
      <c r="M195" s="511" t="s">
        <v>654</v>
      </c>
    </row>
    <row r="196" spans="1:13" ht="15.75">
      <c r="A196" s="360">
        <v>407333</v>
      </c>
      <c r="B196" s="361" t="s">
        <v>655</v>
      </c>
      <c r="C196" s="362"/>
      <c r="F196" s="324">
        <f t="shared" si="9"/>
        <v>22</v>
      </c>
      <c r="G196" s="324">
        <v>0</v>
      </c>
      <c r="H196" s="324">
        <v>21506</v>
      </c>
      <c r="M196" s="511" t="s">
        <v>655</v>
      </c>
    </row>
    <row r="197" spans="1:13" ht="15.75">
      <c r="A197" s="360">
        <v>407335</v>
      </c>
      <c r="B197" s="361" t="s">
        <v>385</v>
      </c>
      <c r="C197" s="357"/>
      <c r="F197" s="324">
        <f t="shared" si="9"/>
        <v>0</v>
      </c>
      <c r="G197" s="324">
        <v>0</v>
      </c>
      <c r="H197" s="324">
        <v>0</v>
      </c>
      <c r="M197" s="511" t="s">
        <v>385</v>
      </c>
    </row>
    <row r="198" spans="1:13" ht="15.75">
      <c r="A198" s="359">
        <v>407350</v>
      </c>
      <c r="B198" s="358" t="s">
        <v>656</v>
      </c>
      <c r="C198" s="357"/>
      <c r="F198" s="324">
        <f t="shared" si="9"/>
        <v>0</v>
      </c>
      <c r="G198" s="324">
        <v>0</v>
      </c>
      <c r="H198" s="324">
        <v>0</v>
      </c>
      <c r="M198" s="508" t="s">
        <v>656</v>
      </c>
    </row>
    <row r="199" spans="1:13" ht="15.75">
      <c r="A199" s="359">
        <v>407351</v>
      </c>
      <c r="B199" s="358" t="s">
        <v>386</v>
      </c>
      <c r="C199" s="362"/>
      <c r="F199" s="324">
        <f t="shared" si="9"/>
        <v>0</v>
      </c>
      <c r="G199" s="324">
        <v>0</v>
      </c>
      <c r="H199" s="324">
        <v>0</v>
      </c>
      <c r="M199" s="508" t="s">
        <v>386</v>
      </c>
    </row>
    <row r="200" spans="1:13" ht="15.75">
      <c r="A200" s="359">
        <v>407360</v>
      </c>
      <c r="B200" s="358" t="s">
        <v>657</v>
      </c>
      <c r="C200" s="362"/>
      <c r="F200" s="324">
        <f t="shared" si="9"/>
        <v>1103</v>
      </c>
      <c r="G200" s="324">
        <v>0</v>
      </c>
      <c r="H200" s="324">
        <v>1102752</v>
      </c>
      <c r="M200" s="508" t="s">
        <v>657</v>
      </c>
    </row>
    <row r="201" spans="1:13" ht="15.75">
      <c r="A201" s="359">
        <v>407362</v>
      </c>
      <c r="B201" s="358" t="s">
        <v>658</v>
      </c>
      <c r="C201" s="362"/>
      <c r="F201" s="324">
        <f t="shared" si="9"/>
        <v>0</v>
      </c>
      <c r="G201" s="324">
        <v>0</v>
      </c>
      <c r="H201" s="324">
        <v>0</v>
      </c>
      <c r="M201" s="508" t="s">
        <v>658</v>
      </c>
    </row>
    <row r="202" spans="1:13" ht="15.75">
      <c r="A202" s="359">
        <v>407365</v>
      </c>
      <c r="B202" s="358" t="s">
        <v>659</v>
      </c>
      <c r="C202" s="362"/>
      <c r="F202" s="324">
        <f t="shared" si="9"/>
        <v>0</v>
      </c>
      <c r="G202" s="324">
        <v>0</v>
      </c>
      <c r="H202" s="324">
        <v>0</v>
      </c>
      <c r="M202" s="508" t="s">
        <v>659</v>
      </c>
    </row>
    <row r="203" spans="1:13" ht="15.75">
      <c r="A203" s="359">
        <v>407368</v>
      </c>
      <c r="B203" s="358" t="s">
        <v>747</v>
      </c>
      <c r="C203" s="362"/>
      <c r="F203" s="324">
        <f t="shared" si="9"/>
        <v>0</v>
      </c>
      <c r="H203" s="324">
        <v>0</v>
      </c>
      <c r="M203" s="508" t="s">
        <v>747</v>
      </c>
    </row>
    <row r="204" spans="1:13" ht="15.75">
      <c r="A204" s="359">
        <v>407380</v>
      </c>
      <c r="B204" s="358" t="s">
        <v>387</v>
      </c>
      <c r="C204" s="362"/>
      <c r="F204" s="324">
        <f t="shared" si="9"/>
        <v>0</v>
      </c>
      <c r="G204" s="324">
        <v>0</v>
      </c>
      <c r="H204" s="324">
        <v>0</v>
      </c>
      <c r="M204" s="508" t="s">
        <v>387</v>
      </c>
    </row>
    <row r="205" spans="1:13" ht="15.75">
      <c r="A205" s="360">
        <v>407382</v>
      </c>
      <c r="B205" s="361" t="s">
        <v>388</v>
      </c>
      <c r="C205" s="362"/>
      <c r="F205" s="324">
        <f t="shared" si="9"/>
        <v>581</v>
      </c>
      <c r="G205" s="324">
        <v>0</v>
      </c>
      <c r="H205" s="324">
        <v>581110</v>
      </c>
      <c r="M205" s="511" t="s">
        <v>388</v>
      </c>
    </row>
    <row r="206" spans="1:13" ht="15.75">
      <c r="A206" s="360">
        <v>407382</v>
      </c>
      <c r="B206" s="361" t="s">
        <v>389</v>
      </c>
      <c r="C206" s="362"/>
      <c r="F206" s="324">
        <f t="shared" si="9"/>
        <v>152</v>
      </c>
      <c r="G206" s="324">
        <v>0</v>
      </c>
      <c r="H206" s="324">
        <v>152118</v>
      </c>
      <c r="M206" s="511" t="s">
        <v>389</v>
      </c>
    </row>
    <row r="207" spans="1:13" ht="15.75">
      <c r="A207" s="510">
        <v>407391</v>
      </c>
      <c r="B207" s="511" t="s">
        <v>706</v>
      </c>
      <c r="C207" s="362"/>
      <c r="F207" s="324">
        <f t="shared" si="9"/>
        <v>290</v>
      </c>
      <c r="G207" s="324">
        <v>1</v>
      </c>
      <c r="H207" s="324">
        <v>290395</v>
      </c>
      <c r="M207" s="511" t="s">
        <v>706</v>
      </c>
    </row>
    <row r="208" spans="1:13" ht="15.75">
      <c r="A208" s="360">
        <v>407395</v>
      </c>
      <c r="B208" s="361" t="s">
        <v>390</v>
      </c>
      <c r="C208" s="362"/>
      <c r="F208" s="324">
        <f t="shared" si="9"/>
        <v>177</v>
      </c>
      <c r="G208" s="324">
        <v>0</v>
      </c>
      <c r="H208" s="324">
        <v>176886</v>
      </c>
      <c r="M208" s="511" t="s">
        <v>390</v>
      </c>
    </row>
    <row r="209" spans="1:13" ht="15.75">
      <c r="A209" s="359">
        <v>407403</v>
      </c>
      <c r="B209" s="358" t="s">
        <v>391</v>
      </c>
      <c r="C209" s="362"/>
      <c r="F209" s="324">
        <f t="shared" si="9"/>
        <v>-135</v>
      </c>
      <c r="G209" s="324">
        <v>0</v>
      </c>
      <c r="H209" s="324">
        <v>-134592</v>
      </c>
      <c r="M209" s="508" t="s">
        <v>391</v>
      </c>
    </row>
    <row r="210" spans="1:13" ht="15.75">
      <c r="A210" s="359">
        <v>407405</v>
      </c>
      <c r="B210" s="358" t="s">
        <v>392</v>
      </c>
      <c r="C210" s="357"/>
      <c r="F210" s="324">
        <f t="shared" si="9"/>
        <v>0</v>
      </c>
      <c r="G210" s="324">
        <v>0</v>
      </c>
      <c r="H210" s="324">
        <v>0</v>
      </c>
      <c r="M210" s="508" t="s">
        <v>392</v>
      </c>
    </row>
    <row r="211" spans="1:13" ht="15.75">
      <c r="A211" s="359">
        <v>407420</v>
      </c>
      <c r="B211" s="358" t="s">
        <v>393</v>
      </c>
      <c r="C211" s="357"/>
      <c r="F211" s="324">
        <f t="shared" si="9"/>
        <v>0</v>
      </c>
      <c r="G211" s="324">
        <v>0</v>
      </c>
      <c r="H211" s="324">
        <v>0</v>
      </c>
      <c r="M211" s="508" t="s">
        <v>393</v>
      </c>
    </row>
    <row r="212" spans="1:13" ht="15.75">
      <c r="A212" s="356" t="s">
        <v>394</v>
      </c>
      <c r="B212" s="358" t="s">
        <v>395</v>
      </c>
      <c r="C212" s="357"/>
      <c r="F212" s="324">
        <f t="shared" si="9"/>
        <v>-730</v>
      </c>
      <c r="G212" s="324">
        <v>0</v>
      </c>
      <c r="H212" s="324">
        <v>-729599</v>
      </c>
      <c r="M212" s="508" t="s">
        <v>395</v>
      </c>
    </row>
    <row r="213" spans="1:13" ht="15.75">
      <c r="A213" s="510">
        <v>407455</v>
      </c>
      <c r="B213" s="511" t="s">
        <v>748</v>
      </c>
      <c r="C213" s="357"/>
      <c r="F213" s="324">
        <f t="shared" si="9"/>
        <v>0</v>
      </c>
      <c r="H213" s="324">
        <v>0</v>
      </c>
      <c r="M213" s="511" t="s">
        <v>748</v>
      </c>
    </row>
    <row r="214" spans="1:13" ht="15.75">
      <c r="A214" s="360">
        <v>407460</v>
      </c>
      <c r="B214" s="361" t="s">
        <v>396</v>
      </c>
      <c r="C214" s="362"/>
      <c r="F214" s="324">
        <f t="shared" si="9"/>
        <v>0</v>
      </c>
      <c r="G214" s="324">
        <v>0</v>
      </c>
      <c r="H214" s="324">
        <v>0</v>
      </c>
      <c r="M214" s="511" t="s">
        <v>396</v>
      </c>
    </row>
    <row r="215" spans="1:13" ht="15.75">
      <c r="A215" s="360">
        <v>407462</v>
      </c>
      <c r="B215" s="361" t="s">
        <v>660</v>
      </c>
      <c r="C215" s="357"/>
      <c r="F215" s="324">
        <f t="shared" si="9"/>
        <v>0</v>
      </c>
      <c r="G215" s="324">
        <v>0</v>
      </c>
      <c r="H215" s="324">
        <v>0</v>
      </c>
      <c r="M215" s="511" t="s">
        <v>660</v>
      </c>
    </row>
    <row r="216" spans="1:13" ht="15.75">
      <c r="A216" s="510">
        <v>407494</v>
      </c>
      <c r="B216" s="511" t="s">
        <v>707</v>
      </c>
      <c r="C216" s="357"/>
      <c r="F216" s="324">
        <f t="shared" si="9"/>
        <v>158</v>
      </c>
      <c r="G216" s="324">
        <v>1</v>
      </c>
      <c r="H216" s="324">
        <v>157646</v>
      </c>
      <c r="M216" s="511" t="s">
        <v>707</v>
      </c>
    </row>
    <row r="217" spans="1:13" ht="15.75">
      <c r="A217" s="360">
        <v>407495</v>
      </c>
      <c r="B217" s="361" t="s">
        <v>661</v>
      </c>
      <c r="C217" s="362"/>
      <c r="F217" s="324">
        <f t="shared" si="9"/>
        <v>-6</v>
      </c>
      <c r="G217" s="324">
        <v>0</v>
      </c>
      <c r="H217" s="324">
        <v>-5531</v>
      </c>
      <c r="M217" s="511" t="s">
        <v>661</v>
      </c>
    </row>
    <row r="218" spans="1:13" ht="15.75">
      <c r="A218" s="360">
        <v>407496</v>
      </c>
      <c r="B218" s="361" t="s">
        <v>662</v>
      </c>
      <c r="C218" s="362"/>
      <c r="F218" s="324">
        <f t="shared" si="9"/>
        <v>0</v>
      </c>
      <c r="G218" s="324">
        <v>0</v>
      </c>
      <c r="H218" s="324">
        <v>0</v>
      </c>
      <c r="M218" s="511" t="s">
        <v>662</v>
      </c>
    </row>
    <row r="219" spans="1:13" ht="15.75">
      <c r="A219" s="510">
        <v>407497</v>
      </c>
      <c r="B219" s="511" t="s">
        <v>700</v>
      </c>
      <c r="C219" s="362"/>
      <c r="F219" s="324">
        <f t="shared" si="9"/>
        <v>0</v>
      </c>
      <c r="G219" s="324">
        <v>0</v>
      </c>
      <c r="H219" s="324">
        <v>0</v>
      </c>
      <c r="M219" s="511" t="s">
        <v>700</v>
      </c>
    </row>
    <row r="220" spans="1:13" ht="15.75">
      <c r="A220" s="356"/>
      <c r="B220" s="358" t="s">
        <v>397</v>
      </c>
      <c r="C220" s="357"/>
      <c r="F220" s="324">
        <f t="shared" si="9"/>
        <v>14904</v>
      </c>
      <c r="G220" s="324">
        <v>0</v>
      </c>
      <c r="H220" s="324">
        <v>14903659</v>
      </c>
      <c r="M220" s="508" t="s">
        <v>397</v>
      </c>
    </row>
    <row r="221" spans="1:13" ht="15.75">
      <c r="A221" s="356"/>
      <c r="B221" s="358" t="s">
        <v>398</v>
      </c>
      <c r="C221" s="357"/>
      <c r="F221" s="324">
        <f t="shared" si="9"/>
        <v>45891</v>
      </c>
      <c r="G221" s="324">
        <v>0</v>
      </c>
      <c r="H221" s="324">
        <v>45890795</v>
      </c>
      <c r="M221" s="508" t="s">
        <v>398</v>
      </c>
    </row>
    <row r="222" spans="1:13" ht="15.75">
      <c r="A222" s="356"/>
      <c r="B222" s="358"/>
      <c r="C222" s="357"/>
      <c r="F222" s="324">
        <f t="shared" si="9"/>
        <v>0</v>
      </c>
      <c r="G222" s="324">
        <v>0</v>
      </c>
      <c r="M222" s="508"/>
    </row>
    <row r="223" spans="1:13" ht="15.75">
      <c r="A223" s="356"/>
      <c r="B223" s="358" t="s">
        <v>399</v>
      </c>
      <c r="C223" s="357"/>
      <c r="F223" s="324">
        <f t="shared" si="9"/>
        <v>327335</v>
      </c>
      <c r="G223" s="324">
        <v>0</v>
      </c>
      <c r="H223" s="324">
        <v>327334899</v>
      </c>
      <c r="M223" s="508"/>
    </row>
    <row r="224" spans="1:13" ht="15.75">
      <c r="A224" s="356"/>
      <c r="B224" s="358"/>
      <c r="C224" s="357"/>
      <c r="F224" s="324">
        <f t="shared" si="6"/>
        <v>0</v>
      </c>
      <c r="G224" s="324">
        <v>0</v>
      </c>
      <c r="M224" s="508"/>
    </row>
    <row r="225" spans="1:13" ht="15.75">
      <c r="A225" s="356"/>
      <c r="B225" s="358" t="s">
        <v>400</v>
      </c>
      <c r="C225" s="357"/>
      <c r="F225" s="324">
        <f t="shared" si="6"/>
        <v>0</v>
      </c>
      <c r="G225" s="324">
        <v>0</v>
      </c>
      <c r="M225" s="508"/>
    </row>
    <row r="226" spans="1:13" ht="15.75">
      <c r="A226" s="356"/>
      <c r="B226" s="357" t="s">
        <v>401</v>
      </c>
      <c r="C226" s="357"/>
      <c r="F226" s="324">
        <f t="shared" si="6"/>
        <v>0</v>
      </c>
      <c r="G226" s="324">
        <v>0</v>
      </c>
      <c r="M226" s="512"/>
    </row>
    <row r="227" spans="1:13" ht="15.75">
      <c r="A227" s="359">
        <v>580000</v>
      </c>
      <c r="B227" s="358" t="s">
        <v>333</v>
      </c>
      <c r="C227" s="357"/>
      <c r="F227" s="324">
        <f>ROUND(H227/1000,0)</f>
        <v>3028</v>
      </c>
      <c r="G227" s="324">
        <v>0</v>
      </c>
      <c r="H227" s="324">
        <v>3028128</v>
      </c>
      <c r="M227" s="508"/>
    </row>
    <row r="228" spans="1:13" ht="15.75">
      <c r="A228" s="359">
        <v>582000</v>
      </c>
      <c r="B228" s="357" t="s">
        <v>368</v>
      </c>
      <c r="C228" s="357"/>
      <c r="F228" s="324">
        <f t="shared" si="6"/>
        <v>402</v>
      </c>
      <c r="G228" s="324">
        <v>0</v>
      </c>
      <c r="H228" s="324">
        <v>401921</v>
      </c>
      <c r="M228" s="512"/>
    </row>
    <row r="229" spans="1:13" ht="15.75">
      <c r="A229" s="359">
        <v>583000</v>
      </c>
      <c r="B229" s="358" t="s">
        <v>369</v>
      </c>
      <c r="C229" s="357"/>
      <c r="F229" s="324">
        <f t="shared" ref="F229:F295" si="10">ROUND(H229/1000,0)</f>
        <v>1387</v>
      </c>
      <c r="G229" s="324">
        <v>0</v>
      </c>
      <c r="H229" s="324">
        <v>1386838</v>
      </c>
      <c r="M229" s="508"/>
    </row>
    <row r="230" spans="1:13" ht="15.75">
      <c r="A230" s="359">
        <v>584000</v>
      </c>
      <c r="B230" s="358" t="s">
        <v>402</v>
      </c>
      <c r="C230" s="357"/>
      <c r="F230" s="324">
        <f t="shared" si="10"/>
        <v>744</v>
      </c>
      <c r="G230" s="324">
        <v>0</v>
      </c>
      <c r="H230" s="324">
        <v>743627</v>
      </c>
      <c r="M230" s="508"/>
    </row>
    <row r="231" spans="1:13" ht="15.75">
      <c r="A231" s="509">
        <v>584100</v>
      </c>
      <c r="B231" s="508" t="s">
        <v>699</v>
      </c>
      <c r="C231" s="357"/>
      <c r="F231" s="324">
        <f t="shared" si="10"/>
        <v>32</v>
      </c>
      <c r="G231" s="324">
        <v>0</v>
      </c>
      <c r="H231" s="324">
        <v>31795</v>
      </c>
      <c r="M231" s="508"/>
    </row>
    <row r="232" spans="1:13" ht="15.75">
      <c r="A232" s="359">
        <v>585000</v>
      </c>
      <c r="B232" s="358" t="s">
        <v>403</v>
      </c>
      <c r="C232" s="357"/>
      <c r="F232" s="324">
        <f t="shared" si="10"/>
        <v>6</v>
      </c>
      <c r="G232" s="324">
        <v>0</v>
      </c>
      <c r="H232" s="324">
        <v>6275</v>
      </c>
      <c r="M232" s="508"/>
    </row>
    <row r="233" spans="1:13" ht="15.75">
      <c r="A233" s="359">
        <v>586000</v>
      </c>
      <c r="B233" s="358" t="s">
        <v>404</v>
      </c>
      <c r="C233" s="357"/>
      <c r="F233" s="324">
        <f t="shared" si="10"/>
        <v>1413</v>
      </c>
      <c r="G233" s="324">
        <v>0</v>
      </c>
      <c r="H233" s="324">
        <v>1413377</v>
      </c>
      <c r="M233" s="508"/>
    </row>
    <row r="234" spans="1:13" ht="15.75">
      <c r="A234" s="359">
        <v>587000</v>
      </c>
      <c r="B234" s="358" t="s">
        <v>405</v>
      </c>
      <c r="C234" s="357"/>
      <c r="F234" s="324">
        <f t="shared" si="10"/>
        <v>443</v>
      </c>
      <c r="G234" s="324">
        <v>0</v>
      </c>
      <c r="H234" s="324">
        <v>442912</v>
      </c>
      <c r="M234" s="508"/>
    </row>
    <row r="235" spans="1:13" ht="15.75">
      <c r="A235" s="359">
        <v>588000</v>
      </c>
      <c r="B235" s="358" t="s">
        <v>406</v>
      </c>
      <c r="C235" s="357"/>
      <c r="F235" s="324">
        <f t="shared" si="10"/>
        <v>5202</v>
      </c>
      <c r="G235" s="324">
        <v>0</v>
      </c>
      <c r="H235" s="324">
        <v>5201512</v>
      </c>
      <c r="M235" s="508"/>
    </row>
    <row r="236" spans="1:13" ht="15.75">
      <c r="A236" s="359">
        <v>589000</v>
      </c>
      <c r="B236" s="358" t="s">
        <v>338</v>
      </c>
      <c r="C236" s="357"/>
      <c r="F236" s="324">
        <f t="shared" si="10"/>
        <v>233</v>
      </c>
      <c r="G236" s="324">
        <v>0</v>
      </c>
      <c r="H236" s="324">
        <v>233383</v>
      </c>
      <c r="M236" s="508"/>
    </row>
    <row r="237" spans="1:13" ht="15.75">
      <c r="A237" s="364"/>
      <c r="B237" s="358"/>
      <c r="C237" s="357"/>
      <c r="F237" s="324">
        <f t="shared" si="10"/>
        <v>0</v>
      </c>
      <c r="G237" s="324">
        <v>0</v>
      </c>
      <c r="M237" s="508"/>
    </row>
    <row r="238" spans="1:13" ht="15.75">
      <c r="A238" s="356"/>
      <c r="B238" s="357" t="s">
        <v>407</v>
      </c>
      <c r="C238" s="357"/>
      <c r="F238" s="324">
        <f t="shared" si="10"/>
        <v>0</v>
      </c>
      <c r="G238" s="324">
        <v>0</v>
      </c>
      <c r="M238" s="512"/>
    </row>
    <row r="239" spans="1:13" ht="15.75">
      <c r="A239" s="359">
        <v>590000</v>
      </c>
      <c r="B239" s="358" t="s">
        <v>333</v>
      </c>
      <c r="C239" s="357"/>
      <c r="F239" s="324">
        <f t="shared" si="10"/>
        <v>1004</v>
      </c>
      <c r="G239" s="324">
        <v>0</v>
      </c>
      <c r="H239" s="324">
        <v>1003927</v>
      </c>
      <c r="M239" s="508"/>
    </row>
    <row r="240" spans="1:13" ht="15.75">
      <c r="A240" s="359">
        <v>591000</v>
      </c>
      <c r="B240" s="358" t="s">
        <v>340</v>
      </c>
      <c r="C240" s="357"/>
      <c r="F240" s="324">
        <f t="shared" si="10"/>
        <v>289</v>
      </c>
      <c r="G240" s="324">
        <v>0</v>
      </c>
      <c r="H240" s="324">
        <v>289437</v>
      </c>
      <c r="M240" s="508"/>
    </row>
    <row r="241" spans="1:13" ht="15.75">
      <c r="A241" s="359">
        <v>592000</v>
      </c>
      <c r="B241" s="357" t="s">
        <v>372</v>
      </c>
      <c r="C241" s="357"/>
      <c r="F241" s="324">
        <f t="shared" si="10"/>
        <v>670</v>
      </c>
      <c r="G241" s="324">
        <v>0</v>
      </c>
      <c r="H241" s="324">
        <v>669613</v>
      </c>
      <c r="M241" s="512"/>
    </row>
    <row r="242" spans="1:13" ht="15.75">
      <c r="A242" s="509">
        <v>592200</v>
      </c>
      <c r="B242" s="508" t="s">
        <v>699</v>
      </c>
      <c r="C242" s="357"/>
      <c r="F242" s="324">
        <f t="shared" si="10"/>
        <v>0</v>
      </c>
      <c r="G242" s="324">
        <v>0</v>
      </c>
      <c r="H242" s="324">
        <v>0</v>
      </c>
      <c r="M242" s="508"/>
    </row>
    <row r="243" spans="1:13" ht="15.75">
      <c r="A243" s="359">
        <v>593000</v>
      </c>
      <c r="B243" s="358" t="s">
        <v>373</v>
      </c>
      <c r="C243" s="357"/>
      <c r="F243" s="324">
        <f t="shared" si="10"/>
        <v>5200</v>
      </c>
      <c r="G243" s="324">
        <v>0</v>
      </c>
      <c r="H243" s="324">
        <v>5200180</v>
      </c>
      <c r="M243" s="508"/>
    </row>
    <row r="244" spans="1:13" ht="15.75">
      <c r="A244" s="359">
        <v>594000</v>
      </c>
      <c r="B244" s="358" t="s">
        <v>374</v>
      </c>
      <c r="C244" s="357"/>
      <c r="F244" s="324">
        <f t="shared" si="10"/>
        <v>447</v>
      </c>
      <c r="G244" s="324">
        <v>0</v>
      </c>
      <c r="H244" s="324">
        <v>447354</v>
      </c>
      <c r="M244" s="508"/>
    </row>
    <row r="245" spans="1:13" ht="15.75">
      <c r="A245" s="359">
        <v>595000</v>
      </c>
      <c r="B245" s="358" t="s">
        <v>408</v>
      </c>
      <c r="C245" s="357"/>
      <c r="F245" s="324">
        <f t="shared" si="10"/>
        <v>314</v>
      </c>
      <c r="G245" s="324">
        <v>0</v>
      </c>
      <c r="H245" s="324">
        <v>313849</v>
      </c>
      <c r="M245" s="508"/>
    </row>
    <row r="246" spans="1:13" ht="15.75">
      <c r="A246" s="359">
        <v>596000</v>
      </c>
      <c r="B246" s="358" t="s">
        <v>409</v>
      </c>
      <c r="C246" s="357"/>
      <c r="F246" s="324">
        <f t="shared" si="10"/>
        <v>253</v>
      </c>
      <c r="G246" s="324">
        <v>0</v>
      </c>
      <c r="H246" s="324">
        <v>253436</v>
      </c>
      <c r="M246" s="508"/>
    </row>
    <row r="247" spans="1:13" ht="15.75">
      <c r="A247" s="359">
        <v>597000</v>
      </c>
      <c r="B247" s="358" t="s">
        <v>410</v>
      </c>
      <c r="C247" s="357"/>
      <c r="F247" s="324">
        <f t="shared" si="10"/>
        <v>15</v>
      </c>
      <c r="G247" s="324">
        <v>0</v>
      </c>
      <c r="H247" s="324">
        <v>14931</v>
      </c>
      <c r="M247" s="508"/>
    </row>
    <row r="248" spans="1:13" ht="15.75">
      <c r="A248" s="359">
        <v>598000</v>
      </c>
      <c r="B248" s="358" t="s">
        <v>406</v>
      </c>
      <c r="C248" s="357"/>
      <c r="F248" s="324">
        <f t="shared" si="10"/>
        <v>337</v>
      </c>
      <c r="G248" s="324">
        <v>0</v>
      </c>
      <c r="H248" s="324">
        <v>337477</v>
      </c>
      <c r="M248" s="508"/>
    </row>
    <row r="249" spans="1:13" ht="15.75">
      <c r="A249" s="364"/>
      <c r="B249" s="358" t="s">
        <v>411</v>
      </c>
      <c r="C249" s="357"/>
      <c r="F249" s="324">
        <f t="shared" si="10"/>
        <v>21420</v>
      </c>
      <c r="G249" s="324">
        <v>0</v>
      </c>
      <c r="H249" s="324">
        <v>21419972</v>
      </c>
      <c r="M249" s="508"/>
    </row>
    <row r="250" spans="1:13" ht="15.75">
      <c r="A250" s="364"/>
      <c r="B250" s="358"/>
      <c r="C250" s="357"/>
      <c r="F250" s="324">
        <f t="shared" si="10"/>
        <v>0</v>
      </c>
      <c r="G250" s="324">
        <v>0</v>
      </c>
      <c r="M250" s="508"/>
    </row>
    <row r="251" spans="1:13" ht="15.75">
      <c r="A251" s="356"/>
      <c r="B251" s="358" t="s">
        <v>412</v>
      </c>
      <c r="C251" s="357"/>
      <c r="F251" s="324">
        <f t="shared" si="10"/>
        <v>27885</v>
      </c>
      <c r="G251" s="324">
        <v>0</v>
      </c>
      <c r="H251" s="324">
        <v>27885174</v>
      </c>
      <c r="M251" s="508"/>
    </row>
    <row r="252" spans="1:13" ht="15.75">
      <c r="A252" s="363"/>
      <c r="B252" s="361" t="s">
        <v>379</v>
      </c>
      <c r="C252" s="362"/>
      <c r="F252" s="324">
        <f t="shared" si="10"/>
        <v>28</v>
      </c>
      <c r="G252" s="324">
        <v>0</v>
      </c>
      <c r="H252" s="324">
        <v>27688</v>
      </c>
      <c r="M252" s="511"/>
    </row>
    <row r="253" spans="1:13" ht="15.75">
      <c r="A253" s="356"/>
      <c r="B253" s="358" t="s">
        <v>413</v>
      </c>
      <c r="C253" s="357"/>
      <c r="F253" s="324">
        <f t="shared" si="10"/>
        <v>45258</v>
      </c>
      <c r="G253" s="324">
        <v>0</v>
      </c>
      <c r="H253" s="324">
        <v>45257776</v>
      </c>
      <c r="M253" s="508"/>
    </row>
    <row r="254" spans="1:13" ht="15.75">
      <c r="A254" s="363" t="s">
        <v>726</v>
      </c>
      <c r="B254" s="635" t="s">
        <v>584</v>
      </c>
      <c r="C254" s="362"/>
      <c r="F254" s="324">
        <f>ROUND(H254/1000,0)</f>
        <v>0</v>
      </c>
      <c r="G254" s="324">
        <v>0</v>
      </c>
      <c r="M254" s="511"/>
    </row>
    <row r="255" spans="1:13" ht="15.75">
      <c r="A255" s="356"/>
      <c r="B255" s="358" t="s">
        <v>414</v>
      </c>
      <c r="C255" s="357"/>
      <c r="F255" s="324">
        <f t="shared" si="10"/>
        <v>73171</v>
      </c>
      <c r="G255" s="324">
        <v>0</v>
      </c>
      <c r="H255" s="324">
        <v>73170638</v>
      </c>
      <c r="M255" s="508"/>
    </row>
    <row r="256" spans="1:13" ht="15.75">
      <c r="A256" s="356"/>
      <c r="B256" s="358"/>
      <c r="C256" s="357"/>
      <c r="F256" s="324">
        <f t="shared" si="10"/>
        <v>0</v>
      </c>
      <c r="G256" s="324">
        <v>0</v>
      </c>
      <c r="M256" s="508"/>
    </row>
    <row r="257" spans="1:13" ht="15.75">
      <c r="A257" s="356"/>
      <c r="B257" s="358" t="s">
        <v>415</v>
      </c>
      <c r="C257" s="357"/>
      <c r="F257" s="324">
        <f t="shared" si="10"/>
        <v>94591</v>
      </c>
      <c r="G257" s="324">
        <v>0</v>
      </c>
      <c r="H257" s="324">
        <v>94590610</v>
      </c>
      <c r="M257" s="508"/>
    </row>
    <row r="258" spans="1:13" ht="15.75">
      <c r="A258" s="356"/>
      <c r="B258" s="357"/>
      <c r="C258" s="357"/>
      <c r="F258" s="324">
        <f t="shared" si="10"/>
        <v>0</v>
      </c>
      <c r="G258" s="324">
        <v>0</v>
      </c>
      <c r="M258" s="512"/>
    </row>
    <row r="259" spans="1:13" ht="15.75">
      <c r="A259" s="356"/>
      <c r="B259" s="358" t="s">
        <v>416</v>
      </c>
      <c r="C259" s="357"/>
      <c r="F259" s="324">
        <f t="shared" si="10"/>
        <v>0</v>
      </c>
      <c r="G259" s="324">
        <v>0</v>
      </c>
      <c r="M259" s="508"/>
    </row>
    <row r="260" spans="1:13" ht="15.75">
      <c r="A260" s="359">
        <v>901000</v>
      </c>
      <c r="B260" s="358" t="s">
        <v>417</v>
      </c>
      <c r="C260" s="357"/>
      <c r="F260" s="324">
        <f t="shared" si="10"/>
        <v>222</v>
      </c>
      <c r="G260" s="324">
        <v>0</v>
      </c>
      <c r="H260" s="324">
        <v>222445</v>
      </c>
      <c r="M260" s="508"/>
    </row>
    <row r="261" spans="1:13" ht="15.75">
      <c r="A261" s="359">
        <v>902000</v>
      </c>
      <c r="B261" s="358" t="s">
        <v>418</v>
      </c>
      <c r="C261" s="357"/>
      <c r="F261" s="324">
        <f t="shared" si="10"/>
        <v>2945</v>
      </c>
      <c r="G261" s="324">
        <v>0</v>
      </c>
      <c r="H261" s="324">
        <v>2944552</v>
      </c>
      <c r="M261" s="508"/>
    </row>
    <row r="262" spans="1:13" ht="15.75">
      <c r="A262" s="359" t="s">
        <v>419</v>
      </c>
      <c r="B262" s="358" t="s">
        <v>420</v>
      </c>
      <c r="C262" s="357"/>
      <c r="F262" s="324">
        <f t="shared" si="10"/>
        <v>6323</v>
      </c>
      <c r="G262" s="324">
        <v>0</v>
      </c>
      <c r="H262" s="324">
        <v>6323457</v>
      </c>
      <c r="M262" s="508"/>
    </row>
    <row r="263" spans="1:13" ht="15.75">
      <c r="A263" s="359">
        <v>904000</v>
      </c>
      <c r="B263" s="358" t="s">
        <v>421</v>
      </c>
      <c r="C263" s="357"/>
      <c r="F263" s="324">
        <f t="shared" si="10"/>
        <v>2082</v>
      </c>
      <c r="G263" s="324">
        <v>0</v>
      </c>
      <c r="H263" s="324">
        <v>2081575</v>
      </c>
      <c r="M263" s="508"/>
    </row>
    <row r="264" spans="1:13" ht="15.75">
      <c r="A264" s="359">
        <v>905000</v>
      </c>
      <c r="B264" s="358" t="s">
        <v>422</v>
      </c>
      <c r="C264" s="357"/>
      <c r="F264" s="324">
        <f t="shared" si="10"/>
        <v>161</v>
      </c>
      <c r="G264" s="324">
        <v>0</v>
      </c>
      <c r="H264" s="324">
        <v>160937</v>
      </c>
      <c r="M264" s="508"/>
    </row>
    <row r="265" spans="1:13" ht="15.75">
      <c r="A265" s="356"/>
      <c r="B265" s="358" t="s">
        <v>423</v>
      </c>
      <c r="C265" s="357"/>
      <c r="F265" s="324">
        <f t="shared" si="10"/>
        <v>11733</v>
      </c>
      <c r="G265" s="324">
        <v>0</v>
      </c>
      <c r="H265" s="324">
        <v>11732966</v>
      </c>
      <c r="M265" s="508"/>
    </row>
    <row r="266" spans="1:13" ht="15.75">
      <c r="A266" s="356"/>
      <c r="B266" s="358"/>
      <c r="C266" s="357"/>
      <c r="F266" s="324">
        <f t="shared" si="10"/>
        <v>0</v>
      </c>
      <c r="G266" s="324">
        <v>0</v>
      </c>
      <c r="M266" s="508"/>
    </row>
    <row r="267" spans="1:13" ht="15.75">
      <c r="A267" s="356"/>
      <c r="B267" s="358" t="s">
        <v>424</v>
      </c>
      <c r="C267" s="357"/>
      <c r="F267" s="324">
        <f t="shared" si="10"/>
        <v>0</v>
      </c>
      <c r="G267" s="324">
        <v>0</v>
      </c>
      <c r="M267" s="508"/>
    </row>
    <row r="268" spans="1:13" ht="15.75">
      <c r="A268" s="356" t="s">
        <v>425</v>
      </c>
      <c r="B268" s="358" t="s">
        <v>426</v>
      </c>
      <c r="C268" s="357"/>
      <c r="F268" s="324">
        <f t="shared" si="10"/>
        <v>17284</v>
      </c>
      <c r="G268" s="324">
        <v>0</v>
      </c>
      <c r="H268" s="324">
        <v>17283990</v>
      </c>
      <c r="M268" s="508"/>
    </row>
    <row r="269" spans="1:13" ht="15.75">
      <c r="A269" s="359">
        <v>909000</v>
      </c>
      <c r="B269" s="358" t="s">
        <v>427</v>
      </c>
      <c r="C269" s="357"/>
      <c r="F269" s="324">
        <f t="shared" si="10"/>
        <v>642</v>
      </c>
      <c r="G269" s="324">
        <v>0</v>
      </c>
      <c r="H269" s="324">
        <v>642235</v>
      </c>
      <c r="M269" s="508"/>
    </row>
    <row r="270" spans="1:13" ht="15.75">
      <c r="A270" s="359">
        <v>910000</v>
      </c>
      <c r="B270" s="358" t="s">
        <v>428</v>
      </c>
      <c r="C270" s="357"/>
      <c r="F270" s="324">
        <f t="shared" si="10"/>
        <v>155</v>
      </c>
      <c r="G270" s="324">
        <v>0</v>
      </c>
      <c r="H270" s="324">
        <v>155165</v>
      </c>
      <c r="M270" s="508"/>
    </row>
    <row r="271" spans="1:13" ht="15.75">
      <c r="A271" s="359"/>
      <c r="B271" s="358" t="s">
        <v>429</v>
      </c>
      <c r="C271" s="357"/>
      <c r="F271" s="324">
        <f t="shared" si="10"/>
        <v>18081</v>
      </c>
      <c r="G271" s="324">
        <v>0</v>
      </c>
      <c r="H271" s="324">
        <v>18081390</v>
      </c>
      <c r="M271" s="508"/>
    </row>
    <row r="272" spans="1:13" ht="15.75">
      <c r="A272" s="359"/>
      <c r="B272" s="358"/>
      <c r="C272" s="357"/>
      <c r="F272" s="324">
        <f t="shared" si="10"/>
        <v>0</v>
      </c>
      <c r="G272" s="324">
        <v>0</v>
      </c>
      <c r="M272" s="508"/>
    </row>
    <row r="273" spans="1:13" ht="15.75">
      <c r="A273" s="359"/>
      <c r="B273" s="358" t="s">
        <v>430</v>
      </c>
      <c r="C273" s="357"/>
      <c r="F273" s="324">
        <f t="shared" si="10"/>
        <v>0</v>
      </c>
      <c r="G273" s="324">
        <v>0</v>
      </c>
      <c r="M273" s="508"/>
    </row>
    <row r="274" spans="1:13" ht="15.75">
      <c r="A274" s="359">
        <v>912000</v>
      </c>
      <c r="B274" s="358" t="s">
        <v>431</v>
      </c>
      <c r="C274" s="357"/>
      <c r="F274" s="324">
        <f t="shared" si="10"/>
        <v>0</v>
      </c>
      <c r="G274" s="324">
        <v>0</v>
      </c>
      <c r="H274" s="324">
        <v>0</v>
      </c>
      <c r="M274" s="508"/>
    </row>
    <row r="275" spans="1:13" ht="15.75">
      <c r="A275" s="359">
        <v>913000</v>
      </c>
      <c r="B275" s="358" t="s">
        <v>427</v>
      </c>
      <c r="C275" s="357"/>
      <c r="F275" s="324">
        <f t="shared" si="10"/>
        <v>0</v>
      </c>
      <c r="G275" s="324">
        <v>0</v>
      </c>
      <c r="H275" s="324">
        <v>0</v>
      </c>
      <c r="M275" s="508"/>
    </row>
    <row r="276" spans="1:13" ht="15.75">
      <c r="A276" s="359">
        <v>916000</v>
      </c>
      <c r="B276" s="358" t="s">
        <v>432</v>
      </c>
      <c r="C276" s="357"/>
      <c r="F276" s="324">
        <f t="shared" si="10"/>
        <v>0</v>
      </c>
      <c r="G276" s="324">
        <v>0</v>
      </c>
      <c r="H276" s="324">
        <v>0</v>
      </c>
      <c r="M276" s="508"/>
    </row>
    <row r="277" spans="1:13" ht="15.75">
      <c r="A277" s="359"/>
      <c r="B277" s="358" t="s">
        <v>433</v>
      </c>
      <c r="C277" s="357"/>
      <c r="F277" s="324">
        <f t="shared" si="10"/>
        <v>0</v>
      </c>
      <c r="G277" s="324">
        <v>0</v>
      </c>
      <c r="H277" s="324">
        <v>0</v>
      </c>
      <c r="M277" s="508"/>
    </row>
    <row r="278" spans="1:13" ht="15.75">
      <c r="A278" s="359"/>
      <c r="B278" s="358"/>
      <c r="C278" s="357"/>
      <c r="F278" s="324">
        <f t="shared" si="10"/>
        <v>0</v>
      </c>
      <c r="G278" s="324">
        <v>0</v>
      </c>
      <c r="M278" s="508"/>
    </row>
    <row r="279" spans="1:13" ht="15.75">
      <c r="A279" s="359"/>
      <c r="B279" s="358" t="s">
        <v>434</v>
      </c>
      <c r="C279" s="357"/>
      <c r="F279" s="324">
        <f t="shared" si="10"/>
        <v>0</v>
      </c>
      <c r="G279" s="324">
        <v>0</v>
      </c>
      <c r="M279" s="508"/>
    </row>
    <row r="280" spans="1:13" ht="15.75">
      <c r="A280" s="359">
        <v>920000</v>
      </c>
      <c r="B280" s="358" t="s">
        <v>435</v>
      </c>
      <c r="C280" s="357"/>
      <c r="F280" s="324">
        <f t="shared" si="10"/>
        <v>22921</v>
      </c>
      <c r="G280" s="324">
        <v>0</v>
      </c>
      <c r="H280" s="324">
        <v>22921007</v>
      </c>
      <c r="M280" s="508"/>
    </row>
    <row r="281" spans="1:13" ht="15.75">
      <c r="A281" s="359">
        <v>921000</v>
      </c>
      <c r="B281" s="358" t="s">
        <v>436</v>
      </c>
      <c r="C281" s="357"/>
      <c r="F281" s="324">
        <f t="shared" si="10"/>
        <v>3031</v>
      </c>
      <c r="G281" s="324">
        <v>0</v>
      </c>
      <c r="H281" s="324">
        <v>3030624</v>
      </c>
      <c r="M281" s="508"/>
    </row>
    <row r="282" spans="1:13" ht="15.75">
      <c r="A282" s="359">
        <v>922000</v>
      </c>
      <c r="B282" s="358" t="s">
        <v>437</v>
      </c>
      <c r="C282" s="357"/>
      <c r="F282" s="324">
        <f t="shared" si="10"/>
        <v>-86</v>
      </c>
      <c r="G282" s="324">
        <v>0</v>
      </c>
      <c r="H282" s="324">
        <v>-85669</v>
      </c>
      <c r="M282" s="508"/>
    </row>
    <row r="283" spans="1:13" ht="15.75">
      <c r="A283" s="359">
        <v>923000</v>
      </c>
      <c r="B283" s="358" t="s">
        <v>438</v>
      </c>
      <c r="C283" s="357"/>
      <c r="F283" s="324">
        <f t="shared" si="10"/>
        <v>5222</v>
      </c>
      <c r="G283" s="324">
        <v>0</v>
      </c>
      <c r="H283" s="324">
        <v>5222270</v>
      </c>
      <c r="M283" s="508"/>
    </row>
    <row r="284" spans="1:13" ht="15.75">
      <c r="A284" s="359">
        <v>924000</v>
      </c>
      <c r="B284" s="358" t="s">
        <v>439</v>
      </c>
      <c r="C284" s="357"/>
      <c r="F284" s="324">
        <f t="shared" si="10"/>
        <v>871</v>
      </c>
      <c r="G284" s="324">
        <v>0</v>
      </c>
      <c r="H284" s="324">
        <v>870674</v>
      </c>
      <c r="M284" s="508"/>
    </row>
    <row r="285" spans="1:13" ht="15.75">
      <c r="A285" s="356" t="s">
        <v>440</v>
      </c>
      <c r="B285" s="358" t="s">
        <v>441</v>
      </c>
      <c r="C285" s="357"/>
      <c r="F285" s="324">
        <f t="shared" si="10"/>
        <v>2297</v>
      </c>
      <c r="G285" s="324">
        <v>0</v>
      </c>
      <c r="H285" s="324">
        <v>2296657</v>
      </c>
      <c r="M285" s="508"/>
    </row>
    <row r="286" spans="1:13" ht="15.75">
      <c r="A286" s="356" t="s">
        <v>442</v>
      </c>
      <c r="B286" s="358" t="s">
        <v>443</v>
      </c>
      <c r="C286" s="357"/>
      <c r="F286" s="324">
        <f t="shared" si="10"/>
        <v>914</v>
      </c>
      <c r="G286" s="324">
        <v>0</v>
      </c>
      <c r="H286" s="324">
        <v>914223</v>
      </c>
      <c r="M286" s="508"/>
    </row>
    <row r="287" spans="1:13" ht="15.75">
      <c r="A287" s="359">
        <v>927000</v>
      </c>
      <c r="B287" s="358" t="s">
        <v>444</v>
      </c>
      <c r="C287" s="357"/>
      <c r="F287" s="324">
        <f t="shared" si="10"/>
        <v>0</v>
      </c>
      <c r="G287" s="324">
        <v>0</v>
      </c>
      <c r="H287" s="324">
        <v>0</v>
      </c>
      <c r="M287" s="508"/>
    </row>
    <row r="288" spans="1:13" ht="15.75">
      <c r="A288" s="359">
        <v>928000</v>
      </c>
      <c r="B288" s="358" t="s">
        <v>445</v>
      </c>
      <c r="C288" s="357"/>
      <c r="F288" s="324">
        <f t="shared" si="10"/>
        <v>4298</v>
      </c>
      <c r="G288" s="324">
        <v>0</v>
      </c>
      <c r="H288" s="324">
        <v>4298283</v>
      </c>
      <c r="M288" s="508"/>
    </row>
    <row r="289" spans="1:18" ht="15.75">
      <c r="A289" s="359">
        <v>930000</v>
      </c>
      <c r="B289" s="358" t="s">
        <v>446</v>
      </c>
      <c r="C289" s="357"/>
      <c r="F289" s="324">
        <f t="shared" si="10"/>
        <v>2651</v>
      </c>
      <c r="G289" s="324">
        <v>0</v>
      </c>
      <c r="H289" s="324">
        <v>2651143</v>
      </c>
      <c r="M289" s="508"/>
    </row>
    <row r="290" spans="1:18" ht="15.75">
      <c r="A290" s="359">
        <v>931000</v>
      </c>
      <c r="B290" s="358" t="s">
        <v>447</v>
      </c>
      <c r="C290" s="357"/>
      <c r="F290" s="324">
        <f t="shared" si="10"/>
        <v>730</v>
      </c>
      <c r="G290" s="324">
        <v>0</v>
      </c>
      <c r="H290" s="324">
        <v>730224</v>
      </c>
      <c r="M290" s="508"/>
    </row>
    <row r="291" spans="1:18" ht="15.75">
      <c r="A291" s="359">
        <v>935000</v>
      </c>
      <c r="B291" s="358" t="s">
        <v>448</v>
      </c>
      <c r="C291" s="357"/>
      <c r="F291" s="324">
        <f t="shared" si="10"/>
        <v>7718</v>
      </c>
      <c r="G291" s="324">
        <v>0</v>
      </c>
      <c r="H291" s="324">
        <v>7718483</v>
      </c>
      <c r="M291" s="508"/>
      <c r="Q291" s="324">
        <v>10137303</v>
      </c>
    </row>
    <row r="292" spans="1:18" ht="15.75">
      <c r="A292" s="356"/>
      <c r="B292" s="358" t="s">
        <v>449</v>
      </c>
      <c r="C292" s="357"/>
      <c r="F292" s="324">
        <f t="shared" si="10"/>
        <v>50568</v>
      </c>
      <c r="G292" s="324">
        <v>0</v>
      </c>
      <c r="H292" s="324">
        <v>50567919</v>
      </c>
      <c r="M292" s="508"/>
      <c r="Q292" s="324">
        <v>192090</v>
      </c>
    </row>
    <row r="293" spans="1:18" ht="15.75">
      <c r="A293" s="356"/>
      <c r="B293" s="358"/>
      <c r="C293" s="357"/>
      <c r="F293" s="324">
        <f t="shared" si="10"/>
        <v>0</v>
      </c>
      <c r="G293" s="324">
        <v>0</v>
      </c>
      <c r="M293" s="508"/>
      <c r="Q293" s="324">
        <v>5865595</v>
      </c>
      <c r="R293" s="324" t="s">
        <v>725</v>
      </c>
    </row>
    <row r="294" spans="1:18" ht="15.75">
      <c r="A294" s="356"/>
      <c r="B294" s="358" t="s">
        <v>450</v>
      </c>
      <c r="C294" s="357"/>
      <c r="F294" s="324">
        <f t="shared" si="10"/>
        <v>12362</v>
      </c>
      <c r="G294" s="324">
        <v>0</v>
      </c>
      <c r="H294" s="324">
        <v>12361940</v>
      </c>
      <c r="M294" s="508"/>
      <c r="Q294" s="324">
        <v>20485</v>
      </c>
    </row>
    <row r="295" spans="1:18" ht="15.75">
      <c r="A295" s="356"/>
      <c r="B295" s="358" t="s">
        <v>451</v>
      </c>
      <c r="C295" s="357"/>
      <c r="F295" s="324">
        <f t="shared" si="10"/>
        <v>297</v>
      </c>
      <c r="G295" s="324">
        <v>0</v>
      </c>
      <c r="H295" s="324">
        <v>296647</v>
      </c>
      <c r="M295" s="508"/>
    </row>
    <row r="296" spans="1:18" ht="15.75">
      <c r="A296" s="356"/>
      <c r="B296" s="358" t="s">
        <v>452</v>
      </c>
      <c r="C296" s="357"/>
      <c r="F296" s="324">
        <f t="shared" ref="F296:F322" si="11">ROUND(H296/1000,0)</f>
        <v>11177</v>
      </c>
      <c r="G296" s="324">
        <v>0</v>
      </c>
      <c r="H296" s="324">
        <v>11176852</v>
      </c>
      <c r="M296" s="508"/>
    </row>
    <row r="297" spans="1:18" ht="15.75">
      <c r="A297" s="356"/>
      <c r="B297" s="358" t="s">
        <v>453</v>
      </c>
      <c r="C297" s="357"/>
      <c r="F297" s="324">
        <f t="shared" si="11"/>
        <v>41</v>
      </c>
      <c r="G297" s="324">
        <v>0</v>
      </c>
      <c r="H297" s="324">
        <v>41198</v>
      </c>
      <c r="M297" s="508"/>
      <c r="Q297" s="324">
        <f>SUM(Q291:Q296)</f>
        <v>16215473</v>
      </c>
    </row>
    <row r="298" spans="1:18" ht="15.75">
      <c r="A298" s="509">
        <v>407229</v>
      </c>
      <c r="B298" s="508" t="s">
        <v>701</v>
      </c>
      <c r="C298" s="357"/>
      <c r="F298" s="324">
        <f t="shared" si="11"/>
        <v>0</v>
      </c>
      <c r="G298" s="324">
        <v>0</v>
      </c>
      <c r="H298" s="324">
        <v>0</v>
      </c>
      <c r="M298" s="508"/>
    </row>
    <row r="299" spans="1:18" ht="15.75">
      <c r="A299" s="509">
        <v>407468</v>
      </c>
      <c r="B299" s="508" t="s">
        <v>708</v>
      </c>
      <c r="C299" s="357"/>
      <c r="F299" s="324">
        <f t="shared" ref="F299" si="12">ROUND(H299/1000,0)</f>
        <v>0</v>
      </c>
      <c r="G299" s="324">
        <v>1</v>
      </c>
      <c r="H299" s="324">
        <v>0</v>
      </c>
      <c r="M299" s="508"/>
    </row>
    <row r="300" spans="1:18" ht="15.75">
      <c r="A300" s="356"/>
      <c r="B300" s="358" t="s">
        <v>454</v>
      </c>
      <c r="C300" s="357"/>
      <c r="F300" s="324">
        <f t="shared" si="11"/>
        <v>23877</v>
      </c>
      <c r="G300" s="324">
        <v>0</v>
      </c>
      <c r="H300" s="324">
        <v>23876637</v>
      </c>
      <c r="M300" s="508"/>
    </row>
    <row r="301" spans="1:18" ht="15.75">
      <c r="A301" s="356"/>
      <c r="B301" s="358"/>
      <c r="C301" s="357"/>
      <c r="F301" s="324">
        <f t="shared" si="11"/>
        <v>0</v>
      </c>
      <c r="G301" s="324">
        <v>0</v>
      </c>
      <c r="M301" s="508"/>
    </row>
    <row r="302" spans="1:18" ht="15.75">
      <c r="A302" s="359"/>
      <c r="B302" s="358" t="s">
        <v>455</v>
      </c>
      <c r="C302" s="357"/>
      <c r="F302" s="324">
        <f t="shared" si="11"/>
        <v>74445</v>
      </c>
      <c r="G302" s="324">
        <v>0</v>
      </c>
      <c r="H302" s="324">
        <v>74444556</v>
      </c>
      <c r="M302" s="508"/>
    </row>
    <row r="303" spans="1:18" ht="15.75">
      <c r="A303" s="359"/>
      <c r="B303" s="358"/>
      <c r="C303" s="357"/>
      <c r="F303" s="324">
        <f t="shared" si="11"/>
        <v>0</v>
      </c>
      <c r="G303" s="324">
        <v>0</v>
      </c>
      <c r="M303" s="508"/>
    </row>
    <row r="304" spans="1:18" ht="15.75">
      <c r="A304" s="359"/>
      <c r="B304" s="358" t="s">
        <v>456</v>
      </c>
      <c r="C304" s="357"/>
      <c r="F304" s="324">
        <f t="shared" si="11"/>
        <v>526184</v>
      </c>
      <c r="G304" s="324">
        <v>0</v>
      </c>
      <c r="H304" s="324">
        <v>526184421</v>
      </c>
      <c r="M304" s="508"/>
    </row>
    <row r="305" spans="1:13" ht="15.75">
      <c r="A305" s="359"/>
      <c r="B305" s="358"/>
      <c r="C305" s="357"/>
      <c r="F305" s="324">
        <f t="shared" si="11"/>
        <v>0</v>
      </c>
      <c r="G305" s="324">
        <v>0</v>
      </c>
      <c r="M305" s="508"/>
    </row>
    <row r="306" spans="1:13" ht="15.75">
      <c r="A306" s="359"/>
      <c r="B306" s="358" t="s">
        <v>457</v>
      </c>
      <c r="C306" s="357"/>
      <c r="F306" s="324">
        <f t="shared" si="11"/>
        <v>150927</v>
      </c>
      <c r="G306" s="324">
        <v>0</v>
      </c>
      <c r="H306" s="324">
        <v>150927389</v>
      </c>
      <c r="M306" s="508"/>
    </row>
    <row r="307" spans="1:13" ht="15.75">
      <c r="A307" s="359"/>
      <c r="B307" s="358"/>
      <c r="C307" s="357"/>
      <c r="F307" s="324">
        <f t="shared" si="11"/>
        <v>0</v>
      </c>
      <c r="G307" s="324">
        <v>0</v>
      </c>
      <c r="M307" s="508"/>
    </row>
    <row r="308" spans="1:13" ht="15.75">
      <c r="A308" s="359"/>
      <c r="B308" s="358" t="s">
        <v>458</v>
      </c>
      <c r="C308" s="357"/>
      <c r="F308" s="324">
        <f t="shared" si="11"/>
        <v>-25741</v>
      </c>
      <c r="G308" s="324">
        <v>0</v>
      </c>
      <c r="H308" s="324">
        <v>-25741470</v>
      </c>
      <c r="M308" s="508"/>
    </row>
    <row r="309" spans="1:13" ht="15.75">
      <c r="A309" s="359"/>
      <c r="B309" s="358" t="s">
        <v>459</v>
      </c>
      <c r="C309" s="357"/>
      <c r="F309" s="324">
        <f t="shared" si="11"/>
        <v>66436</v>
      </c>
      <c r="G309" s="324">
        <v>0</v>
      </c>
      <c r="H309" s="324">
        <v>66436097</v>
      </c>
      <c r="M309" s="508"/>
    </row>
    <row r="310" spans="1:13" ht="15.75">
      <c r="A310" s="359"/>
      <c r="B310" s="358" t="s">
        <v>460</v>
      </c>
      <c r="C310" s="362"/>
      <c r="F310" s="324">
        <f t="shared" si="11"/>
        <v>-325</v>
      </c>
      <c r="G310" s="324">
        <v>0</v>
      </c>
      <c r="H310" s="324">
        <v>-324886</v>
      </c>
      <c r="M310" s="508"/>
    </row>
    <row r="311" spans="1:13" ht="15.75">
      <c r="A311" s="356"/>
      <c r="B311" s="358" t="s">
        <v>461</v>
      </c>
      <c r="C311" s="357"/>
      <c r="F311" s="324">
        <f t="shared" si="11"/>
        <v>110558</v>
      </c>
      <c r="G311" s="324">
        <v>0</v>
      </c>
      <c r="H311" s="324">
        <v>110557648</v>
      </c>
      <c r="M311" s="508"/>
    </row>
    <row r="312" spans="1:13">
      <c r="F312" s="324">
        <f t="shared" si="11"/>
        <v>0</v>
      </c>
      <c r="G312" s="324">
        <v>0</v>
      </c>
    </row>
    <row r="313" spans="1:13" ht="15.75">
      <c r="A313" s="365"/>
      <c r="B313" s="358" t="s">
        <v>67</v>
      </c>
      <c r="F313" s="324">
        <f t="shared" si="11"/>
        <v>0</v>
      </c>
      <c r="G313" s="324">
        <v>0</v>
      </c>
      <c r="M313" s="508"/>
    </row>
    <row r="314" spans="1:13" ht="15.75">
      <c r="A314" s="365"/>
      <c r="B314" s="358" t="s">
        <v>462</v>
      </c>
      <c r="F314" s="324">
        <f t="shared" si="11"/>
        <v>0</v>
      </c>
      <c r="G314" s="324">
        <v>0</v>
      </c>
      <c r="M314" s="508"/>
    </row>
    <row r="315" spans="1:13" ht="15.75">
      <c r="A315" s="366">
        <v>182324</v>
      </c>
      <c r="B315" s="361" t="s">
        <v>663</v>
      </c>
      <c r="F315" s="324">
        <f t="shared" si="11"/>
        <v>5686</v>
      </c>
      <c r="G315" s="324">
        <v>0</v>
      </c>
      <c r="H315" s="324">
        <v>5685645</v>
      </c>
      <c r="M315" s="511"/>
    </row>
    <row r="316" spans="1:13" ht="15.75">
      <c r="A316" s="366">
        <v>182325</v>
      </c>
      <c r="B316" s="361" t="s">
        <v>664</v>
      </c>
      <c r="F316" s="324">
        <f t="shared" si="11"/>
        <v>1315</v>
      </c>
      <c r="G316" s="324">
        <v>0</v>
      </c>
      <c r="H316" s="324">
        <v>1314600</v>
      </c>
      <c r="M316" s="511"/>
    </row>
    <row r="317" spans="1:13" ht="15.75">
      <c r="A317" s="366">
        <v>182333</v>
      </c>
      <c r="B317" s="361" t="s">
        <v>665</v>
      </c>
      <c r="F317" s="324">
        <f t="shared" ref="F317:F318" si="13">ROUND(H317/1000,0)</f>
        <v>807</v>
      </c>
      <c r="G317" s="324">
        <v>0</v>
      </c>
      <c r="H317" s="324">
        <v>807389</v>
      </c>
      <c r="M317" s="511"/>
    </row>
    <row r="318" spans="1:13" ht="15.75">
      <c r="A318" s="366">
        <v>182381</v>
      </c>
      <c r="B318" s="361" t="s">
        <v>666</v>
      </c>
      <c r="F318" s="324">
        <f t="shared" si="13"/>
        <v>21816</v>
      </c>
      <c r="G318" s="324">
        <v>0</v>
      </c>
      <c r="H318" s="324">
        <v>21815819</v>
      </c>
      <c r="M318" s="511"/>
    </row>
    <row r="319" spans="1:13" ht="15.75">
      <c r="A319" s="367">
        <v>302000</v>
      </c>
      <c r="B319" s="358" t="s">
        <v>463</v>
      </c>
      <c r="F319" s="324">
        <f t="shared" si="11"/>
        <v>29556</v>
      </c>
      <c r="G319" s="324">
        <v>0</v>
      </c>
      <c r="H319" s="324">
        <v>29556255</v>
      </c>
      <c r="M319" s="508"/>
    </row>
    <row r="320" spans="1:13" ht="15.75">
      <c r="A320" s="367">
        <v>303000</v>
      </c>
      <c r="B320" s="361" t="s">
        <v>464</v>
      </c>
      <c r="F320" s="324">
        <f t="shared" si="11"/>
        <v>11440</v>
      </c>
      <c r="G320" s="324">
        <v>0</v>
      </c>
      <c r="H320" s="324">
        <v>11439631</v>
      </c>
      <c r="M320" s="511"/>
    </row>
    <row r="321" spans="1:13" ht="15.75">
      <c r="A321" s="367">
        <v>303100</v>
      </c>
      <c r="B321" s="358" t="s">
        <v>465</v>
      </c>
      <c r="F321" s="324">
        <f t="shared" si="11"/>
        <v>36026</v>
      </c>
      <c r="G321" s="324">
        <v>0</v>
      </c>
      <c r="H321" s="324">
        <v>36026426</v>
      </c>
      <c r="M321" s="508"/>
    </row>
    <row r="322" spans="1:13" ht="15.75">
      <c r="A322" s="367">
        <v>303110</v>
      </c>
      <c r="B322" s="358" t="s">
        <v>466</v>
      </c>
      <c r="F322" s="324">
        <f t="shared" si="11"/>
        <v>2941</v>
      </c>
      <c r="G322" s="324">
        <v>0</v>
      </c>
      <c r="H322" s="324">
        <v>2940873</v>
      </c>
      <c r="M322" s="508"/>
    </row>
    <row r="323" spans="1:13" ht="15.75">
      <c r="A323" s="513">
        <v>303115</v>
      </c>
      <c r="B323" s="508" t="s">
        <v>709</v>
      </c>
      <c r="F323" s="324">
        <f t="shared" ref="F323" si="14">ROUND(H323/1000,0)</f>
        <v>46471</v>
      </c>
      <c r="G323" s="324">
        <v>1</v>
      </c>
      <c r="H323" s="324">
        <v>46470587</v>
      </c>
      <c r="M323" s="508"/>
    </row>
    <row r="324" spans="1:13" ht="15.75">
      <c r="A324" s="368"/>
      <c r="B324" s="358" t="s">
        <v>467</v>
      </c>
      <c r="F324" s="324">
        <f t="shared" ref="F324:F349" si="15">ROUND(H324/1000,0)</f>
        <v>156057</v>
      </c>
      <c r="G324" s="324">
        <v>0</v>
      </c>
      <c r="H324" s="324">
        <v>156057225</v>
      </c>
      <c r="M324" s="508"/>
    </row>
    <row r="325" spans="1:13" ht="15.75">
      <c r="A325" s="365"/>
      <c r="B325" s="358"/>
      <c r="F325" s="324">
        <f t="shared" si="15"/>
        <v>0</v>
      </c>
      <c r="G325" s="324">
        <v>0</v>
      </c>
      <c r="M325" s="508"/>
    </row>
    <row r="326" spans="1:13" ht="15.75">
      <c r="A326" s="365"/>
      <c r="B326" s="358" t="s">
        <v>468</v>
      </c>
      <c r="F326" s="324">
        <f t="shared" si="15"/>
        <v>0</v>
      </c>
      <c r="G326" s="324">
        <v>0</v>
      </c>
      <c r="M326" s="508"/>
    </row>
    <row r="327" spans="1:13" ht="15.75">
      <c r="A327" s="367" t="s">
        <v>469</v>
      </c>
      <c r="B327" s="358" t="s">
        <v>470</v>
      </c>
      <c r="F327" s="324">
        <f t="shared" si="15"/>
        <v>2352</v>
      </c>
      <c r="G327" s="324">
        <v>0</v>
      </c>
      <c r="H327" s="324">
        <v>2351922</v>
      </c>
      <c r="M327" s="508"/>
    </row>
    <row r="328" spans="1:13" ht="15.75">
      <c r="A328" s="367" t="s">
        <v>471</v>
      </c>
      <c r="B328" s="358" t="s">
        <v>472</v>
      </c>
      <c r="F328" s="324">
        <f t="shared" si="15"/>
        <v>86982</v>
      </c>
      <c r="G328" s="324">
        <v>0</v>
      </c>
      <c r="H328" s="324">
        <v>86981968</v>
      </c>
      <c r="M328" s="508"/>
    </row>
    <row r="329" spans="1:13" ht="15.75">
      <c r="A329" s="367">
        <v>312000</v>
      </c>
      <c r="B329" s="358" t="s">
        <v>341</v>
      </c>
      <c r="F329" s="324">
        <f t="shared" si="15"/>
        <v>115829</v>
      </c>
      <c r="G329" s="324">
        <v>0</v>
      </c>
      <c r="H329" s="324">
        <v>115829080</v>
      </c>
      <c r="M329" s="508"/>
    </row>
    <row r="330" spans="1:13" ht="15.75">
      <c r="A330" s="367">
        <v>313000</v>
      </c>
      <c r="B330" s="358" t="s">
        <v>473</v>
      </c>
      <c r="F330" s="324">
        <f t="shared" si="15"/>
        <v>4</v>
      </c>
      <c r="G330" s="324">
        <v>0</v>
      </c>
      <c r="H330" s="324">
        <v>4450</v>
      </c>
      <c r="M330" s="508"/>
    </row>
    <row r="331" spans="1:13" ht="15.75">
      <c r="A331" s="367">
        <v>314000</v>
      </c>
      <c r="B331" s="358" t="s">
        <v>474</v>
      </c>
      <c r="F331" s="324">
        <f t="shared" si="15"/>
        <v>36187</v>
      </c>
      <c r="G331" s="324">
        <v>0</v>
      </c>
      <c r="H331" s="324">
        <v>36187031</v>
      </c>
      <c r="M331" s="508"/>
    </row>
    <row r="332" spans="1:13" ht="15.75">
      <c r="A332" s="367">
        <v>315000</v>
      </c>
      <c r="B332" s="358" t="s">
        <v>475</v>
      </c>
      <c r="F332" s="324">
        <f t="shared" si="15"/>
        <v>17939</v>
      </c>
      <c r="G332" s="324">
        <v>0</v>
      </c>
      <c r="H332" s="324">
        <v>17939049</v>
      </c>
      <c r="M332" s="508"/>
    </row>
    <row r="333" spans="1:13" ht="15.75">
      <c r="A333" s="367">
        <v>316000</v>
      </c>
      <c r="B333" s="358" t="s">
        <v>476</v>
      </c>
      <c r="F333" s="324">
        <f t="shared" si="15"/>
        <v>11465</v>
      </c>
      <c r="G333" s="324">
        <v>0</v>
      </c>
      <c r="H333" s="324">
        <v>11465135</v>
      </c>
      <c r="M333" s="508"/>
    </row>
    <row r="334" spans="1:13" ht="15.75">
      <c r="A334" s="369"/>
      <c r="B334" s="358" t="s">
        <v>477</v>
      </c>
      <c r="F334" s="324">
        <f t="shared" si="15"/>
        <v>270759</v>
      </c>
      <c r="G334" s="324">
        <v>0</v>
      </c>
      <c r="H334" s="324">
        <v>270758635</v>
      </c>
      <c r="M334" s="508"/>
    </row>
    <row r="335" spans="1:13" ht="15.75">
      <c r="A335" s="370"/>
      <c r="B335" s="358"/>
      <c r="F335" s="324">
        <f t="shared" si="15"/>
        <v>0</v>
      </c>
      <c r="G335" s="324">
        <v>0</v>
      </c>
      <c r="M335" s="508"/>
    </row>
    <row r="336" spans="1:13" ht="15.75">
      <c r="A336" s="365"/>
      <c r="B336" s="358" t="s">
        <v>478</v>
      </c>
      <c r="F336" s="324">
        <f t="shared" si="15"/>
        <v>0</v>
      </c>
      <c r="G336" s="324">
        <v>0</v>
      </c>
      <c r="M336" s="508"/>
    </row>
    <row r="337" spans="1:13" ht="15.75">
      <c r="A337" s="367" t="s">
        <v>479</v>
      </c>
      <c r="B337" s="358" t="s">
        <v>470</v>
      </c>
      <c r="F337" s="324">
        <f t="shared" si="15"/>
        <v>39457</v>
      </c>
      <c r="G337" s="324">
        <v>0</v>
      </c>
      <c r="H337" s="324">
        <v>39456899</v>
      </c>
      <c r="M337" s="508"/>
    </row>
    <row r="338" spans="1:13" ht="15.75">
      <c r="A338" s="367" t="s">
        <v>480</v>
      </c>
      <c r="B338" s="358" t="s">
        <v>472</v>
      </c>
      <c r="F338" s="324">
        <f t="shared" si="15"/>
        <v>45405</v>
      </c>
      <c r="G338" s="324">
        <v>0</v>
      </c>
      <c r="H338" s="324">
        <v>45405487</v>
      </c>
      <c r="M338" s="508"/>
    </row>
    <row r="339" spans="1:13" ht="15.75">
      <c r="A339" s="367" t="s">
        <v>481</v>
      </c>
      <c r="B339" s="358" t="s">
        <v>350</v>
      </c>
      <c r="F339" s="324">
        <f t="shared" si="15"/>
        <v>107158</v>
      </c>
      <c r="G339" s="324">
        <v>0</v>
      </c>
      <c r="H339" s="324">
        <v>107158472</v>
      </c>
      <c r="M339" s="508"/>
    </row>
    <row r="340" spans="1:13" ht="15.75">
      <c r="A340" s="367">
        <v>333000</v>
      </c>
      <c r="B340" s="358" t="s">
        <v>482</v>
      </c>
      <c r="F340" s="324">
        <f t="shared" si="15"/>
        <v>132299</v>
      </c>
      <c r="G340" s="324">
        <v>0</v>
      </c>
      <c r="H340" s="324">
        <v>132299242</v>
      </c>
      <c r="M340" s="508"/>
    </row>
    <row r="341" spans="1:13" ht="15.75">
      <c r="A341" s="367">
        <v>334000</v>
      </c>
      <c r="B341" s="358" t="s">
        <v>475</v>
      </c>
      <c r="F341" s="324">
        <f t="shared" si="15"/>
        <v>32830</v>
      </c>
      <c r="G341" s="324">
        <v>0</v>
      </c>
      <c r="H341" s="324">
        <v>32830286</v>
      </c>
      <c r="M341" s="508"/>
    </row>
    <row r="342" spans="1:13" ht="15.75">
      <c r="A342" s="367" t="s">
        <v>483</v>
      </c>
      <c r="B342" s="358" t="s">
        <v>476</v>
      </c>
      <c r="F342" s="324">
        <f t="shared" si="15"/>
        <v>7141</v>
      </c>
      <c r="G342" s="324">
        <v>0</v>
      </c>
      <c r="H342" s="324">
        <v>7141010</v>
      </c>
      <c r="M342" s="508"/>
    </row>
    <row r="343" spans="1:13" ht="15.75">
      <c r="A343" s="367">
        <v>336000</v>
      </c>
      <c r="B343" s="358" t="s">
        <v>484</v>
      </c>
      <c r="F343" s="324">
        <f t="shared" si="15"/>
        <v>1804</v>
      </c>
      <c r="G343" s="324">
        <v>0</v>
      </c>
      <c r="H343" s="324">
        <v>1803547</v>
      </c>
      <c r="M343" s="508"/>
    </row>
    <row r="344" spans="1:13" ht="15.75">
      <c r="A344" s="369"/>
      <c r="B344" s="358" t="s">
        <v>485</v>
      </c>
      <c r="F344" s="324">
        <f t="shared" si="15"/>
        <v>366095</v>
      </c>
      <c r="G344" s="324">
        <v>0</v>
      </c>
      <c r="H344" s="324">
        <v>366094943</v>
      </c>
      <c r="M344" s="508"/>
    </row>
    <row r="345" spans="1:13" ht="15.75">
      <c r="A345" s="370"/>
      <c r="B345" s="358"/>
      <c r="F345" s="324">
        <f t="shared" si="15"/>
        <v>0</v>
      </c>
      <c r="G345" s="324">
        <v>0</v>
      </c>
      <c r="M345" s="508"/>
    </row>
    <row r="346" spans="1:13" ht="15.75">
      <c r="A346" s="365"/>
      <c r="B346" s="358" t="s">
        <v>486</v>
      </c>
      <c r="F346" s="324">
        <f t="shared" si="15"/>
        <v>0</v>
      </c>
      <c r="G346" s="324">
        <v>0</v>
      </c>
      <c r="M346" s="508"/>
    </row>
    <row r="347" spans="1:13" ht="15.75">
      <c r="A347" s="367">
        <v>340200</v>
      </c>
      <c r="B347" s="358" t="s">
        <v>470</v>
      </c>
      <c r="F347" s="324">
        <f t="shared" si="15"/>
        <v>595</v>
      </c>
      <c r="G347" s="324">
        <v>0</v>
      </c>
      <c r="H347" s="324">
        <v>594967</v>
      </c>
      <c r="M347" s="508"/>
    </row>
    <row r="348" spans="1:13" ht="15.75">
      <c r="A348" s="367">
        <v>341000</v>
      </c>
      <c r="B348" s="358" t="s">
        <v>472</v>
      </c>
      <c r="F348" s="324">
        <f t="shared" si="15"/>
        <v>11079</v>
      </c>
      <c r="G348" s="324">
        <v>0</v>
      </c>
      <c r="H348" s="324">
        <v>11078979</v>
      </c>
      <c r="M348" s="508"/>
    </row>
    <row r="349" spans="1:13" ht="15.75">
      <c r="A349" s="367">
        <v>342000</v>
      </c>
      <c r="B349" s="358" t="s">
        <v>487</v>
      </c>
      <c r="F349" s="324">
        <f t="shared" si="15"/>
        <v>14041</v>
      </c>
      <c r="G349" s="324">
        <v>0</v>
      </c>
      <c r="H349" s="324">
        <v>14041200</v>
      </c>
      <c r="M349" s="508"/>
    </row>
    <row r="350" spans="1:13" ht="15.75">
      <c r="A350" s="367">
        <v>343000</v>
      </c>
      <c r="B350" s="358" t="s">
        <v>488</v>
      </c>
      <c r="F350" s="324">
        <f t="shared" ref="F350:F351" si="16">ROUND(H350/1000,0)</f>
        <v>15716</v>
      </c>
      <c r="G350" s="324">
        <v>0</v>
      </c>
      <c r="H350" s="324">
        <v>15715695</v>
      </c>
      <c r="M350" s="508"/>
    </row>
    <row r="351" spans="1:13" ht="15.75">
      <c r="A351" s="367">
        <v>344000</v>
      </c>
      <c r="B351" s="358" t="s">
        <v>473</v>
      </c>
      <c r="F351" s="324">
        <f t="shared" si="16"/>
        <v>139700</v>
      </c>
      <c r="G351" s="324">
        <v>0</v>
      </c>
      <c r="H351" s="324">
        <v>139700422</v>
      </c>
      <c r="M351" s="508"/>
    </row>
    <row r="352" spans="1:13" ht="15.75">
      <c r="A352" s="367">
        <v>344010</v>
      </c>
      <c r="B352" s="358" t="s">
        <v>667</v>
      </c>
      <c r="F352" s="324">
        <f t="shared" ref="F352:F370" si="17">ROUND(H352/1000,0)</f>
        <v>98</v>
      </c>
      <c r="G352" s="324">
        <v>0</v>
      </c>
      <c r="H352" s="324">
        <v>98378</v>
      </c>
      <c r="M352" s="508"/>
    </row>
    <row r="353" spans="1:16384" ht="15.75">
      <c r="A353" s="367">
        <v>345000</v>
      </c>
      <c r="B353" s="358" t="s">
        <v>475</v>
      </c>
      <c r="F353" s="324">
        <f t="shared" si="17"/>
        <v>13551</v>
      </c>
      <c r="G353" s="324">
        <v>0</v>
      </c>
      <c r="H353" s="324">
        <v>13550640</v>
      </c>
      <c r="M353" s="508"/>
    </row>
    <row r="354" spans="1:16384" ht="15.75">
      <c r="A354" s="367">
        <v>345010</v>
      </c>
      <c r="B354" s="358" t="s">
        <v>668</v>
      </c>
      <c r="F354" s="324">
        <f t="shared" si="17"/>
        <v>22</v>
      </c>
      <c r="G354" s="324">
        <v>0</v>
      </c>
      <c r="H354" s="324">
        <v>21829</v>
      </c>
      <c r="I354" s="513"/>
      <c r="J354" s="508"/>
      <c r="K354" s="513"/>
      <c r="M354" s="508"/>
      <c r="Q354" s="513"/>
      <c r="R354" s="508"/>
      <c r="S354" s="513"/>
      <c r="T354" s="508"/>
      <c r="U354" s="513"/>
      <c r="V354" s="508"/>
      <c r="W354" s="513"/>
      <c r="X354" s="508"/>
      <c r="Y354" s="513"/>
      <c r="Z354" s="508"/>
      <c r="AA354" s="513"/>
      <c r="AB354" s="508"/>
      <c r="AC354" s="513"/>
      <c r="AD354" s="508"/>
      <c r="AE354" s="513"/>
      <c r="AF354" s="508"/>
      <c r="AG354" s="513"/>
      <c r="AH354" s="508"/>
      <c r="AI354" s="513"/>
      <c r="AJ354" s="508"/>
      <c r="AK354" s="513"/>
      <c r="AL354" s="508"/>
      <c r="AM354" s="513"/>
      <c r="AN354" s="508"/>
      <c r="AO354" s="513"/>
      <c r="AP354" s="508"/>
      <c r="AQ354" s="513"/>
      <c r="AR354" s="508"/>
      <c r="AS354" s="513"/>
      <c r="AT354" s="508"/>
      <c r="AU354" s="513"/>
      <c r="AV354" s="508"/>
      <c r="AW354" s="513"/>
      <c r="AX354" s="508"/>
      <c r="AY354" s="513"/>
      <c r="AZ354" s="508"/>
      <c r="BA354" s="513"/>
      <c r="BB354" s="508"/>
      <c r="BC354" s="513"/>
      <c r="BD354" s="508"/>
      <c r="BE354" s="513"/>
      <c r="BF354" s="508"/>
      <c r="BG354" s="513"/>
      <c r="BH354" s="508"/>
      <c r="BI354" s="513"/>
      <c r="BJ354" s="508"/>
      <c r="BK354" s="513"/>
      <c r="BL354" s="508"/>
      <c r="BM354" s="513"/>
      <c r="BN354" s="508"/>
      <c r="BO354" s="513"/>
      <c r="BP354" s="508"/>
      <c r="BQ354" s="513"/>
      <c r="BR354" s="508"/>
      <c r="BS354" s="513"/>
      <c r="BT354" s="508"/>
      <c r="BU354" s="513"/>
      <c r="BV354" s="508"/>
      <c r="BW354" s="513"/>
      <c r="BX354" s="508"/>
      <c r="BY354" s="513"/>
      <c r="BZ354" s="508"/>
      <c r="CA354" s="513"/>
      <c r="CB354" s="508"/>
      <c r="CC354" s="513"/>
      <c r="CD354" s="508"/>
      <c r="CE354" s="513"/>
      <c r="CF354" s="508"/>
      <c r="CG354" s="513"/>
      <c r="CH354" s="508"/>
      <c r="CI354" s="513"/>
      <c r="CJ354" s="508"/>
      <c r="CK354" s="513"/>
      <c r="CL354" s="508"/>
      <c r="CM354" s="513"/>
      <c r="CN354" s="508"/>
      <c r="CO354" s="513"/>
      <c r="CP354" s="508"/>
      <c r="CQ354" s="513"/>
      <c r="CR354" s="508"/>
      <c r="CS354" s="513"/>
      <c r="CT354" s="508"/>
      <c r="CU354" s="513"/>
      <c r="CV354" s="508"/>
      <c r="CW354" s="513"/>
      <c r="CX354" s="508"/>
      <c r="CY354" s="513"/>
      <c r="CZ354" s="508"/>
      <c r="DA354" s="513"/>
      <c r="DB354" s="508"/>
      <c r="DC354" s="513"/>
      <c r="DD354" s="508"/>
      <c r="DE354" s="513"/>
      <c r="DF354" s="508"/>
      <c r="DG354" s="513"/>
      <c r="DH354" s="508"/>
      <c r="DI354" s="513"/>
      <c r="DJ354" s="508"/>
      <c r="DK354" s="513"/>
      <c r="DL354" s="508"/>
      <c r="DM354" s="513"/>
      <c r="DN354" s="508"/>
      <c r="DO354" s="513"/>
      <c r="DP354" s="508"/>
      <c r="DQ354" s="513"/>
      <c r="DR354" s="508"/>
      <c r="DS354" s="513"/>
      <c r="DT354" s="508"/>
      <c r="DU354" s="513"/>
      <c r="DV354" s="508"/>
      <c r="DW354" s="513"/>
      <c r="DX354" s="508"/>
      <c r="DY354" s="513"/>
      <c r="DZ354" s="508"/>
      <c r="EA354" s="513"/>
      <c r="EB354" s="508"/>
      <c r="EC354" s="513"/>
      <c r="ED354" s="508"/>
      <c r="EE354" s="513"/>
      <c r="EF354" s="508"/>
      <c r="EG354" s="513"/>
      <c r="EH354" s="508"/>
      <c r="EI354" s="513"/>
      <c r="EJ354" s="508"/>
      <c r="EK354" s="513"/>
      <c r="EL354" s="508"/>
      <c r="EM354" s="513"/>
      <c r="EN354" s="508"/>
      <c r="EO354" s="513"/>
      <c r="EP354" s="508"/>
      <c r="EQ354" s="513"/>
      <c r="ER354" s="508"/>
      <c r="ES354" s="513"/>
      <c r="ET354" s="508"/>
      <c r="EU354" s="513"/>
      <c r="EV354" s="508"/>
      <c r="EW354" s="513"/>
      <c r="EX354" s="508"/>
      <c r="EY354" s="513"/>
      <c r="EZ354" s="508"/>
      <c r="FA354" s="513"/>
      <c r="FB354" s="508"/>
      <c r="FC354" s="513"/>
      <c r="FD354" s="508"/>
      <c r="FE354" s="513"/>
      <c r="FF354" s="508"/>
      <c r="FG354" s="513"/>
      <c r="FH354" s="508"/>
      <c r="FI354" s="513"/>
      <c r="FJ354" s="508"/>
      <c r="FK354" s="513"/>
      <c r="FL354" s="508"/>
      <c r="FM354" s="513"/>
      <c r="FN354" s="508"/>
      <c r="FO354" s="513"/>
      <c r="FP354" s="508"/>
      <c r="FQ354" s="513"/>
      <c r="FR354" s="508"/>
      <c r="FS354" s="513"/>
      <c r="FT354" s="508"/>
      <c r="FU354" s="513"/>
      <c r="FV354" s="508"/>
      <c r="FW354" s="513"/>
      <c r="FX354" s="508"/>
      <c r="FY354" s="513"/>
      <c r="FZ354" s="508"/>
      <c r="GA354" s="513"/>
      <c r="GB354" s="508"/>
      <c r="GC354" s="513"/>
      <c r="GD354" s="508"/>
      <c r="GE354" s="513"/>
      <c r="GF354" s="508"/>
      <c r="GG354" s="513"/>
      <c r="GH354" s="508"/>
      <c r="GI354" s="513"/>
      <c r="GJ354" s="508"/>
      <c r="GK354" s="513"/>
      <c r="GL354" s="508"/>
      <c r="GM354" s="513"/>
      <c r="GN354" s="508"/>
      <c r="GO354" s="513"/>
      <c r="GP354" s="508"/>
      <c r="GQ354" s="513"/>
      <c r="GR354" s="508"/>
      <c r="GS354" s="513"/>
      <c r="GT354" s="508"/>
      <c r="GU354" s="513"/>
      <c r="GV354" s="508"/>
      <c r="GW354" s="513"/>
      <c r="GX354" s="508"/>
      <c r="GY354" s="513"/>
      <c r="GZ354" s="508"/>
      <c r="HA354" s="513"/>
      <c r="HB354" s="508"/>
      <c r="HC354" s="513"/>
      <c r="HD354" s="508"/>
      <c r="HE354" s="513"/>
      <c r="HF354" s="508"/>
      <c r="HG354" s="513"/>
      <c r="HH354" s="508"/>
      <c r="HI354" s="513"/>
      <c r="HJ354" s="508"/>
      <c r="HK354" s="513"/>
      <c r="HL354" s="508"/>
      <c r="HM354" s="513"/>
      <c r="HN354" s="508"/>
      <c r="HO354" s="513"/>
      <c r="HP354" s="508"/>
      <c r="HQ354" s="513"/>
      <c r="HR354" s="508"/>
      <c r="HS354" s="513"/>
      <c r="HT354" s="508"/>
      <c r="HU354" s="513"/>
      <c r="HV354" s="508"/>
      <c r="HW354" s="513"/>
      <c r="HX354" s="508"/>
      <c r="HY354" s="513"/>
      <c r="HZ354" s="508"/>
      <c r="IA354" s="513"/>
      <c r="IB354" s="508"/>
      <c r="IC354" s="513"/>
      <c r="ID354" s="508"/>
      <c r="IE354" s="513"/>
      <c r="IF354" s="508"/>
      <c r="IG354" s="513"/>
      <c r="IH354" s="508"/>
      <c r="II354" s="513"/>
      <c r="IJ354" s="508"/>
      <c r="IK354" s="513"/>
      <c r="IL354" s="508"/>
      <c r="IM354" s="513"/>
      <c r="IN354" s="508"/>
      <c r="IO354" s="513"/>
      <c r="IP354" s="508"/>
      <c r="IQ354" s="513"/>
      <c r="IR354" s="508"/>
      <c r="IS354" s="513"/>
      <c r="IT354" s="508"/>
      <c r="IU354" s="513"/>
      <c r="IV354" s="508"/>
      <c r="IW354" s="513"/>
      <c r="IX354" s="508"/>
      <c r="IY354" s="513"/>
      <c r="IZ354" s="508"/>
      <c r="JA354" s="513"/>
      <c r="JB354" s="508"/>
      <c r="JC354" s="513"/>
      <c r="JD354" s="508"/>
      <c r="JE354" s="513"/>
      <c r="JF354" s="508"/>
      <c r="JG354" s="513"/>
      <c r="JH354" s="508"/>
      <c r="JI354" s="513"/>
      <c r="JJ354" s="508"/>
      <c r="JK354" s="513"/>
      <c r="JL354" s="508"/>
      <c r="JM354" s="513"/>
      <c r="JN354" s="508"/>
      <c r="JO354" s="513"/>
      <c r="JP354" s="508"/>
      <c r="JQ354" s="513"/>
      <c r="JR354" s="508"/>
      <c r="JS354" s="513"/>
      <c r="JT354" s="508"/>
      <c r="JU354" s="513"/>
      <c r="JV354" s="508"/>
      <c r="JW354" s="513"/>
      <c r="JX354" s="508"/>
      <c r="JY354" s="513"/>
      <c r="JZ354" s="508"/>
      <c r="KA354" s="513"/>
      <c r="KB354" s="508"/>
      <c r="KC354" s="513"/>
      <c r="KD354" s="508"/>
      <c r="KE354" s="513"/>
      <c r="KF354" s="508"/>
      <c r="KG354" s="513"/>
      <c r="KH354" s="508"/>
      <c r="KI354" s="513"/>
      <c r="KJ354" s="508"/>
      <c r="KK354" s="513"/>
      <c r="KL354" s="508"/>
      <c r="KM354" s="513"/>
      <c r="KN354" s="508"/>
      <c r="KO354" s="513"/>
      <c r="KP354" s="508"/>
      <c r="KQ354" s="513"/>
      <c r="KR354" s="508"/>
      <c r="KS354" s="513"/>
      <c r="KT354" s="508"/>
      <c r="KU354" s="513"/>
      <c r="KV354" s="508"/>
      <c r="KW354" s="513"/>
      <c r="KX354" s="508"/>
      <c r="KY354" s="513"/>
      <c r="KZ354" s="508"/>
      <c r="LA354" s="513"/>
      <c r="LB354" s="508"/>
      <c r="LC354" s="513"/>
      <c r="LD354" s="508"/>
      <c r="LE354" s="513"/>
      <c r="LF354" s="508"/>
      <c r="LG354" s="513"/>
      <c r="LH354" s="508"/>
      <c r="LI354" s="513"/>
      <c r="LJ354" s="508"/>
      <c r="LK354" s="513"/>
      <c r="LL354" s="508"/>
      <c r="LM354" s="513"/>
      <c r="LN354" s="508"/>
      <c r="LO354" s="513"/>
      <c r="LP354" s="508"/>
      <c r="LQ354" s="513"/>
      <c r="LR354" s="508"/>
      <c r="LS354" s="513"/>
      <c r="LT354" s="508"/>
      <c r="LU354" s="513"/>
      <c r="LV354" s="508"/>
      <c r="LW354" s="513"/>
      <c r="LX354" s="508"/>
      <c r="LY354" s="513"/>
      <c r="LZ354" s="508"/>
      <c r="MA354" s="513"/>
      <c r="MB354" s="508"/>
      <c r="MC354" s="513"/>
      <c r="MD354" s="508"/>
      <c r="ME354" s="513"/>
      <c r="MF354" s="508"/>
      <c r="MG354" s="513"/>
      <c r="MH354" s="508"/>
      <c r="MI354" s="513"/>
      <c r="MJ354" s="508"/>
      <c r="MK354" s="513"/>
      <c r="ML354" s="508"/>
      <c r="MM354" s="513"/>
      <c r="MN354" s="508"/>
      <c r="MO354" s="513"/>
      <c r="MP354" s="508"/>
      <c r="MQ354" s="513"/>
      <c r="MR354" s="508"/>
      <c r="MS354" s="513"/>
      <c r="MT354" s="508"/>
      <c r="MU354" s="513"/>
      <c r="MV354" s="508"/>
      <c r="MW354" s="513"/>
      <c r="MX354" s="508"/>
      <c r="MY354" s="513"/>
      <c r="MZ354" s="508"/>
      <c r="NA354" s="513"/>
      <c r="NB354" s="508"/>
      <c r="NC354" s="513"/>
      <c r="ND354" s="508"/>
      <c r="NE354" s="513"/>
      <c r="NF354" s="508"/>
      <c r="NG354" s="513"/>
      <c r="NH354" s="508"/>
      <c r="NI354" s="513"/>
      <c r="NJ354" s="508"/>
      <c r="NK354" s="513"/>
      <c r="NL354" s="508"/>
      <c r="NM354" s="513"/>
      <c r="NN354" s="508"/>
      <c r="NO354" s="513"/>
      <c r="NP354" s="508"/>
      <c r="NQ354" s="513"/>
      <c r="NR354" s="508"/>
      <c r="NS354" s="513"/>
      <c r="NT354" s="508"/>
      <c r="NU354" s="513"/>
      <c r="NV354" s="508"/>
      <c r="NW354" s="513"/>
      <c r="NX354" s="508"/>
      <c r="NY354" s="513"/>
      <c r="NZ354" s="508"/>
      <c r="OA354" s="513"/>
      <c r="OB354" s="508"/>
      <c r="OC354" s="513"/>
      <c r="OD354" s="508"/>
      <c r="OE354" s="513"/>
      <c r="OF354" s="508"/>
      <c r="OG354" s="513"/>
      <c r="OH354" s="508"/>
      <c r="OI354" s="513"/>
      <c r="OJ354" s="508"/>
      <c r="OK354" s="513"/>
      <c r="OL354" s="508"/>
      <c r="OM354" s="513"/>
      <c r="ON354" s="508"/>
      <c r="OO354" s="513"/>
      <c r="OP354" s="508"/>
      <c r="OQ354" s="513"/>
      <c r="OR354" s="508"/>
      <c r="OS354" s="513"/>
      <c r="OT354" s="508"/>
      <c r="OU354" s="513"/>
      <c r="OV354" s="508"/>
      <c r="OW354" s="513"/>
      <c r="OX354" s="508"/>
      <c r="OY354" s="513"/>
      <c r="OZ354" s="508"/>
      <c r="PA354" s="513"/>
      <c r="PB354" s="508"/>
      <c r="PC354" s="513"/>
      <c r="PD354" s="508"/>
      <c r="PE354" s="513"/>
      <c r="PF354" s="508"/>
      <c r="PG354" s="513"/>
      <c r="PH354" s="508"/>
      <c r="PI354" s="513"/>
      <c r="PJ354" s="508"/>
      <c r="PK354" s="513"/>
      <c r="PL354" s="508"/>
      <c r="PM354" s="513"/>
      <c r="PN354" s="508"/>
      <c r="PO354" s="513"/>
      <c r="PP354" s="508"/>
      <c r="PQ354" s="513"/>
      <c r="PR354" s="508"/>
      <c r="PS354" s="513"/>
      <c r="PT354" s="508"/>
      <c r="PU354" s="513"/>
      <c r="PV354" s="508"/>
      <c r="PW354" s="513"/>
      <c r="PX354" s="508"/>
      <c r="PY354" s="513"/>
      <c r="PZ354" s="508"/>
      <c r="QA354" s="513"/>
      <c r="QB354" s="508"/>
      <c r="QC354" s="513"/>
      <c r="QD354" s="508"/>
      <c r="QE354" s="513"/>
      <c r="QF354" s="508"/>
      <c r="QG354" s="513"/>
      <c r="QH354" s="508"/>
      <c r="QI354" s="513"/>
      <c r="QJ354" s="508"/>
      <c r="QK354" s="513"/>
      <c r="QL354" s="508"/>
      <c r="QM354" s="513"/>
      <c r="QN354" s="508"/>
      <c r="QO354" s="513"/>
      <c r="QP354" s="508"/>
      <c r="QQ354" s="513"/>
      <c r="QR354" s="508"/>
      <c r="QS354" s="513"/>
      <c r="QT354" s="508"/>
      <c r="QU354" s="513"/>
      <c r="QV354" s="508"/>
      <c r="QW354" s="513"/>
      <c r="QX354" s="508"/>
      <c r="QY354" s="513"/>
      <c r="QZ354" s="508"/>
      <c r="RA354" s="513"/>
      <c r="RB354" s="508"/>
      <c r="RC354" s="513"/>
      <c r="RD354" s="508"/>
      <c r="RE354" s="513"/>
      <c r="RF354" s="508"/>
      <c r="RG354" s="513"/>
      <c r="RH354" s="508"/>
      <c r="RI354" s="513"/>
      <c r="RJ354" s="508"/>
      <c r="RK354" s="513"/>
      <c r="RL354" s="508"/>
      <c r="RM354" s="513"/>
      <c r="RN354" s="508"/>
      <c r="RO354" s="513"/>
      <c r="RP354" s="508"/>
      <c r="RQ354" s="513"/>
      <c r="RR354" s="508"/>
      <c r="RS354" s="513"/>
      <c r="RT354" s="508"/>
      <c r="RU354" s="513"/>
      <c r="RV354" s="508"/>
      <c r="RW354" s="513"/>
      <c r="RX354" s="508"/>
      <c r="RY354" s="513"/>
      <c r="RZ354" s="508"/>
      <c r="SA354" s="513"/>
      <c r="SB354" s="508"/>
      <c r="SC354" s="513"/>
      <c r="SD354" s="508"/>
      <c r="SE354" s="513"/>
      <c r="SF354" s="508"/>
      <c r="SG354" s="513"/>
      <c r="SH354" s="508"/>
      <c r="SI354" s="513"/>
      <c r="SJ354" s="508"/>
      <c r="SK354" s="513"/>
      <c r="SL354" s="508"/>
      <c r="SM354" s="513"/>
      <c r="SN354" s="508"/>
      <c r="SO354" s="513"/>
      <c r="SP354" s="508"/>
      <c r="SQ354" s="513"/>
      <c r="SR354" s="508"/>
      <c r="SS354" s="513"/>
      <c r="ST354" s="508"/>
      <c r="SU354" s="513"/>
      <c r="SV354" s="508"/>
      <c r="SW354" s="513"/>
      <c r="SX354" s="508"/>
      <c r="SY354" s="513"/>
      <c r="SZ354" s="508"/>
      <c r="TA354" s="513"/>
      <c r="TB354" s="508"/>
      <c r="TC354" s="513"/>
      <c r="TD354" s="508"/>
      <c r="TE354" s="513"/>
      <c r="TF354" s="508"/>
      <c r="TG354" s="513"/>
      <c r="TH354" s="508"/>
      <c r="TI354" s="513"/>
      <c r="TJ354" s="508"/>
      <c r="TK354" s="513"/>
      <c r="TL354" s="508"/>
      <c r="TM354" s="513"/>
      <c r="TN354" s="508"/>
      <c r="TO354" s="513"/>
      <c r="TP354" s="508"/>
      <c r="TQ354" s="513"/>
      <c r="TR354" s="508"/>
      <c r="TS354" s="513"/>
      <c r="TT354" s="508"/>
      <c r="TU354" s="513"/>
      <c r="TV354" s="508"/>
      <c r="TW354" s="513"/>
      <c r="TX354" s="508"/>
      <c r="TY354" s="513"/>
      <c r="TZ354" s="508"/>
      <c r="UA354" s="513"/>
      <c r="UB354" s="508"/>
      <c r="UC354" s="513"/>
      <c r="UD354" s="508"/>
      <c r="UE354" s="513"/>
      <c r="UF354" s="508"/>
      <c r="UG354" s="513"/>
      <c r="UH354" s="508"/>
      <c r="UI354" s="513"/>
      <c r="UJ354" s="508"/>
      <c r="UK354" s="513"/>
      <c r="UL354" s="508"/>
      <c r="UM354" s="513"/>
      <c r="UN354" s="508"/>
      <c r="UO354" s="513"/>
      <c r="UP354" s="508"/>
      <c r="UQ354" s="513"/>
      <c r="UR354" s="508"/>
      <c r="US354" s="513"/>
      <c r="UT354" s="508"/>
      <c r="UU354" s="513"/>
      <c r="UV354" s="508"/>
      <c r="UW354" s="513"/>
      <c r="UX354" s="508"/>
      <c r="UY354" s="513"/>
      <c r="UZ354" s="508"/>
      <c r="VA354" s="513"/>
      <c r="VB354" s="508"/>
      <c r="VC354" s="513"/>
      <c r="VD354" s="508"/>
      <c r="VE354" s="513"/>
      <c r="VF354" s="508"/>
      <c r="VG354" s="513"/>
      <c r="VH354" s="508"/>
      <c r="VI354" s="513"/>
      <c r="VJ354" s="508"/>
      <c r="VK354" s="513"/>
      <c r="VL354" s="508"/>
      <c r="VM354" s="513"/>
      <c r="VN354" s="508"/>
      <c r="VO354" s="513"/>
      <c r="VP354" s="508"/>
      <c r="VQ354" s="513"/>
      <c r="VR354" s="508"/>
      <c r="VS354" s="513"/>
      <c r="VT354" s="508"/>
      <c r="VU354" s="513"/>
      <c r="VV354" s="508"/>
      <c r="VW354" s="513"/>
      <c r="VX354" s="508"/>
      <c r="VY354" s="513"/>
      <c r="VZ354" s="508"/>
      <c r="WA354" s="513"/>
      <c r="WB354" s="508"/>
      <c r="WC354" s="513"/>
      <c r="WD354" s="508"/>
      <c r="WE354" s="513"/>
      <c r="WF354" s="508"/>
      <c r="WG354" s="513"/>
      <c r="WH354" s="508"/>
      <c r="WI354" s="513"/>
      <c r="WJ354" s="508"/>
      <c r="WK354" s="513"/>
      <c r="WL354" s="508"/>
      <c r="WM354" s="513"/>
      <c r="WN354" s="508"/>
      <c r="WO354" s="513"/>
      <c r="WP354" s="508"/>
      <c r="WQ354" s="513"/>
      <c r="WR354" s="508"/>
      <c r="WS354" s="513"/>
      <c r="WT354" s="508"/>
      <c r="WU354" s="513"/>
      <c r="WV354" s="508"/>
      <c r="WW354" s="513"/>
      <c r="WX354" s="508"/>
      <c r="WY354" s="513"/>
      <c r="WZ354" s="508"/>
      <c r="XA354" s="513"/>
      <c r="XB354" s="508"/>
      <c r="XC354" s="513"/>
      <c r="XD354" s="508"/>
      <c r="XE354" s="513"/>
      <c r="XF354" s="508"/>
      <c r="XG354" s="513"/>
      <c r="XH354" s="508"/>
      <c r="XI354" s="513"/>
      <c r="XJ354" s="508"/>
      <c r="XK354" s="513"/>
      <c r="XL354" s="508"/>
      <c r="XM354" s="513"/>
      <c r="XN354" s="508"/>
      <c r="XO354" s="513"/>
      <c r="XP354" s="508"/>
      <c r="XQ354" s="513"/>
      <c r="XR354" s="508"/>
      <c r="XS354" s="513"/>
      <c r="XT354" s="508"/>
      <c r="XU354" s="513"/>
      <c r="XV354" s="508"/>
      <c r="XW354" s="513"/>
      <c r="XX354" s="508"/>
      <c r="XY354" s="513"/>
      <c r="XZ354" s="508"/>
      <c r="YA354" s="513"/>
      <c r="YB354" s="508"/>
      <c r="YC354" s="513"/>
      <c r="YD354" s="508"/>
      <c r="YE354" s="513"/>
      <c r="YF354" s="508"/>
      <c r="YG354" s="513"/>
      <c r="YH354" s="508"/>
      <c r="YI354" s="513"/>
      <c r="YJ354" s="508"/>
      <c r="YK354" s="513"/>
      <c r="YL354" s="508"/>
      <c r="YM354" s="513"/>
      <c r="YN354" s="508"/>
      <c r="YO354" s="513"/>
      <c r="YP354" s="508"/>
      <c r="YQ354" s="513"/>
      <c r="YR354" s="508"/>
      <c r="YS354" s="513"/>
      <c r="YT354" s="508"/>
      <c r="YU354" s="513"/>
      <c r="YV354" s="508"/>
      <c r="YW354" s="513"/>
      <c r="YX354" s="508"/>
      <c r="YY354" s="513"/>
      <c r="YZ354" s="508"/>
      <c r="ZA354" s="513"/>
      <c r="ZB354" s="508"/>
      <c r="ZC354" s="513"/>
      <c r="ZD354" s="508"/>
      <c r="ZE354" s="513"/>
      <c r="ZF354" s="508"/>
      <c r="ZG354" s="513"/>
      <c r="ZH354" s="508"/>
      <c r="ZI354" s="513"/>
      <c r="ZJ354" s="508"/>
      <c r="ZK354" s="513"/>
      <c r="ZL354" s="508"/>
      <c r="ZM354" s="513"/>
      <c r="ZN354" s="508"/>
      <c r="ZO354" s="513"/>
      <c r="ZP354" s="508"/>
      <c r="ZQ354" s="513"/>
      <c r="ZR354" s="508"/>
      <c r="ZS354" s="513"/>
      <c r="ZT354" s="508"/>
      <c r="ZU354" s="513"/>
      <c r="ZV354" s="508"/>
      <c r="ZW354" s="513"/>
      <c r="ZX354" s="508"/>
      <c r="ZY354" s="513"/>
      <c r="ZZ354" s="508"/>
      <c r="AAA354" s="513"/>
      <c r="AAB354" s="508"/>
      <c r="AAC354" s="513"/>
      <c r="AAD354" s="508"/>
      <c r="AAE354" s="513"/>
      <c r="AAF354" s="508"/>
      <c r="AAG354" s="513"/>
      <c r="AAH354" s="508"/>
      <c r="AAI354" s="513"/>
      <c r="AAJ354" s="508"/>
      <c r="AAK354" s="513"/>
      <c r="AAL354" s="508"/>
      <c r="AAM354" s="513"/>
      <c r="AAN354" s="508"/>
      <c r="AAO354" s="513"/>
      <c r="AAP354" s="508"/>
      <c r="AAQ354" s="513"/>
      <c r="AAR354" s="508"/>
      <c r="AAS354" s="513"/>
      <c r="AAT354" s="508"/>
      <c r="AAU354" s="513"/>
      <c r="AAV354" s="508"/>
      <c r="AAW354" s="513"/>
      <c r="AAX354" s="508"/>
      <c r="AAY354" s="513"/>
      <c r="AAZ354" s="508"/>
      <c r="ABA354" s="513"/>
      <c r="ABB354" s="508"/>
      <c r="ABC354" s="513"/>
      <c r="ABD354" s="508"/>
      <c r="ABE354" s="513"/>
      <c r="ABF354" s="508"/>
      <c r="ABG354" s="513"/>
      <c r="ABH354" s="508"/>
      <c r="ABI354" s="513"/>
      <c r="ABJ354" s="508"/>
      <c r="ABK354" s="513"/>
      <c r="ABL354" s="508"/>
      <c r="ABM354" s="513"/>
      <c r="ABN354" s="508"/>
      <c r="ABO354" s="513"/>
      <c r="ABP354" s="508"/>
      <c r="ABQ354" s="513"/>
      <c r="ABR354" s="508"/>
      <c r="ABS354" s="513"/>
      <c r="ABT354" s="508"/>
      <c r="ABU354" s="513"/>
      <c r="ABV354" s="508"/>
      <c r="ABW354" s="513"/>
      <c r="ABX354" s="508"/>
      <c r="ABY354" s="513"/>
      <c r="ABZ354" s="508"/>
      <c r="ACA354" s="513"/>
      <c r="ACB354" s="508"/>
      <c r="ACC354" s="513"/>
      <c r="ACD354" s="508"/>
      <c r="ACE354" s="513"/>
      <c r="ACF354" s="508"/>
      <c r="ACG354" s="513"/>
      <c r="ACH354" s="508"/>
      <c r="ACI354" s="513"/>
      <c r="ACJ354" s="508"/>
      <c r="ACK354" s="513"/>
      <c r="ACL354" s="508"/>
      <c r="ACM354" s="513"/>
      <c r="ACN354" s="508"/>
      <c r="ACO354" s="513"/>
      <c r="ACP354" s="508"/>
      <c r="ACQ354" s="513"/>
      <c r="ACR354" s="508"/>
      <c r="ACS354" s="513"/>
      <c r="ACT354" s="508"/>
      <c r="ACU354" s="513"/>
      <c r="ACV354" s="508"/>
      <c r="ACW354" s="513"/>
      <c r="ACX354" s="508"/>
      <c r="ACY354" s="513"/>
      <c r="ACZ354" s="508"/>
      <c r="ADA354" s="513"/>
      <c r="ADB354" s="508"/>
      <c r="ADC354" s="513"/>
      <c r="ADD354" s="508"/>
      <c r="ADE354" s="513"/>
      <c r="ADF354" s="508"/>
      <c r="ADG354" s="513"/>
      <c r="ADH354" s="508"/>
      <c r="ADI354" s="513"/>
      <c r="ADJ354" s="508"/>
      <c r="ADK354" s="513"/>
      <c r="ADL354" s="508"/>
      <c r="ADM354" s="513"/>
      <c r="ADN354" s="508"/>
      <c r="ADO354" s="513"/>
      <c r="ADP354" s="508"/>
      <c r="ADQ354" s="513"/>
      <c r="ADR354" s="508"/>
      <c r="ADS354" s="513"/>
      <c r="ADT354" s="508"/>
      <c r="ADU354" s="513"/>
      <c r="ADV354" s="508"/>
      <c r="ADW354" s="513"/>
      <c r="ADX354" s="508"/>
      <c r="ADY354" s="513"/>
      <c r="ADZ354" s="508"/>
      <c r="AEA354" s="513"/>
      <c r="AEB354" s="508"/>
      <c r="AEC354" s="513"/>
      <c r="AED354" s="508"/>
      <c r="AEE354" s="513"/>
      <c r="AEF354" s="508"/>
      <c r="AEG354" s="513"/>
      <c r="AEH354" s="508"/>
      <c r="AEI354" s="513"/>
      <c r="AEJ354" s="508"/>
      <c r="AEK354" s="513"/>
      <c r="AEL354" s="508"/>
      <c r="AEM354" s="513"/>
      <c r="AEN354" s="508"/>
      <c r="AEO354" s="513"/>
      <c r="AEP354" s="508"/>
      <c r="AEQ354" s="513"/>
      <c r="AER354" s="508"/>
      <c r="AES354" s="513"/>
      <c r="AET354" s="508"/>
      <c r="AEU354" s="513"/>
      <c r="AEV354" s="508"/>
      <c r="AEW354" s="513"/>
      <c r="AEX354" s="508"/>
      <c r="AEY354" s="513"/>
      <c r="AEZ354" s="508"/>
      <c r="AFA354" s="513"/>
      <c r="AFB354" s="508"/>
      <c r="AFC354" s="513"/>
      <c r="AFD354" s="508"/>
      <c r="AFE354" s="513"/>
      <c r="AFF354" s="508"/>
      <c r="AFG354" s="513"/>
      <c r="AFH354" s="508"/>
      <c r="AFI354" s="513"/>
      <c r="AFJ354" s="508"/>
      <c r="AFK354" s="513"/>
      <c r="AFL354" s="508"/>
      <c r="AFM354" s="513"/>
      <c r="AFN354" s="508"/>
      <c r="AFO354" s="513"/>
      <c r="AFP354" s="508"/>
      <c r="AFQ354" s="513"/>
      <c r="AFR354" s="508"/>
      <c r="AFS354" s="513"/>
      <c r="AFT354" s="508"/>
      <c r="AFU354" s="513"/>
      <c r="AFV354" s="508"/>
      <c r="AFW354" s="513"/>
      <c r="AFX354" s="508"/>
      <c r="AFY354" s="513"/>
      <c r="AFZ354" s="508"/>
      <c r="AGA354" s="513"/>
      <c r="AGB354" s="508"/>
      <c r="AGC354" s="513"/>
      <c r="AGD354" s="508"/>
      <c r="AGE354" s="513"/>
      <c r="AGF354" s="508"/>
      <c r="AGG354" s="513"/>
      <c r="AGH354" s="508"/>
      <c r="AGI354" s="513"/>
      <c r="AGJ354" s="508"/>
      <c r="AGK354" s="513"/>
      <c r="AGL354" s="508"/>
      <c r="AGM354" s="513"/>
      <c r="AGN354" s="508"/>
      <c r="AGO354" s="513"/>
      <c r="AGP354" s="508"/>
      <c r="AGQ354" s="513"/>
      <c r="AGR354" s="508"/>
      <c r="AGS354" s="513"/>
      <c r="AGT354" s="508"/>
      <c r="AGU354" s="513"/>
      <c r="AGV354" s="508"/>
      <c r="AGW354" s="513"/>
      <c r="AGX354" s="508"/>
      <c r="AGY354" s="513"/>
      <c r="AGZ354" s="508"/>
      <c r="AHA354" s="513"/>
      <c r="AHB354" s="508"/>
      <c r="AHC354" s="513"/>
      <c r="AHD354" s="508"/>
      <c r="AHE354" s="513"/>
      <c r="AHF354" s="508"/>
      <c r="AHG354" s="513"/>
      <c r="AHH354" s="508"/>
      <c r="AHI354" s="513"/>
      <c r="AHJ354" s="508"/>
      <c r="AHK354" s="513"/>
      <c r="AHL354" s="508"/>
      <c r="AHM354" s="513"/>
      <c r="AHN354" s="508"/>
      <c r="AHO354" s="513"/>
      <c r="AHP354" s="508"/>
      <c r="AHQ354" s="513"/>
      <c r="AHR354" s="508"/>
      <c r="AHS354" s="513"/>
      <c r="AHT354" s="508"/>
      <c r="AHU354" s="513"/>
      <c r="AHV354" s="508"/>
      <c r="AHW354" s="513"/>
      <c r="AHX354" s="508"/>
      <c r="AHY354" s="513"/>
      <c r="AHZ354" s="508"/>
      <c r="AIA354" s="513"/>
      <c r="AIB354" s="508"/>
      <c r="AIC354" s="513"/>
      <c r="AID354" s="508"/>
      <c r="AIE354" s="513"/>
      <c r="AIF354" s="508"/>
      <c r="AIG354" s="513"/>
      <c r="AIH354" s="508"/>
      <c r="AII354" s="513"/>
      <c r="AIJ354" s="508"/>
      <c r="AIK354" s="513"/>
      <c r="AIL354" s="508"/>
      <c r="AIM354" s="513"/>
      <c r="AIN354" s="508"/>
      <c r="AIO354" s="513"/>
      <c r="AIP354" s="508"/>
      <c r="AIQ354" s="513"/>
      <c r="AIR354" s="508"/>
      <c r="AIS354" s="513"/>
      <c r="AIT354" s="508"/>
      <c r="AIU354" s="513"/>
      <c r="AIV354" s="508"/>
      <c r="AIW354" s="513"/>
      <c r="AIX354" s="508"/>
      <c r="AIY354" s="513"/>
      <c r="AIZ354" s="508"/>
      <c r="AJA354" s="513"/>
      <c r="AJB354" s="508"/>
      <c r="AJC354" s="513"/>
      <c r="AJD354" s="508"/>
      <c r="AJE354" s="513"/>
      <c r="AJF354" s="508"/>
      <c r="AJG354" s="513"/>
      <c r="AJH354" s="508"/>
      <c r="AJI354" s="513"/>
      <c r="AJJ354" s="508"/>
      <c r="AJK354" s="513"/>
      <c r="AJL354" s="508"/>
      <c r="AJM354" s="513"/>
      <c r="AJN354" s="508"/>
      <c r="AJO354" s="513"/>
      <c r="AJP354" s="508"/>
      <c r="AJQ354" s="513"/>
      <c r="AJR354" s="508"/>
      <c r="AJS354" s="513"/>
      <c r="AJT354" s="508"/>
      <c r="AJU354" s="513"/>
      <c r="AJV354" s="508"/>
      <c r="AJW354" s="513"/>
      <c r="AJX354" s="508"/>
      <c r="AJY354" s="513"/>
      <c r="AJZ354" s="508"/>
      <c r="AKA354" s="513"/>
      <c r="AKB354" s="508"/>
      <c r="AKC354" s="513"/>
      <c r="AKD354" s="508"/>
      <c r="AKE354" s="513"/>
      <c r="AKF354" s="508"/>
      <c r="AKG354" s="513"/>
      <c r="AKH354" s="508"/>
      <c r="AKI354" s="513"/>
      <c r="AKJ354" s="508"/>
      <c r="AKK354" s="513"/>
      <c r="AKL354" s="508"/>
      <c r="AKM354" s="513"/>
      <c r="AKN354" s="508"/>
      <c r="AKO354" s="513"/>
      <c r="AKP354" s="508"/>
      <c r="AKQ354" s="513"/>
      <c r="AKR354" s="508"/>
      <c r="AKS354" s="513"/>
      <c r="AKT354" s="508"/>
      <c r="AKU354" s="513"/>
      <c r="AKV354" s="508"/>
      <c r="AKW354" s="513"/>
      <c r="AKX354" s="508"/>
      <c r="AKY354" s="513"/>
      <c r="AKZ354" s="508"/>
      <c r="ALA354" s="513"/>
      <c r="ALB354" s="508"/>
      <c r="ALC354" s="513"/>
      <c r="ALD354" s="508"/>
      <c r="ALE354" s="513"/>
      <c r="ALF354" s="508"/>
      <c r="ALG354" s="513"/>
      <c r="ALH354" s="508"/>
      <c r="ALI354" s="513"/>
      <c r="ALJ354" s="508"/>
      <c r="ALK354" s="513"/>
      <c r="ALL354" s="508"/>
      <c r="ALM354" s="513"/>
      <c r="ALN354" s="508"/>
      <c r="ALO354" s="513"/>
      <c r="ALP354" s="508"/>
      <c r="ALQ354" s="513"/>
      <c r="ALR354" s="508"/>
      <c r="ALS354" s="513"/>
      <c r="ALT354" s="508"/>
      <c r="ALU354" s="513"/>
      <c r="ALV354" s="508"/>
      <c r="ALW354" s="513"/>
      <c r="ALX354" s="508"/>
      <c r="ALY354" s="513"/>
      <c r="ALZ354" s="508"/>
      <c r="AMA354" s="513"/>
      <c r="AMB354" s="508"/>
      <c r="AMC354" s="513"/>
      <c r="AMD354" s="508"/>
      <c r="AME354" s="513"/>
      <c r="AMF354" s="508"/>
      <c r="AMG354" s="513"/>
      <c r="AMH354" s="508"/>
      <c r="AMI354" s="513"/>
      <c r="AMJ354" s="508"/>
      <c r="AMK354" s="513"/>
      <c r="AML354" s="508"/>
      <c r="AMM354" s="513"/>
      <c r="AMN354" s="508"/>
      <c r="AMO354" s="513"/>
      <c r="AMP354" s="508"/>
      <c r="AMQ354" s="513"/>
      <c r="AMR354" s="508"/>
      <c r="AMS354" s="513"/>
      <c r="AMT354" s="508"/>
      <c r="AMU354" s="513"/>
      <c r="AMV354" s="508"/>
      <c r="AMW354" s="513"/>
      <c r="AMX354" s="508"/>
      <c r="AMY354" s="513"/>
      <c r="AMZ354" s="508"/>
      <c r="ANA354" s="513"/>
      <c r="ANB354" s="508"/>
      <c r="ANC354" s="513"/>
      <c r="AND354" s="508"/>
      <c r="ANE354" s="513"/>
      <c r="ANF354" s="508"/>
      <c r="ANG354" s="513"/>
      <c r="ANH354" s="508"/>
      <c r="ANI354" s="513"/>
      <c r="ANJ354" s="508"/>
      <c r="ANK354" s="513"/>
      <c r="ANL354" s="508"/>
      <c r="ANM354" s="513"/>
      <c r="ANN354" s="508"/>
      <c r="ANO354" s="513"/>
      <c r="ANP354" s="508"/>
      <c r="ANQ354" s="513"/>
      <c r="ANR354" s="508"/>
      <c r="ANS354" s="513"/>
      <c r="ANT354" s="508"/>
      <c r="ANU354" s="513"/>
      <c r="ANV354" s="508"/>
      <c r="ANW354" s="513"/>
      <c r="ANX354" s="508"/>
      <c r="ANY354" s="513"/>
      <c r="ANZ354" s="508"/>
      <c r="AOA354" s="513"/>
      <c r="AOB354" s="508"/>
      <c r="AOC354" s="513"/>
      <c r="AOD354" s="508"/>
      <c r="AOE354" s="513"/>
      <c r="AOF354" s="508"/>
      <c r="AOG354" s="513"/>
      <c r="AOH354" s="508"/>
      <c r="AOI354" s="513"/>
      <c r="AOJ354" s="508"/>
      <c r="AOK354" s="513"/>
      <c r="AOL354" s="508"/>
      <c r="AOM354" s="513"/>
      <c r="AON354" s="508"/>
      <c r="AOO354" s="513"/>
      <c r="AOP354" s="508"/>
      <c r="AOQ354" s="513"/>
      <c r="AOR354" s="508"/>
      <c r="AOS354" s="513"/>
      <c r="AOT354" s="508"/>
      <c r="AOU354" s="513"/>
      <c r="AOV354" s="508"/>
      <c r="AOW354" s="513"/>
      <c r="AOX354" s="508"/>
      <c r="AOY354" s="513"/>
      <c r="AOZ354" s="508"/>
      <c r="APA354" s="513"/>
      <c r="APB354" s="508"/>
      <c r="APC354" s="513"/>
      <c r="APD354" s="508"/>
      <c r="APE354" s="513"/>
      <c r="APF354" s="508"/>
      <c r="APG354" s="513"/>
      <c r="APH354" s="508"/>
      <c r="API354" s="513"/>
      <c r="APJ354" s="508"/>
      <c r="APK354" s="513"/>
      <c r="APL354" s="508"/>
      <c r="APM354" s="513"/>
      <c r="APN354" s="508"/>
      <c r="APO354" s="513"/>
      <c r="APP354" s="508"/>
      <c r="APQ354" s="513"/>
      <c r="APR354" s="508"/>
      <c r="APS354" s="513"/>
      <c r="APT354" s="508"/>
      <c r="APU354" s="513"/>
      <c r="APV354" s="508"/>
      <c r="APW354" s="513"/>
      <c r="APX354" s="508"/>
      <c r="APY354" s="513"/>
      <c r="APZ354" s="508"/>
      <c r="AQA354" s="513"/>
      <c r="AQB354" s="508"/>
      <c r="AQC354" s="513"/>
      <c r="AQD354" s="508"/>
      <c r="AQE354" s="513"/>
      <c r="AQF354" s="508"/>
      <c r="AQG354" s="513"/>
      <c r="AQH354" s="508"/>
      <c r="AQI354" s="513"/>
      <c r="AQJ354" s="508"/>
      <c r="AQK354" s="513"/>
      <c r="AQL354" s="508"/>
      <c r="AQM354" s="513"/>
      <c r="AQN354" s="508"/>
      <c r="AQO354" s="513"/>
      <c r="AQP354" s="508"/>
      <c r="AQQ354" s="513"/>
      <c r="AQR354" s="508"/>
      <c r="AQS354" s="513"/>
      <c r="AQT354" s="508"/>
      <c r="AQU354" s="513"/>
      <c r="AQV354" s="508"/>
      <c r="AQW354" s="513"/>
      <c r="AQX354" s="508"/>
      <c r="AQY354" s="513"/>
      <c r="AQZ354" s="508"/>
      <c r="ARA354" s="513"/>
      <c r="ARB354" s="508"/>
      <c r="ARC354" s="513"/>
      <c r="ARD354" s="508"/>
      <c r="ARE354" s="513"/>
      <c r="ARF354" s="508"/>
      <c r="ARG354" s="513"/>
      <c r="ARH354" s="508"/>
      <c r="ARI354" s="513"/>
      <c r="ARJ354" s="508"/>
      <c r="ARK354" s="513"/>
      <c r="ARL354" s="508"/>
      <c r="ARM354" s="513"/>
      <c r="ARN354" s="508"/>
      <c r="ARO354" s="513"/>
      <c r="ARP354" s="508"/>
      <c r="ARQ354" s="513"/>
      <c r="ARR354" s="508"/>
      <c r="ARS354" s="513"/>
      <c r="ART354" s="508"/>
      <c r="ARU354" s="513"/>
      <c r="ARV354" s="508"/>
      <c r="ARW354" s="513"/>
      <c r="ARX354" s="508"/>
      <c r="ARY354" s="513"/>
      <c r="ARZ354" s="508"/>
      <c r="ASA354" s="513"/>
      <c r="ASB354" s="508"/>
      <c r="ASC354" s="513"/>
      <c r="ASD354" s="508"/>
      <c r="ASE354" s="513"/>
      <c r="ASF354" s="508"/>
      <c r="ASG354" s="513"/>
      <c r="ASH354" s="508"/>
      <c r="ASI354" s="513"/>
      <c r="ASJ354" s="508"/>
      <c r="ASK354" s="513"/>
      <c r="ASL354" s="508"/>
      <c r="ASM354" s="513"/>
      <c r="ASN354" s="508"/>
      <c r="ASO354" s="513"/>
      <c r="ASP354" s="508"/>
      <c r="ASQ354" s="513"/>
      <c r="ASR354" s="508"/>
      <c r="ASS354" s="513"/>
      <c r="AST354" s="508"/>
      <c r="ASU354" s="513"/>
      <c r="ASV354" s="508"/>
      <c r="ASW354" s="513"/>
      <c r="ASX354" s="508"/>
      <c r="ASY354" s="513"/>
      <c r="ASZ354" s="508"/>
      <c r="ATA354" s="513"/>
      <c r="ATB354" s="508"/>
      <c r="ATC354" s="513"/>
      <c r="ATD354" s="508"/>
      <c r="ATE354" s="513"/>
      <c r="ATF354" s="508"/>
      <c r="ATG354" s="513"/>
      <c r="ATH354" s="508"/>
      <c r="ATI354" s="513"/>
      <c r="ATJ354" s="508"/>
      <c r="ATK354" s="513"/>
      <c r="ATL354" s="508"/>
      <c r="ATM354" s="513"/>
      <c r="ATN354" s="508"/>
      <c r="ATO354" s="513"/>
      <c r="ATP354" s="508"/>
      <c r="ATQ354" s="513"/>
      <c r="ATR354" s="508"/>
      <c r="ATS354" s="513"/>
      <c r="ATT354" s="508"/>
      <c r="ATU354" s="513"/>
      <c r="ATV354" s="508"/>
      <c r="ATW354" s="513"/>
      <c r="ATX354" s="508"/>
      <c r="ATY354" s="513"/>
      <c r="ATZ354" s="508"/>
      <c r="AUA354" s="513"/>
      <c r="AUB354" s="508"/>
      <c r="AUC354" s="513"/>
      <c r="AUD354" s="508"/>
      <c r="AUE354" s="513"/>
      <c r="AUF354" s="508"/>
      <c r="AUG354" s="513"/>
      <c r="AUH354" s="508"/>
      <c r="AUI354" s="513"/>
      <c r="AUJ354" s="508"/>
      <c r="AUK354" s="513"/>
      <c r="AUL354" s="508"/>
      <c r="AUM354" s="513"/>
      <c r="AUN354" s="508"/>
      <c r="AUO354" s="513"/>
      <c r="AUP354" s="508"/>
      <c r="AUQ354" s="513"/>
      <c r="AUR354" s="508"/>
      <c r="AUS354" s="513"/>
      <c r="AUT354" s="508"/>
      <c r="AUU354" s="513"/>
      <c r="AUV354" s="508"/>
      <c r="AUW354" s="513"/>
      <c r="AUX354" s="508"/>
      <c r="AUY354" s="513"/>
      <c r="AUZ354" s="508"/>
      <c r="AVA354" s="513"/>
      <c r="AVB354" s="508"/>
      <c r="AVC354" s="513"/>
      <c r="AVD354" s="508"/>
      <c r="AVE354" s="513"/>
      <c r="AVF354" s="508"/>
      <c r="AVG354" s="513"/>
      <c r="AVH354" s="508"/>
      <c r="AVI354" s="513"/>
      <c r="AVJ354" s="508"/>
      <c r="AVK354" s="513"/>
      <c r="AVL354" s="508"/>
      <c r="AVM354" s="513"/>
      <c r="AVN354" s="508"/>
      <c r="AVO354" s="513"/>
      <c r="AVP354" s="508"/>
      <c r="AVQ354" s="513"/>
      <c r="AVR354" s="508"/>
      <c r="AVS354" s="513"/>
      <c r="AVT354" s="508"/>
      <c r="AVU354" s="513"/>
      <c r="AVV354" s="508"/>
      <c r="AVW354" s="513"/>
      <c r="AVX354" s="508"/>
      <c r="AVY354" s="513"/>
      <c r="AVZ354" s="508"/>
      <c r="AWA354" s="513"/>
      <c r="AWB354" s="508"/>
      <c r="AWC354" s="513"/>
      <c r="AWD354" s="508"/>
      <c r="AWE354" s="513"/>
      <c r="AWF354" s="508"/>
      <c r="AWG354" s="513"/>
      <c r="AWH354" s="508"/>
      <c r="AWI354" s="513"/>
      <c r="AWJ354" s="508"/>
      <c r="AWK354" s="513"/>
      <c r="AWL354" s="508"/>
      <c r="AWM354" s="513"/>
      <c r="AWN354" s="508"/>
      <c r="AWO354" s="513"/>
      <c r="AWP354" s="508"/>
      <c r="AWQ354" s="513"/>
      <c r="AWR354" s="508"/>
      <c r="AWS354" s="513"/>
      <c r="AWT354" s="508"/>
      <c r="AWU354" s="513"/>
      <c r="AWV354" s="508"/>
      <c r="AWW354" s="513"/>
      <c r="AWX354" s="508"/>
      <c r="AWY354" s="513"/>
      <c r="AWZ354" s="508"/>
      <c r="AXA354" s="513"/>
      <c r="AXB354" s="508"/>
      <c r="AXC354" s="513"/>
      <c r="AXD354" s="508"/>
      <c r="AXE354" s="513"/>
      <c r="AXF354" s="508"/>
      <c r="AXG354" s="513"/>
      <c r="AXH354" s="508"/>
      <c r="AXI354" s="513"/>
      <c r="AXJ354" s="508"/>
      <c r="AXK354" s="513"/>
      <c r="AXL354" s="508"/>
      <c r="AXM354" s="513"/>
      <c r="AXN354" s="508"/>
      <c r="AXO354" s="513"/>
      <c r="AXP354" s="508"/>
      <c r="AXQ354" s="513"/>
      <c r="AXR354" s="508"/>
      <c r="AXS354" s="513"/>
      <c r="AXT354" s="508"/>
      <c r="AXU354" s="513"/>
      <c r="AXV354" s="508"/>
      <c r="AXW354" s="513"/>
      <c r="AXX354" s="508"/>
      <c r="AXY354" s="513"/>
      <c r="AXZ354" s="508"/>
      <c r="AYA354" s="513"/>
      <c r="AYB354" s="508"/>
      <c r="AYC354" s="513"/>
      <c r="AYD354" s="508"/>
      <c r="AYE354" s="513"/>
      <c r="AYF354" s="508"/>
      <c r="AYG354" s="513"/>
      <c r="AYH354" s="508"/>
      <c r="AYI354" s="513"/>
      <c r="AYJ354" s="508"/>
      <c r="AYK354" s="513"/>
      <c r="AYL354" s="508"/>
      <c r="AYM354" s="513"/>
      <c r="AYN354" s="508"/>
      <c r="AYO354" s="513"/>
      <c r="AYP354" s="508"/>
      <c r="AYQ354" s="513"/>
      <c r="AYR354" s="508"/>
      <c r="AYS354" s="513"/>
      <c r="AYT354" s="508"/>
      <c r="AYU354" s="513"/>
      <c r="AYV354" s="508"/>
      <c r="AYW354" s="513"/>
      <c r="AYX354" s="508"/>
      <c r="AYY354" s="513"/>
      <c r="AYZ354" s="508"/>
      <c r="AZA354" s="513"/>
      <c r="AZB354" s="508"/>
      <c r="AZC354" s="513"/>
      <c r="AZD354" s="508"/>
      <c r="AZE354" s="513"/>
      <c r="AZF354" s="508"/>
      <c r="AZG354" s="513"/>
      <c r="AZH354" s="508"/>
      <c r="AZI354" s="513"/>
      <c r="AZJ354" s="508"/>
      <c r="AZK354" s="513"/>
      <c r="AZL354" s="508"/>
      <c r="AZM354" s="513"/>
      <c r="AZN354" s="508"/>
      <c r="AZO354" s="513"/>
      <c r="AZP354" s="508"/>
      <c r="AZQ354" s="513"/>
      <c r="AZR354" s="508"/>
      <c r="AZS354" s="513"/>
      <c r="AZT354" s="508"/>
      <c r="AZU354" s="513"/>
      <c r="AZV354" s="508"/>
      <c r="AZW354" s="513"/>
      <c r="AZX354" s="508"/>
      <c r="AZY354" s="513"/>
      <c r="AZZ354" s="508"/>
      <c r="BAA354" s="513"/>
      <c r="BAB354" s="508"/>
      <c r="BAC354" s="513"/>
      <c r="BAD354" s="508"/>
      <c r="BAE354" s="513"/>
      <c r="BAF354" s="508"/>
      <c r="BAG354" s="513"/>
      <c r="BAH354" s="508"/>
      <c r="BAI354" s="513"/>
      <c r="BAJ354" s="508"/>
      <c r="BAK354" s="513"/>
      <c r="BAL354" s="508"/>
      <c r="BAM354" s="513"/>
      <c r="BAN354" s="508"/>
      <c r="BAO354" s="513"/>
      <c r="BAP354" s="508"/>
      <c r="BAQ354" s="513"/>
      <c r="BAR354" s="508"/>
      <c r="BAS354" s="513"/>
      <c r="BAT354" s="508"/>
      <c r="BAU354" s="513"/>
      <c r="BAV354" s="508"/>
      <c r="BAW354" s="513"/>
      <c r="BAX354" s="508"/>
      <c r="BAY354" s="513"/>
      <c r="BAZ354" s="508"/>
      <c r="BBA354" s="513"/>
      <c r="BBB354" s="508"/>
      <c r="BBC354" s="513"/>
      <c r="BBD354" s="508"/>
      <c r="BBE354" s="513"/>
      <c r="BBF354" s="508"/>
      <c r="BBG354" s="513"/>
      <c r="BBH354" s="508"/>
      <c r="BBI354" s="513"/>
      <c r="BBJ354" s="508"/>
      <c r="BBK354" s="513"/>
      <c r="BBL354" s="508"/>
      <c r="BBM354" s="513"/>
      <c r="BBN354" s="508"/>
      <c r="BBO354" s="513"/>
      <c r="BBP354" s="508"/>
      <c r="BBQ354" s="513"/>
      <c r="BBR354" s="508"/>
      <c r="BBS354" s="513"/>
      <c r="BBT354" s="508"/>
      <c r="BBU354" s="513"/>
      <c r="BBV354" s="508"/>
      <c r="BBW354" s="513"/>
      <c r="BBX354" s="508"/>
      <c r="BBY354" s="513"/>
      <c r="BBZ354" s="508"/>
      <c r="BCA354" s="513"/>
      <c r="BCB354" s="508"/>
      <c r="BCC354" s="513"/>
      <c r="BCD354" s="508"/>
      <c r="BCE354" s="513"/>
      <c r="BCF354" s="508"/>
      <c r="BCG354" s="513"/>
      <c r="BCH354" s="508"/>
      <c r="BCI354" s="513"/>
      <c r="BCJ354" s="508"/>
      <c r="BCK354" s="513"/>
      <c r="BCL354" s="508"/>
      <c r="BCM354" s="513"/>
      <c r="BCN354" s="508"/>
      <c r="BCO354" s="513"/>
      <c r="BCP354" s="508"/>
      <c r="BCQ354" s="513"/>
      <c r="BCR354" s="508"/>
      <c r="BCS354" s="513"/>
      <c r="BCT354" s="508"/>
      <c r="BCU354" s="513"/>
      <c r="BCV354" s="508"/>
      <c r="BCW354" s="513"/>
      <c r="BCX354" s="508"/>
      <c r="BCY354" s="513"/>
      <c r="BCZ354" s="508"/>
      <c r="BDA354" s="513"/>
      <c r="BDB354" s="508"/>
      <c r="BDC354" s="513"/>
      <c r="BDD354" s="508"/>
      <c r="BDE354" s="513"/>
      <c r="BDF354" s="508"/>
      <c r="BDG354" s="513"/>
      <c r="BDH354" s="508"/>
      <c r="BDI354" s="513"/>
      <c r="BDJ354" s="508"/>
      <c r="BDK354" s="513"/>
      <c r="BDL354" s="508"/>
      <c r="BDM354" s="513"/>
      <c r="BDN354" s="508"/>
      <c r="BDO354" s="513"/>
      <c r="BDP354" s="508"/>
      <c r="BDQ354" s="513"/>
      <c r="BDR354" s="508"/>
      <c r="BDS354" s="513"/>
      <c r="BDT354" s="508"/>
      <c r="BDU354" s="513"/>
      <c r="BDV354" s="508"/>
      <c r="BDW354" s="513"/>
      <c r="BDX354" s="508"/>
      <c r="BDY354" s="513"/>
      <c r="BDZ354" s="508"/>
      <c r="BEA354" s="513"/>
      <c r="BEB354" s="508"/>
      <c r="BEC354" s="513"/>
      <c r="BED354" s="508"/>
      <c r="BEE354" s="513"/>
      <c r="BEF354" s="508"/>
      <c r="BEG354" s="513"/>
      <c r="BEH354" s="508"/>
      <c r="BEI354" s="513"/>
      <c r="BEJ354" s="508"/>
      <c r="BEK354" s="513"/>
      <c r="BEL354" s="508"/>
      <c r="BEM354" s="513"/>
      <c r="BEN354" s="508"/>
      <c r="BEO354" s="513"/>
      <c r="BEP354" s="508"/>
      <c r="BEQ354" s="513"/>
      <c r="BER354" s="508"/>
      <c r="BES354" s="513"/>
      <c r="BET354" s="508"/>
      <c r="BEU354" s="513"/>
      <c r="BEV354" s="508"/>
      <c r="BEW354" s="513"/>
      <c r="BEX354" s="508"/>
      <c r="BEY354" s="513"/>
      <c r="BEZ354" s="508"/>
      <c r="BFA354" s="513"/>
      <c r="BFB354" s="508"/>
      <c r="BFC354" s="513"/>
      <c r="BFD354" s="508"/>
      <c r="BFE354" s="513"/>
      <c r="BFF354" s="508"/>
      <c r="BFG354" s="513"/>
      <c r="BFH354" s="508"/>
      <c r="BFI354" s="513"/>
      <c r="BFJ354" s="508"/>
      <c r="BFK354" s="513"/>
      <c r="BFL354" s="508"/>
      <c r="BFM354" s="513"/>
      <c r="BFN354" s="508"/>
      <c r="BFO354" s="513"/>
      <c r="BFP354" s="508"/>
      <c r="BFQ354" s="513"/>
      <c r="BFR354" s="508"/>
      <c r="BFS354" s="513"/>
      <c r="BFT354" s="508"/>
      <c r="BFU354" s="513"/>
      <c r="BFV354" s="508"/>
      <c r="BFW354" s="513"/>
      <c r="BFX354" s="508"/>
      <c r="BFY354" s="513"/>
      <c r="BFZ354" s="508"/>
      <c r="BGA354" s="513"/>
      <c r="BGB354" s="508"/>
      <c r="BGC354" s="513"/>
      <c r="BGD354" s="508"/>
      <c r="BGE354" s="513"/>
      <c r="BGF354" s="508"/>
      <c r="BGG354" s="513"/>
      <c r="BGH354" s="508"/>
      <c r="BGI354" s="513"/>
      <c r="BGJ354" s="508"/>
      <c r="BGK354" s="513"/>
      <c r="BGL354" s="508"/>
      <c r="BGM354" s="513"/>
      <c r="BGN354" s="508"/>
      <c r="BGO354" s="513"/>
      <c r="BGP354" s="508"/>
      <c r="BGQ354" s="513"/>
      <c r="BGR354" s="508"/>
      <c r="BGS354" s="513"/>
      <c r="BGT354" s="508"/>
      <c r="BGU354" s="513"/>
      <c r="BGV354" s="508"/>
      <c r="BGW354" s="513"/>
      <c r="BGX354" s="508"/>
      <c r="BGY354" s="513"/>
      <c r="BGZ354" s="508"/>
      <c r="BHA354" s="513"/>
      <c r="BHB354" s="508"/>
      <c r="BHC354" s="513"/>
      <c r="BHD354" s="508"/>
      <c r="BHE354" s="513"/>
      <c r="BHF354" s="508"/>
      <c r="BHG354" s="513"/>
      <c r="BHH354" s="508"/>
      <c r="BHI354" s="513"/>
      <c r="BHJ354" s="508"/>
      <c r="BHK354" s="513"/>
      <c r="BHL354" s="508"/>
      <c r="BHM354" s="513"/>
      <c r="BHN354" s="508"/>
      <c r="BHO354" s="513"/>
      <c r="BHP354" s="508"/>
      <c r="BHQ354" s="513"/>
      <c r="BHR354" s="508"/>
      <c r="BHS354" s="513"/>
      <c r="BHT354" s="508"/>
      <c r="BHU354" s="513"/>
      <c r="BHV354" s="508"/>
      <c r="BHW354" s="513"/>
      <c r="BHX354" s="508"/>
      <c r="BHY354" s="513"/>
      <c r="BHZ354" s="508"/>
      <c r="BIA354" s="513"/>
      <c r="BIB354" s="508"/>
      <c r="BIC354" s="513"/>
      <c r="BID354" s="508"/>
      <c r="BIE354" s="513"/>
      <c r="BIF354" s="508"/>
      <c r="BIG354" s="513"/>
      <c r="BIH354" s="508"/>
      <c r="BII354" s="513"/>
      <c r="BIJ354" s="508"/>
      <c r="BIK354" s="513"/>
      <c r="BIL354" s="508"/>
      <c r="BIM354" s="513"/>
      <c r="BIN354" s="508"/>
      <c r="BIO354" s="513"/>
      <c r="BIP354" s="508"/>
      <c r="BIQ354" s="513"/>
      <c r="BIR354" s="508"/>
      <c r="BIS354" s="513"/>
      <c r="BIT354" s="508"/>
      <c r="BIU354" s="513"/>
      <c r="BIV354" s="508"/>
      <c r="BIW354" s="513"/>
      <c r="BIX354" s="508"/>
      <c r="BIY354" s="513"/>
      <c r="BIZ354" s="508"/>
      <c r="BJA354" s="513"/>
      <c r="BJB354" s="508"/>
      <c r="BJC354" s="513"/>
      <c r="BJD354" s="508"/>
      <c r="BJE354" s="513"/>
      <c r="BJF354" s="508"/>
      <c r="BJG354" s="513"/>
      <c r="BJH354" s="508"/>
      <c r="BJI354" s="513"/>
      <c r="BJJ354" s="508"/>
      <c r="BJK354" s="513"/>
      <c r="BJL354" s="508"/>
      <c r="BJM354" s="513"/>
      <c r="BJN354" s="508"/>
      <c r="BJO354" s="513"/>
      <c r="BJP354" s="508"/>
      <c r="BJQ354" s="513"/>
      <c r="BJR354" s="508"/>
      <c r="BJS354" s="513"/>
      <c r="BJT354" s="508"/>
      <c r="BJU354" s="513"/>
      <c r="BJV354" s="508"/>
      <c r="BJW354" s="513"/>
      <c r="BJX354" s="508"/>
      <c r="BJY354" s="513"/>
      <c r="BJZ354" s="508"/>
      <c r="BKA354" s="513"/>
      <c r="BKB354" s="508"/>
      <c r="BKC354" s="513"/>
      <c r="BKD354" s="508"/>
      <c r="BKE354" s="513"/>
      <c r="BKF354" s="508"/>
      <c r="BKG354" s="513"/>
      <c r="BKH354" s="508"/>
      <c r="BKI354" s="513"/>
      <c r="BKJ354" s="508"/>
      <c r="BKK354" s="513"/>
      <c r="BKL354" s="508"/>
      <c r="BKM354" s="513"/>
      <c r="BKN354" s="508"/>
      <c r="BKO354" s="513"/>
      <c r="BKP354" s="508"/>
      <c r="BKQ354" s="513"/>
      <c r="BKR354" s="508"/>
      <c r="BKS354" s="513"/>
      <c r="BKT354" s="508"/>
      <c r="BKU354" s="513"/>
      <c r="BKV354" s="508"/>
      <c r="BKW354" s="513"/>
      <c r="BKX354" s="508"/>
      <c r="BKY354" s="513"/>
      <c r="BKZ354" s="508"/>
      <c r="BLA354" s="513"/>
      <c r="BLB354" s="508"/>
      <c r="BLC354" s="513"/>
      <c r="BLD354" s="508"/>
      <c r="BLE354" s="513"/>
      <c r="BLF354" s="508"/>
      <c r="BLG354" s="513"/>
      <c r="BLH354" s="508"/>
      <c r="BLI354" s="513"/>
      <c r="BLJ354" s="508"/>
      <c r="BLK354" s="513"/>
      <c r="BLL354" s="508"/>
      <c r="BLM354" s="513"/>
      <c r="BLN354" s="508"/>
      <c r="BLO354" s="513"/>
      <c r="BLP354" s="508"/>
      <c r="BLQ354" s="513"/>
      <c r="BLR354" s="508"/>
      <c r="BLS354" s="513"/>
      <c r="BLT354" s="508"/>
      <c r="BLU354" s="513"/>
      <c r="BLV354" s="508"/>
      <c r="BLW354" s="513"/>
      <c r="BLX354" s="508"/>
      <c r="BLY354" s="513"/>
      <c r="BLZ354" s="508"/>
      <c r="BMA354" s="513"/>
      <c r="BMB354" s="508"/>
      <c r="BMC354" s="513"/>
      <c r="BMD354" s="508"/>
      <c r="BME354" s="513"/>
      <c r="BMF354" s="508"/>
      <c r="BMG354" s="513"/>
      <c r="BMH354" s="508"/>
      <c r="BMI354" s="513"/>
      <c r="BMJ354" s="508"/>
      <c r="BMK354" s="513"/>
      <c r="BML354" s="508"/>
      <c r="BMM354" s="513"/>
      <c r="BMN354" s="508"/>
      <c r="BMO354" s="513"/>
      <c r="BMP354" s="508"/>
      <c r="BMQ354" s="513"/>
      <c r="BMR354" s="508"/>
      <c r="BMS354" s="513"/>
      <c r="BMT354" s="508"/>
      <c r="BMU354" s="513"/>
      <c r="BMV354" s="508"/>
      <c r="BMW354" s="513"/>
      <c r="BMX354" s="508"/>
      <c r="BMY354" s="513"/>
      <c r="BMZ354" s="508"/>
      <c r="BNA354" s="513"/>
      <c r="BNB354" s="508"/>
      <c r="BNC354" s="513"/>
      <c r="BND354" s="508"/>
      <c r="BNE354" s="513"/>
      <c r="BNF354" s="508"/>
      <c r="BNG354" s="513"/>
      <c r="BNH354" s="508"/>
      <c r="BNI354" s="513"/>
      <c r="BNJ354" s="508"/>
      <c r="BNK354" s="513"/>
      <c r="BNL354" s="508"/>
      <c r="BNM354" s="513"/>
      <c r="BNN354" s="508"/>
      <c r="BNO354" s="513"/>
      <c r="BNP354" s="508"/>
      <c r="BNQ354" s="513"/>
      <c r="BNR354" s="508"/>
      <c r="BNS354" s="513"/>
      <c r="BNT354" s="508"/>
      <c r="BNU354" s="513"/>
      <c r="BNV354" s="508"/>
      <c r="BNW354" s="513"/>
      <c r="BNX354" s="508"/>
      <c r="BNY354" s="513"/>
      <c r="BNZ354" s="508"/>
      <c r="BOA354" s="513"/>
      <c r="BOB354" s="508"/>
      <c r="BOC354" s="513"/>
      <c r="BOD354" s="508"/>
      <c r="BOE354" s="513"/>
      <c r="BOF354" s="508"/>
      <c r="BOG354" s="513"/>
      <c r="BOH354" s="508"/>
      <c r="BOI354" s="513"/>
      <c r="BOJ354" s="508"/>
      <c r="BOK354" s="513"/>
      <c r="BOL354" s="508"/>
      <c r="BOM354" s="513"/>
      <c r="BON354" s="508"/>
      <c r="BOO354" s="513"/>
      <c r="BOP354" s="508"/>
      <c r="BOQ354" s="513"/>
      <c r="BOR354" s="508"/>
      <c r="BOS354" s="513"/>
      <c r="BOT354" s="508"/>
      <c r="BOU354" s="513"/>
      <c r="BOV354" s="508"/>
      <c r="BOW354" s="513"/>
      <c r="BOX354" s="508"/>
      <c r="BOY354" s="513"/>
      <c r="BOZ354" s="508"/>
      <c r="BPA354" s="513"/>
      <c r="BPB354" s="508"/>
      <c r="BPC354" s="513"/>
      <c r="BPD354" s="508"/>
      <c r="BPE354" s="513"/>
      <c r="BPF354" s="508"/>
      <c r="BPG354" s="513"/>
      <c r="BPH354" s="508"/>
      <c r="BPI354" s="513"/>
      <c r="BPJ354" s="508"/>
      <c r="BPK354" s="513"/>
      <c r="BPL354" s="508"/>
      <c r="BPM354" s="513"/>
      <c r="BPN354" s="508"/>
      <c r="BPO354" s="513"/>
      <c r="BPP354" s="508"/>
      <c r="BPQ354" s="513"/>
      <c r="BPR354" s="508"/>
      <c r="BPS354" s="513"/>
      <c r="BPT354" s="508"/>
      <c r="BPU354" s="513"/>
      <c r="BPV354" s="508"/>
      <c r="BPW354" s="513"/>
      <c r="BPX354" s="508"/>
      <c r="BPY354" s="513"/>
      <c r="BPZ354" s="508"/>
      <c r="BQA354" s="513"/>
      <c r="BQB354" s="508"/>
      <c r="BQC354" s="513"/>
      <c r="BQD354" s="508"/>
      <c r="BQE354" s="513"/>
      <c r="BQF354" s="508"/>
      <c r="BQG354" s="513"/>
      <c r="BQH354" s="508"/>
      <c r="BQI354" s="513"/>
      <c r="BQJ354" s="508"/>
      <c r="BQK354" s="513"/>
      <c r="BQL354" s="508"/>
      <c r="BQM354" s="513"/>
      <c r="BQN354" s="508"/>
      <c r="BQO354" s="513"/>
      <c r="BQP354" s="508"/>
      <c r="BQQ354" s="513"/>
      <c r="BQR354" s="508"/>
      <c r="BQS354" s="513"/>
      <c r="BQT354" s="508"/>
      <c r="BQU354" s="513"/>
      <c r="BQV354" s="508"/>
      <c r="BQW354" s="513"/>
      <c r="BQX354" s="508"/>
      <c r="BQY354" s="513"/>
      <c r="BQZ354" s="508"/>
      <c r="BRA354" s="513"/>
      <c r="BRB354" s="508"/>
      <c r="BRC354" s="513"/>
      <c r="BRD354" s="508"/>
      <c r="BRE354" s="513"/>
      <c r="BRF354" s="508"/>
      <c r="BRG354" s="513"/>
      <c r="BRH354" s="508"/>
      <c r="BRI354" s="513"/>
      <c r="BRJ354" s="508"/>
      <c r="BRK354" s="513"/>
      <c r="BRL354" s="508"/>
      <c r="BRM354" s="513"/>
      <c r="BRN354" s="508"/>
      <c r="BRO354" s="513"/>
      <c r="BRP354" s="508"/>
      <c r="BRQ354" s="513"/>
      <c r="BRR354" s="508"/>
      <c r="BRS354" s="513"/>
      <c r="BRT354" s="508"/>
      <c r="BRU354" s="513"/>
      <c r="BRV354" s="508"/>
      <c r="BRW354" s="513"/>
      <c r="BRX354" s="508"/>
      <c r="BRY354" s="513"/>
      <c r="BRZ354" s="508"/>
      <c r="BSA354" s="513"/>
      <c r="BSB354" s="508"/>
      <c r="BSC354" s="513"/>
      <c r="BSD354" s="508"/>
      <c r="BSE354" s="513"/>
      <c r="BSF354" s="508"/>
      <c r="BSG354" s="513"/>
      <c r="BSH354" s="508"/>
      <c r="BSI354" s="513"/>
      <c r="BSJ354" s="508"/>
      <c r="BSK354" s="513"/>
      <c r="BSL354" s="508"/>
      <c r="BSM354" s="513"/>
      <c r="BSN354" s="508"/>
      <c r="BSO354" s="513"/>
      <c r="BSP354" s="508"/>
      <c r="BSQ354" s="513"/>
      <c r="BSR354" s="508"/>
      <c r="BSS354" s="513"/>
      <c r="BST354" s="508"/>
      <c r="BSU354" s="513"/>
      <c r="BSV354" s="508"/>
      <c r="BSW354" s="513"/>
      <c r="BSX354" s="508"/>
      <c r="BSY354" s="513"/>
      <c r="BSZ354" s="508"/>
      <c r="BTA354" s="513"/>
      <c r="BTB354" s="508"/>
      <c r="BTC354" s="513"/>
      <c r="BTD354" s="508"/>
      <c r="BTE354" s="513"/>
      <c r="BTF354" s="508"/>
      <c r="BTG354" s="513"/>
      <c r="BTH354" s="508"/>
      <c r="BTI354" s="513"/>
      <c r="BTJ354" s="508"/>
      <c r="BTK354" s="513"/>
      <c r="BTL354" s="508"/>
      <c r="BTM354" s="513"/>
      <c r="BTN354" s="508"/>
      <c r="BTO354" s="513"/>
      <c r="BTP354" s="508"/>
      <c r="BTQ354" s="513"/>
      <c r="BTR354" s="508"/>
      <c r="BTS354" s="513"/>
      <c r="BTT354" s="508"/>
      <c r="BTU354" s="513"/>
      <c r="BTV354" s="508"/>
      <c r="BTW354" s="513"/>
      <c r="BTX354" s="508"/>
      <c r="BTY354" s="513"/>
      <c r="BTZ354" s="508"/>
      <c r="BUA354" s="513"/>
      <c r="BUB354" s="508"/>
      <c r="BUC354" s="513"/>
      <c r="BUD354" s="508"/>
      <c r="BUE354" s="513"/>
      <c r="BUF354" s="508"/>
      <c r="BUG354" s="513"/>
      <c r="BUH354" s="508"/>
      <c r="BUI354" s="513"/>
      <c r="BUJ354" s="508"/>
      <c r="BUK354" s="513"/>
      <c r="BUL354" s="508"/>
      <c r="BUM354" s="513"/>
      <c r="BUN354" s="508"/>
      <c r="BUO354" s="513"/>
      <c r="BUP354" s="508"/>
      <c r="BUQ354" s="513"/>
      <c r="BUR354" s="508"/>
      <c r="BUS354" s="513"/>
      <c r="BUT354" s="508"/>
      <c r="BUU354" s="513"/>
      <c r="BUV354" s="508"/>
      <c r="BUW354" s="513"/>
      <c r="BUX354" s="508"/>
      <c r="BUY354" s="513"/>
      <c r="BUZ354" s="508"/>
      <c r="BVA354" s="513"/>
      <c r="BVB354" s="508"/>
      <c r="BVC354" s="513"/>
      <c r="BVD354" s="508"/>
      <c r="BVE354" s="513"/>
      <c r="BVF354" s="508"/>
      <c r="BVG354" s="513"/>
      <c r="BVH354" s="508"/>
      <c r="BVI354" s="513"/>
      <c r="BVJ354" s="508"/>
      <c r="BVK354" s="513"/>
      <c r="BVL354" s="508"/>
      <c r="BVM354" s="513"/>
      <c r="BVN354" s="508"/>
      <c r="BVO354" s="513"/>
      <c r="BVP354" s="508"/>
      <c r="BVQ354" s="513"/>
      <c r="BVR354" s="508"/>
      <c r="BVS354" s="513"/>
      <c r="BVT354" s="508"/>
      <c r="BVU354" s="513"/>
      <c r="BVV354" s="508"/>
      <c r="BVW354" s="513"/>
      <c r="BVX354" s="508"/>
      <c r="BVY354" s="513"/>
      <c r="BVZ354" s="508"/>
      <c r="BWA354" s="513"/>
      <c r="BWB354" s="508"/>
      <c r="BWC354" s="513"/>
      <c r="BWD354" s="508"/>
      <c r="BWE354" s="513"/>
      <c r="BWF354" s="508"/>
      <c r="BWG354" s="513"/>
      <c r="BWH354" s="508"/>
      <c r="BWI354" s="513"/>
      <c r="BWJ354" s="508"/>
      <c r="BWK354" s="513"/>
      <c r="BWL354" s="508"/>
      <c r="BWM354" s="513"/>
      <c r="BWN354" s="508"/>
      <c r="BWO354" s="513"/>
      <c r="BWP354" s="508"/>
      <c r="BWQ354" s="513"/>
      <c r="BWR354" s="508"/>
      <c r="BWS354" s="513"/>
      <c r="BWT354" s="508"/>
      <c r="BWU354" s="513"/>
      <c r="BWV354" s="508"/>
      <c r="BWW354" s="513"/>
      <c r="BWX354" s="508"/>
      <c r="BWY354" s="513"/>
      <c r="BWZ354" s="508"/>
      <c r="BXA354" s="513"/>
      <c r="BXB354" s="508"/>
      <c r="BXC354" s="513"/>
      <c r="BXD354" s="508"/>
      <c r="BXE354" s="513"/>
      <c r="BXF354" s="508"/>
      <c r="BXG354" s="513"/>
      <c r="BXH354" s="508"/>
      <c r="BXI354" s="513"/>
      <c r="BXJ354" s="508"/>
      <c r="BXK354" s="513"/>
      <c r="BXL354" s="508"/>
      <c r="BXM354" s="513"/>
      <c r="BXN354" s="508"/>
      <c r="BXO354" s="513"/>
      <c r="BXP354" s="508"/>
      <c r="BXQ354" s="513"/>
      <c r="BXR354" s="508"/>
      <c r="BXS354" s="513"/>
      <c r="BXT354" s="508"/>
      <c r="BXU354" s="513"/>
      <c r="BXV354" s="508"/>
      <c r="BXW354" s="513"/>
      <c r="BXX354" s="508"/>
      <c r="BXY354" s="513"/>
      <c r="BXZ354" s="508"/>
      <c r="BYA354" s="513"/>
      <c r="BYB354" s="508"/>
      <c r="BYC354" s="513"/>
      <c r="BYD354" s="508"/>
      <c r="BYE354" s="513"/>
      <c r="BYF354" s="508"/>
      <c r="BYG354" s="513"/>
      <c r="BYH354" s="508"/>
      <c r="BYI354" s="513"/>
      <c r="BYJ354" s="508"/>
      <c r="BYK354" s="513"/>
      <c r="BYL354" s="508"/>
      <c r="BYM354" s="513"/>
      <c r="BYN354" s="508"/>
      <c r="BYO354" s="513"/>
      <c r="BYP354" s="508"/>
      <c r="BYQ354" s="513"/>
      <c r="BYR354" s="508"/>
      <c r="BYS354" s="513"/>
      <c r="BYT354" s="508"/>
      <c r="BYU354" s="513"/>
      <c r="BYV354" s="508"/>
      <c r="BYW354" s="513"/>
      <c r="BYX354" s="508"/>
      <c r="BYY354" s="513"/>
      <c r="BYZ354" s="508"/>
      <c r="BZA354" s="513"/>
      <c r="BZB354" s="508"/>
      <c r="BZC354" s="513"/>
      <c r="BZD354" s="508"/>
      <c r="BZE354" s="513"/>
      <c r="BZF354" s="508"/>
      <c r="BZG354" s="513"/>
      <c r="BZH354" s="508"/>
      <c r="BZI354" s="513"/>
      <c r="BZJ354" s="508"/>
      <c r="BZK354" s="513"/>
      <c r="BZL354" s="508"/>
      <c r="BZM354" s="513"/>
      <c r="BZN354" s="508"/>
      <c r="BZO354" s="513"/>
      <c r="BZP354" s="508"/>
      <c r="BZQ354" s="513"/>
      <c r="BZR354" s="508"/>
      <c r="BZS354" s="513"/>
      <c r="BZT354" s="508"/>
      <c r="BZU354" s="513"/>
      <c r="BZV354" s="508"/>
      <c r="BZW354" s="513"/>
      <c r="BZX354" s="508"/>
      <c r="BZY354" s="513"/>
      <c r="BZZ354" s="508"/>
      <c r="CAA354" s="513"/>
      <c r="CAB354" s="508"/>
      <c r="CAC354" s="513"/>
      <c r="CAD354" s="508"/>
      <c r="CAE354" s="513"/>
      <c r="CAF354" s="508"/>
      <c r="CAG354" s="513"/>
      <c r="CAH354" s="508"/>
      <c r="CAI354" s="513"/>
      <c r="CAJ354" s="508"/>
      <c r="CAK354" s="513"/>
      <c r="CAL354" s="508"/>
      <c r="CAM354" s="513"/>
      <c r="CAN354" s="508"/>
      <c r="CAO354" s="513"/>
      <c r="CAP354" s="508"/>
      <c r="CAQ354" s="513"/>
      <c r="CAR354" s="508"/>
      <c r="CAS354" s="513"/>
      <c r="CAT354" s="508"/>
      <c r="CAU354" s="513"/>
      <c r="CAV354" s="508"/>
      <c r="CAW354" s="513"/>
      <c r="CAX354" s="508"/>
      <c r="CAY354" s="513"/>
      <c r="CAZ354" s="508"/>
      <c r="CBA354" s="513"/>
      <c r="CBB354" s="508"/>
      <c r="CBC354" s="513"/>
      <c r="CBD354" s="508"/>
      <c r="CBE354" s="513"/>
      <c r="CBF354" s="508"/>
      <c r="CBG354" s="513"/>
      <c r="CBH354" s="508"/>
      <c r="CBI354" s="513"/>
      <c r="CBJ354" s="508"/>
      <c r="CBK354" s="513"/>
      <c r="CBL354" s="508"/>
      <c r="CBM354" s="513"/>
      <c r="CBN354" s="508"/>
      <c r="CBO354" s="513"/>
      <c r="CBP354" s="508"/>
      <c r="CBQ354" s="513"/>
      <c r="CBR354" s="508"/>
      <c r="CBS354" s="513"/>
      <c r="CBT354" s="508"/>
      <c r="CBU354" s="513"/>
      <c r="CBV354" s="508"/>
      <c r="CBW354" s="513"/>
      <c r="CBX354" s="508"/>
      <c r="CBY354" s="513"/>
      <c r="CBZ354" s="508"/>
      <c r="CCA354" s="513"/>
      <c r="CCB354" s="508"/>
      <c r="CCC354" s="513"/>
      <c r="CCD354" s="508"/>
      <c r="CCE354" s="513"/>
      <c r="CCF354" s="508"/>
      <c r="CCG354" s="513"/>
      <c r="CCH354" s="508"/>
      <c r="CCI354" s="513"/>
      <c r="CCJ354" s="508"/>
      <c r="CCK354" s="513"/>
      <c r="CCL354" s="508"/>
      <c r="CCM354" s="513"/>
      <c r="CCN354" s="508"/>
      <c r="CCO354" s="513"/>
      <c r="CCP354" s="508"/>
      <c r="CCQ354" s="513"/>
      <c r="CCR354" s="508"/>
      <c r="CCS354" s="513"/>
      <c r="CCT354" s="508"/>
      <c r="CCU354" s="513"/>
      <c r="CCV354" s="508"/>
      <c r="CCW354" s="513"/>
      <c r="CCX354" s="508"/>
      <c r="CCY354" s="513"/>
      <c r="CCZ354" s="508"/>
      <c r="CDA354" s="513"/>
      <c r="CDB354" s="508"/>
      <c r="CDC354" s="513"/>
      <c r="CDD354" s="508"/>
      <c r="CDE354" s="513"/>
      <c r="CDF354" s="508"/>
      <c r="CDG354" s="513"/>
      <c r="CDH354" s="508"/>
      <c r="CDI354" s="513"/>
      <c r="CDJ354" s="508"/>
      <c r="CDK354" s="513"/>
      <c r="CDL354" s="508"/>
      <c r="CDM354" s="513"/>
      <c r="CDN354" s="508"/>
      <c r="CDO354" s="513"/>
      <c r="CDP354" s="508"/>
      <c r="CDQ354" s="513"/>
      <c r="CDR354" s="508"/>
      <c r="CDS354" s="513"/>
      <c r="CDT354" s="508"/>
      <c r="CDU354" s="513"/>
      <c r="CDV354" s="508"/>
      <c r="CDW354" s="513"/>
      <c r="CDX354" s="508"/>
      <c r="CDY354" s="513"/>
      <c r="CDZ354" s="508"/>
      <c r="CEA354" s="513"/>
      <c r="CEB354" s="508"/>
      <c r="CEC354" s="513"/>
      <c r="CED354" s="508"/>
      <c r="CEE354" s="513"/>
      <c r="CEF354" s="508"/>
      <c r="CEG354" s="513"/>
      <c r="CEH354" s="508"/>
      <c r="CEI354" s="513"/>
      <c r="CEJ354" s="508"/>
      <c r="CEK354" s="513"/>
      <c r="CEL354" s="508"/>
      <c r="CEM354" s="513"/>
      <c r="CEN354" s="508"/>
      <c r="CEO354" s="513"/>
      <c r="CEP354" s="508"/>
      <c r="CEQ354" s="513"/>
      <c r="CER354" s="508"/>
      <c r="CES354" s="513"/>
      <c r="CET354" s="508"/>
      <c r="CEU354" s="513"/>
      <c r="CEV354" s="508"/>
      <c r="CEW354" s="513"/>
      <c r="CEX354" s="508"/>
      <c r="CEY354" s="513"/>
      <c r="CEZ354" s="508"/>
      <c r="CFA354" s="513"/>
      <c r="CFB354" s="508"/>
      <c r="CFC354" s="513"/>
      <c r="CFD354" s="508"/>
      <c r="CFE354" s="513"/>
      <c r="CFF354" s="508"/>
      <c r="CFG354" s="513"/>
      <c r="CFH354" s="508"/>
      <c r="CFI354" s="513"/>
      <c r="CFJ354" s="508"/>
      <c r="CFK354" s="513"/>
      <c r="CFL354" s="508"/>
      <c r="CFM354" s="513"/>
      <c r="CFN354" s="508"/>
      <c r="CFO354" s="513"/>
      <c r="CFP354" s="508"/>
      <c r="CFQ354" s="513"/>
      <c r="CFR354" s="508"/>
      <c r="CFS354" s="513"/>
      <c r="CFT354" s="508"/>
      <c r="CFU354" s="513"/>
      <c r="CFV354" s="508"/>
      <c r="CFW354" s="513"/>
      <c r="CFX354" s="508"/>
      <c r="CFY354" s="513"/>
      <c r="CFZ354" s="508"/>
      <c r="CGA354" s="513"/>
      <c r="CGB354" s="508"/>
      <c r="CGC354" s="513"/>
      <c r="CGD354" s="508"/>
      <c r="CGE354" s="513"/>
      <c r="CGF354" s="508"/>
      <c r="CGG354" s="513"/>
      <c r="CGH354" s="508"/>
      <c r="CGI354" s="513"/>
      <c r="CGJ354" s="508"/>
      <c r="CGK354" s="513"/>
      <c r="CGL354" s="508"/>
      <c r="CGM354" s="513"/>
      <c r="CGN354" s="508"/>
      <c r="CGO354" s="513"/>
      <c r="CGP354" s="508"/>
      <c r="CGQ354" s="513"/>
      <c r="CGR354" s="508"/>
      <c r="CGS354" s="513"/>
      <c r="CGT354" s="508"/>
      <c r="CGU354" s="513"/>
      <c r="CGV354" s="508"/>
      <c r="CGW354" s="513"/>
      <c r="CGX354" s="508"/>
      <c r="CGY354" s="513"/>
      <c r="CGZ354" s="508"/>
      <c r="CHA354" s="513"/>
      <c r="CHB354" s="508"/>
      <c r="CHC354" s="513"/>
      <c r="CHD354" s="508"/>
      <c r="CHE354" s="513"/>
      <c r="CHF354" s="508"/>
      <c r="CHG354" s="513"/>
      <c r="CHH354" s="508"/>
      <c r="CHI354" s="513"/>
      <c r="CHJ354" s="508"/>
      <c r="CHK354" s="513"/>
      <c r="CHL354" s="508"/>
      <c r="CHM354" s="513"/>
      <c r="CHN354" s="508"/>
      <c r="CHO354" s="513"/>
      <c r="CHP354" s="508"/>
      <c r="CHQ354" s="513"/>
      <c r="CHR354" s="508"/>
      <c r="CHS354" s="513"/>
      <c r="CHT354" s="508"/>
      <c r="CHU354" s="513"/>
      <c r="CHV354" s="508"/>
      <c r="CHW354" s="513"/>
      <c r="CHX354" s="508"/>
      <c r="CHY354" s="513"/>
      <c r="CHZ354" s="508"/>
      <c r="CIA354" s="513"/>
      <c r="CIB354" s="508"/>
      <c r="CIC354" s="513"/>
      <c r="CID354" s="508"/>
      <c r="CIE354" s="513"/>
      <c r="CIF354" s="508"/>
      <c r="CIG354" s="513"/>
      <c r="CIH354" s="508"/>
      <c r="CII354" s="513"/>
      <c r="CIJ354" s="508"/>
      <c r="CIK354" s="513"/>
      <c r="CIL354" s="508"/>
      <c r="CIM354" s="513"/>
      <c r="CIN354" s="508"/>
      <c r="CIO354" s="513"/>
      <c r="CIP354" s="508"/>
      <c r="CIQ354" s="513"/>
      <c r="CIR354" s="508"/>
      <c r="CIS354" s="513"/>
      <c r="CIT354" s="508"/>
      <c r="CIU354" s="513"/>
      <c r="CIV354" s="508"/>
      <c r="CIW354" s="513"/>
      <c r="CIX354" s="508"/>
      <c r="CIY354" s="513"/>
      <c r="CIZ354" s="508"/>
      <c r="CJA354" s="513"/>
      <c r="CJB354" s="508"/>
      <c r="CJC354" s="513"/>
      <c r="CJD354" s="508"/>
      <c r="CJE354" s="513"/>
      <c r="CJF354" s="508"/>
      <c r="CJG354" s="513"/>
      <c r="CJH354" s="508"/>
      <c r="CJI354" s="513"/>
      <c r="CJJ354" s="508"/>
      <c r="CJK354" s="513"/>
      <c r="CJL354" s="508"/>
      <c r="CJM354" s="513"/>
      <c r="CJN354" s="508"/>
      <c r="CJO354" s="513"/>
      <c r="CJP354" s="508"/>
      <c r="CJQ354" s="513"/>
      <c r="CJR354" s="508"/>
      <c r="CJS354" s="513"/>
      <c r="CJT354" s="508"/>
      <c r="CJU354" s="513"/>
      <c r="CJV354" s="508"/>
      <c r="CJW354" s="513"/>
      <c r="CJX354" s="508"/>
      <c r="CJY354" s="513"/>
      <c r="CJZ354" s="508"/>
      <c r="CKA354" s="513"/>
      <c r="CKB354" s="508"/>
      <c r="CKC354" s="513"/>
      <c r="CKD354" s="508"/>
      <c r="CKE354" s="513"/>
      <c r="CKF354" s="508"/>
      <c r="CKG354" s="513"/>
      <c r="CKH354" s="508"/>
      <c r="CKI354" s="513"/>
      <c r="CKJ354" s="508"/>
      <c r="CKK354" s="513"/>
      <c r="CKL354" s="508"/>
      <c r="CKM354" s="513"/>
      <c r="CKN354" s="508"/>
      <c r="CKO354" s="513"/>
      <c r="CKP354" s="508"/>
      <c r="CKQ354" s="513"/>
      <c r="CKR354" s="508"/>
      <c r="CKS354" s="513"/>
      <c r="CKT354" s="508"/>
      <c r="CKU354" s="513"/>
      <c r="CKV354" s="508"/>
      <c r="CKW354" s="513"/>
      <c r="CKX354" s="508"/>
      <c r="CKY354" s="513"/>
      <c r="CKZ354" s="508"/>
      <c r="CLA354" s="513"/>
      <c r="CLB354" s="508"/>
      <c r="CLC354" s="513"/>
      <c r="CLD354" s="508"/>
      <c r="CLE354" s="513"/>
      <c r="CLF354" s="508"/>
      <c r="CLG354" s="513"/>
      <c r="CLH354" s="508"/>
      <c r="CLI354" s="513"/>
      <c r="CLJ354" s="508"/>
      <c r="CLK354" s="513"/>
      <c r="CLL354" s="508"/>
      <c r="CLM354" s="513"/>
      <c r="CLN354" s="508"/>
      <c r="CLO354" s="513"/>
      <c r="CLP354" s="508"/>
      <c r="CLQ354" s="513"/>
      <c r="CLR354" s="508"/>
      <c r="CLS354" s="513"/>
      <c r="CLT354" s="508"/>
      <c r="CLU354" s="513"/>
      <c r="CLV354" s="508"/>
      <c r="CLW354" s="513"/>
      <c r="CLX354" s="508"/>
      <c r="CLY354" s="513"/>
      <c r="CLZ354" s="508"/>
      <c r="CMA354" s="513"/>
      <c r="CMB354" s="508"/>
      <c r="CMC354" s="513"/>
      <c r="CMD354" s="508"/>
      <c r="CME354" s="513"/>
      <c r="CMF354" s="508"/>
      <c r="CMG354" s="513"/>
      <c r="CMH354" s="508"/>
      <c r="CMI354" s="513"/>
      <c r="CMJ354" s="508"/>
      <c r="CMK354" s="513"/>
      <c r="CML354" s="508"/>
      <c r="CMM354" s="513"/>
      <c r="CMN354" s="508"/>
      <c r="CMO354" s="513"/>
      <c r="CMP354" s="508"/>
      <c r="CMQ354" s="513"/>
      <c r="CMR354" s="508"/>
      <c r="CMS354" s="513"/>
      <c r="CMT354" s="508"/>
      <c r="CMU354" s="513"/>
      <c r="CMV354" s="508"/>
      <c r="CMW354" s="513"/>
      <c r="CMX354" s="508"/>
      <c r="CMY354" s="513"/>
      <c r="CMZ354" s="508"/>
      <c r="CNA354" s="513"/>
      <c r="CNB354" s="508"/>
      <c r="CNC354" s="513"/>
      <c r="CND354" s="508"/>
      <c r="CNE354" s="513"/>
      <c r="CNF354" s="508"/>
      <c r="CNG354" s="513"/>
      <c r="CNH354" s="508"/>
      <c r="CNI354" s="513"/>
      <c r="CNJ354" s="508"/>
      <c r="CNK354" s="513"/>
      <c r="CNL354" s="508"/>
      <c r="CNM354" s="513"/>
      <c r="CNN354" s="508"/>
      <c r="CNO354" s="513"/>
      <c r="CNP354" s="508"/>
      <c r="CNQ354" s="513"/>
      <c r="CNR354" s="508"/>
      <c r="CNS354" s="513"/>
      <c r="CNT354" s="508"/>
      <c r="CNU354" s="513"/>
      <c r="CNV354" s="508"/>
      <c r="CNW354" s="513"/>
      <c r="CNX354" s="508"/>
      <c r="CNY354" s="513"/>
      <c r="CNZ354" s="508"/>
      <c r="COA354" s="513"/>
      <c r="COB354" s="508"/>
      <c r="COC354" s="513"/>
      <c r="COD354" s="508"/>
      <c r="COE354" s="513"/>
      <c r="COF354" s="508"/>
      <c r="COG354" s="513"/>
      <c r="COH354" s="508"/>
      <c r="COI354" s="513"/>
      <c r="COJ354" s="508"/>
      <c r="COK354" s="513"/>
      <c r="COL354" s="508"/>
      <c r="COM354" s="513"/>
      <c r="CON354" s="508"/>
      <c r="COO354" s="513"/>
      <c r="COP354" s="508"/>
      <c r="COQ354" s="513"/>
      <c r="COR354" s="508"/>
      <c r="COS354" s="513"/>
      <c r="COT354" s="508"/>
      <c r="COU354" s="513"/>
      <c r="COV354" s="508"/>
      <c r="COW354" s="513"/>
      <c r="COX354" s="508"/>
      <c r="COY354" s="513"/>
      <c r="COZ354" s="508"/>
      <c r="CPA354" s="513"/>
      <c r="CPB354" s="508"/>
      <c r="CPC354" s="513"/>
      <c r="CPD354" s="508"/>
      <c r="CPE354" s="513"/>
      <c r="CPF354" s="508"/>
      <c r="CPG354" s="513"/>
      <c r="CPH354" s="508"/>
      <c r="CPI354" s="513"/>
      <c r="CPJ354" s="508"/>
      <c r="CPK354" s="513"/>
      <c r="CPL354" s="508"/>
      <c r="CPM354" s="513"/>
      <c r="CPN354" s="508"/>
      <c r="CPO354" s="513"/>
      <c r="CPP354" s="508"/>
      <c r="CPQ354" s="513"/>
      <c r="CPR354" s="508"/>
      <c r="CPS354" s="513"/>
      <c r="CPT354" s="508"/>
      <c r="CPU354" s="513"/>
      <c r="CPV354" s="508"/>
      <c r="CPW354" s="513"/>
      <c r="CPX354" s="508"/>
      <c r="CPY354" s="513"/>
      <c r="CPZ354" s="508"/>
      <c r="CQA354" s="513"/>
      <c r="CQB354" s="508"/>
      <c r="CQC354" s="513"/>
      <c r="CQD354" s="508"/>
      <c r="CQE354" s="513"/>
      <c r="CQF354" s="508"/>
      <c r="CQG354" s="513"/>
      <c r="CQH354" s="508"/>
      <c r="CQI354" s="513"/>
      <c r="CQJ354" s="508"/>
      <c r="CQK354" s="513"/>
      <c r="CQL354" s="508"/>
      <c r="CQM354" s="513"/>
      <c r="CQN354" s="508"/>
      <c r="CQO354" s="513"/>
      <c r="CQP354" s="508"/>
      <c r="CQQ354" s="513"/>
      <c r="CQR354" s="508"/>
      <c r="CQS354" s="513"/>
      <c r="CQT354" s="508"/>
      <c r="CQU354" s="513"/>
      <c r="CQV354" s="508"/>
      <c r="CQW354" s="513"/>
      <c r="CQX354" s="508"/>
      <c r="CQY354" s="513"/>
      <c r="CQZ354" s="508"/>
      <c r="CRA354" s="513"/>
      <c r="CRB354" s="508"/>
      <c r="CRC354" s="513"/>
      <c r="CRD354" s="508"/>
      <c r="CRE354" s="513"/>
      <c r="CRF354" s="508"/>
      <c r="CRG354" s="513"/>
      <c r="CRH354" s="508"/>
      <c r="CRI354" s="513"/>
      <c r="CRJ354" s="508"/>
      <c r="CRK354" s="513"/>
      <c r="CRL354" s="508"/>
      <c r="CRM354" s="513"/>
      <c r="CRN354" s="508"/>
      <c r="CRO354" s="513"/>
      <c r="CRP354" s="508"/>
      <c r="CRQ354" s="513"/>
      <c r="CRR354" s="508"/>
      <c r="CRS354" s="513"/>
      <c r="CRT354" s="508"/>
      <c r="CRU354" s="513"/>
      <c r="CRV354" s="508"/>
      <c r="CRW354" s="513"/>
      <c r="CRX354" s="508"/>
      <c r="CRY354" s="513"/>
      <c r="CRZ354" s="508"/>
      <c r="CSA354" s="513"/>
      <c r="CSB354" s="508"/>
      <c r="CSC354" s="513"/>
      <c r="CSD354" s="508"/>
      <c r="CSE354" s="513"/>
      <c r="CSF354" s="508"/>
      <c r="CSG354" s="513"/>
      <c r="CSH354" s="508"/>
      <c r="CSI354" s="513"/>
      <c r="CSJ354" s="508"/>
      <c r="CSK354" s="513"/>
      <c r="CSL354" s="508"/>
      <c r="CSM354" s="513"/>
      <c r="CSN354" s="508"/>
      <c r="CSO354" s="513"/>
      <c r="CSP354" s="508"/>
      <c r="CSQ354" s="513"/>
      <c r="CSR354" s="508"/>
      <c r="CSS354" s="513"/>
      <c r="CST354" s="508"/>
      <c r="CSU354" s="513"/>
      <c r="CSV354" s="508"/>
      <c r="CSW354" s="513"/>
      <c r="CSX354" s="508"/>
      <c r="CSY354" s="513"/>
      <c r="CSZ354" s="508"/>
      <c r="CTA354" s="513"/>
      <c r="CTB354" s="508"/>
      <c r="CTC354" s="513"/>
      <c r="CTD354" s="508"/>
      <c r="CTE354" s="513"/>
      <c r="CTF354" s="508"/>
      <c r="CTG354" s="513"/>
      <c r="CTH354" s="508"/>
      <c r="CTI354" s="513"/>
      <c r="CTJ354" s="508"/>
      <c r="CTK354" s="513"/>
      <c r="CTL354" s="508"/>
      <c r="CTM354" s="513"/>
      <c r="CTN354" s="508"/>
      <c r="CTO354" s="513"/>
      <c r="CTP354" s="508"/>
      <c r="CTQ354" s="513"/>
      <c r="CTR354" s="508"/>
      <c r="CTS354" s="513"/>
      <c r="CTT354" s="508"/>
      <c r="CTU354" s="513"/>
      <c r="CTV354" s="508"/>
      <c r="CTW354" s="513"/>
      <c r="CTX354" s="508"/>
      <c r="CTY354" s="513"/>
      <c r="CTZ354" s="508"/>
      <c r="CUA354" s="513"/>
      <c r="CUB354" s="508"/>
      <c r="CUC354" s="513"/>
      <c r="CUD354" s="508"/>
      <c r="CUE354" s="513"/>
      <c r="CUF354" s="508"/>
      <c r="CUG354" s="513"/>
      <c r="CUH354" s="508"/>
      <c r="CUI354" s="513"/>
      <c r="CUJ354" s="508"/>
      <c r="CUK354" s="513"/>
      <c r="CUL354" s="508"/>
      <c r="CUM354" s="513"/>
      <c r="CUN354" s="508"/>
      <c r="CUO354" s="513"/>
      <c r="CUP354" s="508"/>
      <c r="CUQ354" s="513"/>
      <c r="CUR354" s="508"/>
      <c r="CUS354" s="513"/>
      <c r="CUT354" s="508"/>
      <c r="CUU354" s="513"/>
      <c r="CUV354" s="508"/>
      <c r="CUW354" s="513"/>
      <c r="CUX354" s="508"/>
      <c r="CUY354" s="513"/>
      <c r="CUZ354" s="508"/>
      <c r="CVA354" s="513"/>
      <c r="CVB354" s="508"/>
      <c r="CVC354" s="513"/>
      <c r="CVD354" s="508"/>
      <c r="CVE354" s="513"/>
      <c r="CVF354" s="508"/>
      <c r="CVG354" s="513"/>
      <c r="CVH354" s="508"/>
      <c r="CVI354" s="513"/>
      <c r="CVJ354" s="508"/>
      <c r="CVK354" s="513"/>
      <c r="CVL354" s="508"/>
      <c r="CVM354" s="513"/>
      <c r="CVN354" s="508"/>
      <c r="CVO354" s="513"/>
      <c r="CVP354" s="508"/>
      <c r="CVQ354" s="513"/>
      <c r="CVR354" s="508"/>
      <c r="CVS354" s="513"/>
      <c r="CVT354" s="508"/>
      <c r="CVU354" s="513"/>
      <c r="CVV354" s="508"/>
      <c r="CVW354" s="513"/>
      <c r="CVX354" s="508"/>
      <c r="CVY354" s="513"/>
      <c r="CVZ354" s="508"/>
      <c r="CWA354" s="513"/>
      <c r="CWB354" s="508"/>
      <c r="CWC354" s="513"/>
      <c r="CWD354" s="508"/>
      <c r="CWE354" s="513"/>
      <c r="CWF354" s="508"/>
      <c r="CWG354" s="513"/>
      <c r="CWH354" s="508"/>
      <c r="CWI354" s="513"/>
      <c r="CWJ354" s="508"/>
      <c r="CWK354" s="513"/>
      <c r="CWL354" s="508"/>
      <c r="CWM354" s="513"/>
      <c r="CWN354" s="508"/>
      <c r="CWO354" s="513"/>
      <c r="CWP354" s="508"/>
      <c r="CWQ354" s="513"/>
      <c r="CWR354" s="508"/>
      <c r="CWS354" s="513"/>
      <c r="CWT354" s="508"/>
      <c r="CWU354" s="513"/>
      <c r="CWV354" s="508"/>
      <c r="CWW354" s="513"/>
      <c r="CWX354" s="508"/>
      <c r="CWY354" s="513"/>
      <c r="CWZ354" s="508"/>
      <c r="CXA354" s="513"/>
      <c r="CXB354" s="508"/>
      <c r="CXC354" s="513"/>
      <c r="CXD354" s="508"/>
      <c r="CXE354" s="513"/>
      <c r="CXF354" s="508"/>
      <c r="CXG354" s="513"/>
      <c r="CXH354" s="508"/>
      <c r="CXI354" s="513"/>
      <c r="CXJ354" s="508"/>
      <c r="CXK354" s="513"/>
      <c r="CXL354" s="508"/>
      <c r="CXM354" s="513"/>
      <c r="CXN354" s="508"/>
      <c r="CXO354" s="513"/>
      <c r="CXP354" s="508"/>
      <c r="CXQ354" s="513"/>
      <c r="CXR354" s="508"/>
      <c r="CXS354" s="513"/>
      <c r="CXT354" s="508"/>
      <c r="CXU354" s="513"/>
      <c r="CXV354" s="508"/>
      <c r="CXW354" s="513"/>
      <c r="CXX354" s="508"/>
      <c r="CXY354" s="513"/>
      <c r="CXZ354" s="508"/>
      <c r="CYA354" s="513"/>
      <c r="CYB354" s="508"/>
      <c r="CYC354" s="513"/>
      <c r="CYD354" s="508"/>
      <c r="CYE354" s="513"/>
      <c r="CYF354" s="508"/>
      <c r="CYG354" s="513"/>
      <c r="CYH354" s="508"/>
      <c r="CYI354" s="513"/>
      <c r="CYJ354" s="508"/>
      <c r="CYK354" s="513"/>
      <c r="CYL354" s="508"/>
      <c r="CYM354" s="513"/>
      <c r="CYN354" s="508"/>
      <c r="CYO354" s="513"/>
      <c r="CYP354" s="508"/>
      <c r="CYQ354" s="513"/>
      <c r="CYR354" s="508"/>
      <c r="CYS354" s="513"/>
      <c r="CYT354" s="508"/>
      <c r="CYU354" s="513"/>
      <c r="CYV354" s="508"/>
      <c r="CYW354" s="513"/>
      <c r="CYX354" s="508"/>
      <c r="CYY354" s="513"/>
      <c r="CYZ354" s="508"/>
      <c r="CZA354" s="513"/>
      <c r="CZB354" s="508"/>
      <c r="CZC354" s="513"/>
      <c r="CZD354" s="508"/>
      <c r="CZE354" s="513"/>
      <c r="CZF354" s="508"/>
      <c r="CZG354" s="513"/>
      <c r="CZH354" s="508"/>
      <c r="CZI354" s="513"/>
      <c r="CZJ354" s="508"/>
      <c r="CZK354" s="513"/>
      <c r="CZL354" s="508"/>
      <c r="CZM354" s="513"/>
      <c r="CZN354" s="508"/>
      <c r="CZO354" s="513"/>
      <c r="CZP354" s="508"/>
      <c r="CZQ354" s="513"/>
      <c r="CZR354" s="508"/>
      <c r="CZS354" s="513"/>
      <c r="CZT354" s="508"/>
      <c r="CZU354" s="513"/>
      <c r="CZV354" s="508"/>
      <c r="CZW354" s="513"/>
      <c r="CZX354" s="508"/>
      <c r="CZY354" s="513"/>
      <c r="CZZ354" s="508"/>
      <c r="DAA354" s="513"/>
      <c r="DAB354" s="508"/>
      <c r="DAC354" s="513"/>
      <c r="DAD354" s="508"/>
      <c r="DAE354" s="513"/>
      <c r="DAF354" s="508"/>
      <c r="DAG354" s="513"/>
      <c r="DAH354" s="508"/>
      <c r="DAI354" s="513"/>
      <c r="DAJ354" s="508"/>
      <c r="DAK354" s="513"/>
      <c r="DAL354" s="508"/>
      <c r="DAM354" s="513"/>
      <c r="DAN354" s="508"/>
      <c r="DAO354" s="513"/>
      <c r="DAP354" s="508"/>
      <c r="DAQ354" s="513"/>
      <c r="DAR354" s="508"/>
      <c r="DAS354" s="513"/>
      <c r="DAT354" s="508"/>
      <c r="DAU354" s="513"/>
      <c r="DAV354" s="508"/>
      <c r="DAW354" s="513"/>
      <c r="DAX354" s="508"/>
      <c r="DAY354" s="513"/>
      <c r="DAZ354" s="508"/>
      <c r="DBA354" s="513"/>
      <c r="DBB354" s="508"/>
      <c r="DBC354" s="513"/>
      <c r="DBD354" s="508"/>
      <c r="DBE354" s="513"/>
      <c r="DBF354" s="508"/>
      <c r="DBG354" s="513"/>
      <c r="DBH354" s="508"/>
      <c r="DBI354" s="513"/>
      <c r="DBJ354" s="508"/>
      <c r="DBK354" s="513"/>
      <c r="DBL354" s="508"/>
      <c r="DBM354" s="513"/>
      <c r="DBN354" s="508"/>
      <c r="DBO354" s="513"/>
      <c r="DBP354" s="508"/>
      <c r="DBQ354" s="513"/>
      <c r="DBR354" s="508"/>
      <c r="DBS354" s="513"/>
      <c r="DBT354" s="508"/>
      <c r="DBU354" s="513"/>
      <c r="DBV354" s="508"/>
      <c r="DBW354" s="513"/>
      <c r="DBX354" s="508"/>
      <c r="DBY354" s="513"/>
      <c r="DBZ354" s="508"/>
      <c r="DCA354" s="513"/>
      <c r="DCB354" s="508"/>
      <c r="DCC354" s="513"/>
      <c r="DCD354" s="508"/>
      <c r="DCE354" s="513"/>
      <c r="DCF354" s="508"/>
      <c r="DCG354" s="513"/>
      <c r="DCH354" s="508"/>
      <c r="DCI354" s="513"/>
      <c r="DCJ354" s="508"/>
      <c r="DCK354" s="513"/>
      <c r="DCL354" s="508"/>
      <c r="DCM354" s="513"/>
      <c r="DCN354" s="508"/>
      <c r="DCO354" s="513"/>
      <c r="DCP354" s="508"/>
      <c r="DCQ354" s="513"/>
      <c r="DCR354" s="508"/>
      <c r="DCS354" s="513"/>
      <c r="DCT354" s="508"/>
      <c r="DCU354" s="513"/>
      <c r="DCV354" s="508"/>
      <c r="DCW354" s="513"/>
      <c r="DCX354" s="508"/>
      <c r="DCY354" s="513"/>
      <c r="DCZ354" s="508"/>
      <c r="DDA354" s="513"/>
      <c r="DDB354" s="508"/>
      <c r="DDC354" s="513"/>
      <c r="DDD354" s="508"/>
      <c r="DDE354" s="513"/>
      <c r="DDF354" s="508"/>
      <c r="DDG354" s="513"/>
      <c r="DDH354" s="508"/>
      <c r="DDI354" s="513"/>
      <c r="DDJ354" s="508"/>
      <c r="DDK354" s="513"/>
      <c r="DDL354" s="508"/>
      <c r="DDM354" s="513"/>
      <c r="DDN354" s="508"/>
      <c r="DDO354" s="513"/>
      <c r="DDP354" s="508"/>
      <c r="DDQ354" s="513"/>
      <c r="DDR354" s="508"/>
      <c r="DDS354" s="513"/>
      <c r="DDT354" s="508"/>
      <c r="DDU354" s="513"/>
      <c r="DDV354" s="508"/>
      <c r="DDW354" s="513"/>
      <c r="DDX354" s="508"/>
      <c r="DDY354" s="513"/>
      <c r="DDZ354" s="508"/>
      <c r="DEA354" s="513"/>
      <c r="DEB354" s="508"/>
      <c r="DEC354" s="513"/>
      <c r="DED354" s="508"/>
      <c r="DEE354" s="513"/>
      <c r="DEF354" s="508"/>
      <c r="DEG354" s="513"/>
      <c r="DEH354" s="508"/>
      <c r="DEI354" s="513"/>
      <c r="DEJ354" s="508"/>
      <c r="DEK354" s="513"/>
      <c r="DEL354" s="508"/>
      <c r="DEM354" s="513"/>
      <c r="DEN354" s="508"/>
      <c r="DEO354" s="513"/>
      <c r="DEP354" s="508"/>
      <c r="DEQ354" s="513"/>
      <c r="DER354" s="508"/>
      <c r="DES354" s="513"/>
      <c r="DET354" s="508"/>
      <c r="DEU354" s="513"/>
      <c r="DEV354" s="508"/>
      <c r="DEW354" s="513"/>
      <c r="DEX354" s="508"/>
      <c r="DEY354" s="513"/>
      <c r="DEZ354" s="508"/>
      <c r="DFA354" s="513"/>
      <c r="DFB354" s="508"/>
      <c r="DFC354" s="513"/>
      <c r="DFD354" s="508"/>
      <c r="DFE354" s="513"/>
      <c r="DFF354" s="508"/>
      <c r="DFG354" s="513"/>
      <c r="DFH354" s="508"/>
      <c r="DFI354" s="513"/>
      <c r="DFJ354" s="508"/>
      <c r="DFK354" s="513"/>
      <c r="DFL354" s="508"/>
      <c r="DFM354" s="513"/>
      <c r="DFN354" s="508"/>
      <c r="DFO354" s="513"/>
      <c r="DFP354" s="508"/>
      <c r="DFQ354" s="513"/>
      <c r="DFR354" s="508"/>
      <c r="DFS354" s="513"/>
      <c r="DFT354" s="508"/>
      <c r="DFU354" s="513"/>
      <c r="DFV354" s="508"/>
      <c r="DFW354" s="513"/>
      <c r="DFX354" s="508"/>
      <c r="DFY354" s="513"/>
      <c r="DFZ354" s="508"/>
      <c r="DGA354" s="513"/>
      <c r="DGB354" s="508"/>
      <c r="DGC354" s="513"/>
      <c r="DGD354" s="508"/>
      <c r="DGE354" s="513"/>
      <c r="DGF354" s="508"/>
      <c r="DGG354" s="513"/>
      <c r="DGH354" s="508"/>
      <c r="DGI354" s="513"/>
      <c r="DGJ354" s="508"/>
      <c r="DGK354" s="513"/>
      <c r="DGL354" s="508"/>
      <c r="DGM354" s="513"/>
      <c r="DGN354" s="508"/>
      <c r="DGO354" s="513"/>
      <c r="DGP354" s="508"/>
      <c r="DGQ354" s="513"/>
      <c r="DGR354" s="508"/>
      <c r="DGS354" s="513"/>
      <c r="DGT354" s="508"/>
      <c r="DGU354" s="513"/>
      <c r="DGV354" s="508"/>
      <c r="DGW354" s="513"/>
      <c r="DGX354" s="508"/>
      <c r="DGY354" s="513"/>
      <c r="DGZ354" s="508"/>
      <c r="DHA354" s="513"/>
      <c r="DHB354" s="508"/>
      <c r="DHC354" s="513"/>
      <c r="DHD354" s="508"/>
      <c r="DHE354" s="513"/>
      <c r="DHF354" s="508"/>
      <c r="DHG354" s="513"/>
      <c r="DHH354" s="508"/>
      <c r="DHI354" s="513"/>
      <c r="DHJ354" s="508"/>
      <c r="DHK354" s="513"/>
      <c r="DHL354" s="508"/>
      <c r="DHM354" s="513"/>
      <c r="DHN354" s="508"/>
      <c r="DHO354" s="513"/>
      <c r="DHP354" s="508"/>
      <c r="DHQ354" s="513"/>
      <c r="DHR354" s="508"/>
      <c r="DHS354" s="513"/>
      <c r="DHT354" s="508"/>
      <c r="DHU354" s="513"/>
      <c r="DHV354" s="508"/>
      <c r="DHW354" s="513"/>
      <c r="DHX354" s="508"/>
      <c r="DHY354" s="513"/>
      <c r="DHZ354" s="508"/>
      <c r="DIA354" s="513"/>
      <c r="DIB354" s="508"/>
      <c r="DIC354" s="513"/>
      <c r="DID354" s="508"/>
      <c r="DIE354" s="513"/>
      <c r="DIF354" s="508"/>
      <c r="DIG354" s="513"/>
      <c r="DIH354" s="508"/>
      <c r="DII354" s="513"/>
      <c r="DIJ354" s="508"/>
      <c r="DIK354" s="513"/>
      <c r="DIL354" s="508"/>
      <c r="DIM354" s="513"/>
      <c r="DIN354" s="508"/>
      <c r="DIO354" s="513"/>
      <c r="DIP354" s="508"/>
      <c r="DIQ354" s="513"/>
      <c r="DIR354" s="508"/>
      <c r="DIS354" s="513"/>
      <c r="DIT354" s="508"/>
      <c r="DIU354" s="513"/>
      <c r="DIV354" s="508"/>
      <c r="DIW354" s="513"/>
      <c r="DIX354" s="508"/>
      <c r="DIY354" s="513"/>
      <c r="DIZ354" s="508"/>
      <c r="DJA354" s="513"/>
      <c r="DJB354" s="508"/>
      <c r="DJC354" s="513"/>
      <c r="DJD354" s="508"/>
      <c r="DJE354" s="513"/>
      <c r="DJF354" s="508"/>
      <c r="DJG354" s="513"/>
      <c r="DJH354" s="508"/>
      <c r="DJI354" s="513"/>
      <c r="DJJ354" s="508"/>
      <c r="DJK354" s="513"/>
      <c r="DJL354" s="508"/>
      <c r="DJM354" s="513"/>
      <c r="DJN354" s="508"/>
      <c r="DJO354" s="513"/>
      <c r="DJP354" s="508"/>
      <c r="DJQ354" s="513"/>
      <c r="DJR354" s="508"/>
      <c r="DJS354" s="513"/>
      <c r="DJT354" s="508"/>
      <c r="DJU354" s="513"/>
      <c r="DJV354" s="508"/>
      <c r="DJW354" s="513"/>
      <c r="DJX354" s="508"/>
      <c r="DJY354" s="513"/>
      <c r="DJZ354" s="508"/>
      <c r="DKA354" s="513"/>
      <c r="DKB354" s="508"/>
      <c r="DKC354" s="513"/>
      <c r="DKD354" s="508"/>
      <c r="DKE354" s="513"/>
      <c r="DKF354" s="508"/>
      <c r="DKG354" s="513"/>
      <c r="DKH354" s="508"/>
      <c r="DKI354" s="513"/>
      <c r="DKJ354" s="508"/>
      <c r="DKK354" s="513"/>
      <c r="DKL354" s="508"/>
      <c r="DKM354" s="513"/>
      <c r="DKN354" s="508"/>
      <c r="DKO354" s="513"/>
      <c r="DKP354" s="508"/>
      <c r="DKQ354" s="513"/>
      <c r="DKR354" s="508"/>
      <c r="DKS354" s="513"/>
      <c r="DKT354" s="508"/>
      <c r="DKU354" s="513"/>
      <c r="DKV354" s="508"/>
      <c r="DKW354" s="513"/>
      <c r="DKX354" s="508"/>
      <c r="DKY354" s="513"/>
      <c r="DKZ354" s="508"/>
      <c r="DLA354" s="513"/>
      <c r="DLB354" s="508"/>
      <c r="DLC354" s="513"/>
      <c r="DLD354" s="508"/>
      <c r="DLE354" s="513"/>
      <c r="DLF354" s="508"/>
      <c r="DLG354" s="513"/>
      <c r="DLH354" s="508"/>
      <c r="DLI354" s="513"/>
      <c r="DLJ354" s="508"/>
      <c r="DLK354" s="513"/>
      <c r="DLL354" s="508"/>
      <c r="DLM354" s="513"/>
      <c r="DLN354" s="508"/>
      <c r="DLO354" s="513"/>
      <c r="DLP354" s="508"/>
      <c r="DLQ354" s="513"/>
      <c r="DLR354" s="508"/>
      <c r="DLS354" s="513"/>
      <c r="DLT354" s="508"/>
      <c r="DLU354" s="513"/>
      <c r="DLV354" s="508"/>
      <c r="DLW354" s="513"/>
      <c r="DLX354" s="508"/>
      <c r="DLY354" s="513"/>
      <c r="DLZ354" s="508"/>
      <c r="DMA354" s="513"/>
      <c r="DMB354" s="508"/>
      <c r="DMC354" s="513"/>
      <c r="DMD354" s="508"/>
      <c r="DME354" s="513"/>
      <c r="DMF354" s="508"/>
      <c r="DMG354" s="513"/>
      <c r="DMH354" s="508"/>
      <c r="DMI354" s="513"/>
      <c r="DMJ354" s="508"/>
      <c r="DMK354" s="513"/>
      <c r="DML354" s="508"/>
      <c r="DMM354" s="513"/>
      <c r="DMN354" s="508"/>
      <c r="DMO354" s="513"/>
      <c r="DMP354" s="508"/>
      <c r="DMQ354" s="513"/>
      <c r="DMR354" s="508"/>
      <c r="DMS354" s="513"/>
      <c r="DMT354" s="508"/>
      <c r="DMU354" s="513"/>
      <c r="DMV354" s="508"/>
      <c r="DMW354" s="513"/>
      <c r="DMX354" s="508"/>
      <c r="DMY354" s="513"/>
      <c r="DMZ354" s="508"/>
      <c r="DNA354" s="513"/>
      <c r="DNB354" s="508"/>
      <c r="DNC354" s="513"/>
      <c r="DND354" s="508"/>
      <c r="DNE354" s="513"/>
      <c r="DNF354" s="508"/>
      <c r="DNG354" s="513"/>
      <c r="DNH354" s="508"/>
      <c r="DNI354" s="513"/>
      <c r="DNJ354" s="508"/>
      <c r="DNK354" s="513"/>
      <c r="DNL354" s="508"/>
      <c r="DNM354" s="513"/>
      <c r="DNN354" s="508"/>
      <c r="DNO354" s="513"/>
      <c r="DNP354" s="508"/>
      <c r="DNQ354" s="513"/>
      <c r="DNR354" s="508"/>
      <c r="DNS354" s="513"/>
      <c r="DNT354" s="508"/>
      <c r="DNU354" s="513"/>
      <c r="DNV354" s="508"/>
      <c r="DNW354" s="513"/>
      <c r="DNX354" s="508"/>
      <c r="DNY354" s="513"/>
      <c r="DNZ354" s="508"/>
      <c r="DOA354" s="513"/>
      <c r="DOB354" s="508"/>
      <c r="DOC354" s="513"/>
      <c r="DOD354" s="508"/>
      <c r="DOE354" s="513"/>
      <c r="DOF354" s="508"/>
      <c r="DOG354" s="513"/>
      <c r="DOH354" s="508"/>
      <c r="DOI354" s="513"/>
      <c r="DOJ354" s="508"/>
      <c r="DOK354" s="513"/>
      <c r="DOL354" s="508"/>
      <c r="DOM354" s="513"/>
      <c r="DON354" s="508"/>
      <c r="DOO354" s="513"/>
      <c r="DOP354" s="508"/>
      <c r="DOQ354" s="513"/>
      <c r="DOR354" s="508"/>
      <c r="DOS354" s="513"/>
      <c r="DOT354" s="508"/>
      <c r="DOU354" s="513"/>
      <c r="DOV354" s="508"/>
      <c r="DOW354" s="513"/>
      <c r="DOX354" s="508"/>
      <c r="DOY354" s="513"/>
      <c r="DOZ354" s="508"/>
      <c r="DPA354" s="513"/>
      <c r="DPB354" s="508"/>
      <c r="DPC354" s="513"/>
      <c r="DPD354" s="508"/>
      <c r="DPE354" s="513"/>
      <c r="DPF354" s="508"/>
      <c r="DPG354" s="513"/>
      <c r="DPH354" s="508"/>
      <c r="DPI354" s="513"/>
      <c r="DPJ354" s="508"/>
      <c r="DPK354" s="513"/>
      <c r="DPL354" s="508"/>
      <c r="DPM354" s="513"/>
      <c r="DPN354" s="508"/>
      <c r="DPO354" s="513"/>
      <c r="DPP354" s="508"/>
      <c r="DPQ354" s="513"/>
      <c r="DPR354" s="508"/>
      <c r="DPS354" s="513"/>
      <c r="DPT354" s="508"/>
      <c r="DPU354" s="513"/>
      <c r="DPV354" s="508"/>
      <c r="DPW354" s="513"/>
      <c r="DPX354" s="508"/>
      <c r="DPY354" s="513"/>
      <c r="DPZ354" s="508"/>
      <c r="DQA354" s="513"/>
      <c r="DQB354" s="508"/>
      <c r="DQC354" s="513"/>
      <c r="DQD354" s="508"/>
      <c r="DQE354" s="513"/>
      <c r="DQF354" s="508"/>
      <c r="DQG354" s="513"/>
      <c r="DQH354" s="508"/>
      <c r="DQI354" s="513"/>
      <c r="DQJ354" s="508"/>
      <c r="DQK354" s="513"/>
      <c r="DQL354" s="508"/>
      <c r="DQM354" s="513"/>
      <c r="DQN354" s="508"/>
      <c r="DQO354" s="513"/>
      <c r="DQP354" s="508"/>
      <c r="DQQ354" s="513"/>
      <c r="DQR354" s="508"/>
      <c r="DQS354" s="513"/>
      <c r="DQT354" s="508"/>
      <c r="DQU354" s="513"/>
      <c r="DQV354" s="508"/>
      <c r="DQW354" s="513"/>
      <c r="DQX354" s="508"/>
      <c r="DQY354" s="513"/>
      <c r="DQZ354" s="508"/>
      <c r="DRA354" s="513"/>
      <c r="DRB354" s="508"/>
      <c r="DRC354" s="513"/>
      <c r="DRD354" s="508"/>
      <c r="DRE354" s="513"/>
      <c r="DRF354" s="508"/>
      <c r="DRG354" s="513"/>
      <c r="DRH354" s="508"/>
      <c r="DRI354" s="513"/>
      <c r="DRJ354" s="508"/>
      <c r="DRK354" s="513"/>
      <c r="DRL354" s="508"/>
      <c r="DRM354" s="513"/>
      <c r="DRN354" s="508"/>
      <c r="DRO354" s="513"/>
      <c r="DRP354" s="508"/>
      <c r="DRQ354" s="513"/>
      <c r="DRR354" s="508"/>
      <c r="DRS354" s="513"/>
      <c r="DRT354" s="508"/>
      <c r="DRU354" s="513"/>
      <c r="DRV354" s="508"/>
      <c r="DRW354" s="513"/>
      <c r="DRX354" s="508"/>
      <c r="DRY354" s="513"/>
      <c r="DRZ354" s="508"/>
      <c r="DSA354" s="513"/>
      <c r="DSB354" s="508"/>
      <c r="DSC354" s="513"/>
      <c r="DSD354" s="508"/>
      <c r="DSE354" s="513"/>
      <c r="DSF354" s="508"/>
      <c r="DSG354" s="513"/>
      <c r="DSH354" s="508"/>
      <c r="DSI354" s="513"/>
      <c r="DSJ354" s="508"/>
      <c r="DSK354" s="513"/>
      <c r="DSL354" s="508"/>
      <c r="DSM354" s="513"/>
      <c r="DSN354" s="508"/>
      <c r="DSO354" s="513"/>
      <c r="DSP354" s="508"/>
      <c r="DSQ354" s="513"/>
      <c r="DSR354" s="508"/>
      <c r="DSS354" s="513"/>
      <c r="DST354" s="508"/>
      <c r="DSU354" s="513"/>
      <c r="DSV354" s="508"/>
      <c r="DSW354" s="513"/>
      <c r="DSX354" s="508"/>
      <c r="DSY354" s="513"/>
      <c r="DSZ354" s="508"/>
      <c r="DTA354" s="513"/>
      <c r="DTB354" s="508"/>
      <c r="DTC354" s="513"/>
      <c r="DTD354" s="508"/>
      <c r="DTE354" s="513"/>
      <c r="DTF354" s="508"/>
      <c r="DTG354" s="513"/>
      <c r="DTH354" s="508"/>
      <c r="DTI354" s="513"/>
      <c r="DTJ354" s="508"/>
      <c r="DTK354" s="513"/>
      <c r="DTL354" s="508"/>
      <c r="DTM354" s="513"/>
      <c r="DTN354" s="508"/>
      <c r="DTO354" s="513"/>
      <c r="DTP354" s="508"/>
      <c r="DTQ354" s="513"/>
      <c r="DTR354" s="508"/>
      <c r="DTS354" s="513"/>
      <c r="DTT354" s="508"/>
      <c r="DTU354" s="513"/>
      <c r="DTV354" s="508"/>
      <c r="DTW354" s="513"/>
      <c r="DTX354" s="508"/>
      <c r="DTY354" s="513"/>
      <c r="DTZ354" s="508"/>
      <c r="DUA354" s="513"/>
      <c r="DUB354" s="508"/>
      <c r="DUC354" s="513"/>
      <c r="DUD354" s="508"/>
      <c r="DUE354" s="513"/>
      <c r="DUF354" s="508"/>
      <c r="DUG354" s="513"/>
      <c r="DUH354" s="508"/>
      <c r="DUI354" s="513"/>
      <c r="DUJ354" s="508"/>
      <c r="DUK354" s="513"/>
      <c r="DUL354" s="508"/>
      <c r="DUM354" s="513"/>
      <c r="DUN354" s="508"/>
      <c r="DUO354" s="513"/>
      <c r="DUP354" s="508"/>
      <c r="DUQ354" s="513"/>
      <c r="DUR354" s="508"/>
      <c r="DUS354" s="513"/>
      <c r="DUT354" s="508"/>
      <c r="DUU354" s="513"/>
      <c r="DUV354" s="508"/>
      <c r="DUW354" s="513"/>
      <c r="DUX354" s="508"/>
      <c r="DUY354" s="513"/>
      <c r="DUZ354" s="508"/>
      <c r="DVA354" s="513"/>
      <c r="DVB354" s="508"/>
      <c r="DVC354" s="513"/>
      <c r="DVD354" s="508"/>
      <c r="DVE354" s="513"/>
      <c r="DVF354" s="508"/>
      <c r="DVG354" s="513"/>
      <c r="DVH354" s="508"/>
      <c r="DVI354" s="513"/>
      <c r="DVJ354" s="508"/>
      <c r="DVK354" s="513"/>
      <c r="DVL354" s="508"/>
      <c r="DVM354" s="513"/>
      <c r="DVN354" s="508"/>
      <c r="DVO354" s="513"/>
      <c r="DVP354" s="508"/>
      <c r="DVQ354" s="513"/>
      <c r="DVR354" s="508"/>
      <c r="DVS354" s="513"/>
      <c r="DVT354" s="508"/>
      <c r="DVU354" s="513"/>
      <c r="DVV354" s="508"/>
      <c r="DVW354" s="513"/>
      <c r="DVX354" s="508"/>
      <c r="DVY354" s="513"/>
      <c r="DVZ354" s="508"/>
      <c r="DWA354" s="513"/>
      <c r="DWB354" s="508"/>
      <c r="DWC354" s="513"/>
      <c r="DWD354" s="508"/>
      <c r="DWE354" s="513"/>
      <c r="DWF354" s="508"/>
      <c r="DWG354" s="513"/>
      <c r="DWH354" s="508"/>
      <c r="DWI354" s="513"/>
      <c r="DWJ354" s="508"/>
      <c r="DWK354" s="513"/>
      <c r="DWL354" s="508"/>
      <c r="DWM354" s="513"/>
      <c r="DWN354" s="508"/>
      <c r="DWO354" s="513"/>
      <c r="DWP354" s="508"/>
      <c r="DWQ354" s="513"/>
      <c r="DWR354" s="508"/>
      <c r="DWS354" s="513"/>
      <c r="DWT354" s="508"/>
      <c r="DWU354" s="513"/>
      <c r="DWV354" s="508"/>
      <c r="DWW354" s="513"/>
      <c r="DWX354" s="508"/>
      <c r="DWY354" s="513"/>
      <c r="DWZ354" s="508"/>
      <c r="DXA354" s="513"/>
      <c r="DXB354" s="508"/>
      <c r="DXC354" s="513"/>
      <c r="DXD354" s="508"/>
      <c r="DXE354" s="513"/>
      <c r="DXF354" s="508"/>
      <c r="DXG354" s="513"/>
      <c r="DXH354" s="508"/>
      <c r="DXI354" s="513"/>
      <c r="DXJ354" s="508"/>
      <c r="DXK354" s="513"/>
      <c r="DXL354" s="508"/>
      <c r="DXM354" s="513"/>
      <c r="DXN354" s="508"/>
      <c r="DXO354" s="513"/>
      <c r="DXP354" s="508"/>
      <c r="DXQ354" s="513"/>
      <c r="DXR354" s="508"/>
      <c r="DXS354" s="513"/>
      <c r="DXT354" s="508"/>
      <c r="DXU354" s="513"/>
      <c r="DXV354" s="508"/>
      <c r="DXW354" s="513"/>
      <c r="DXX354" s="508"/>
      <c r="DXY354" s="513"/>
      <c r="DXZ354" s="508"/>
      <c r="DYA354" s="513"/>
      <c r="DYB354" s="508"/>
      <c r="DYC354" s="513"/>
      <c r="DYD354" s="508"/>
      <c r="DYE354" s="513"/>
      <c r="DYF354" s="508"/>
      <c r="DYG354" s="513"/>
      <c r="DYH354" s="508"/>
      <c r="DYI354" s="513"/>
      <c r="DYJ354" s="508"/>
      <c r="DYK354" s="513"/>
      <c r="DYL354" s="508"/>
      <c r="DYM354" s="513"/>
      <c r="DYN354" s="508"/>
      <c r="DYO354" s="513"/>
      <c r="DYP354" s="508"/>
      <c r="DYQ354" s="513"/>
      <c r="DYR354" s="508"/>
      <c r="DYS354" s="513"/>
      <c r="DYT354" s="508"/>
      <c r="DYU354" s="513"/>
      <c r="DYV354" s="508"/>
      <c r="DYW354" s="513"/>
      <c r="DYX354" s="508"/>
      <c r="DYY354" s="513"/>
      <c r="DYZ354" s="508"/>
      <c r="DZA354" s="513"/>
      <c r="DZB354" s="508"/>
      <c r="DZC354" s="513"/>
      <c r="DZD354" s="508"/>
      <c r="DZE354" s="513"/>
      <c r="DZF354" s="508"/>
      <c r="DZG354" s="513"/>
      <c r="DZH354" s="508"/>
      <c r="DZI354" s="513"/>
      <c r="DZJ354" s="508"/>
      <c r="DZK354" s="513"/>
      <c r="DZL354" s="508"/>
      <c r="DZM354" s="513"/>
      <c r="DZN354" s="508"/>
      <c r="DZO354" s="513"/>
      <c r="DZP354" s="508"/>
      <c r="DZQ354" s="513"/>
      <c r="DZR354" s="508"/>
      <c r="DZS354" s="513"/>
      <c r="DZT354" s="508"/>
      <c r="DZU354" s="513"/>
      <c r="DZV354" s="508"/>
      <c r="DZW354" s="513"/>
      <c r="DZX354" s="508"/>
      <c r="DZY354" s="513"/>
      <c r="DZZ354" s="508"/>
      <c r="EAA354" s="513"/>
      <c r="EAB354" s="508"/>
      <c r="EAC354" s="513"/>
      <c r="EAD354" s="508"/>
      <c r="EAE354" s="513"/>
      <c r="EAF354" s="508"/>
      <c r="EAG354" s="513"/>
      <c r="EAH354" s="508"/>
      <c r="EAI354" s="513"/>
      <c r="EAJ354" s="508"/>
      <c r="EAK354" s="513"/>
      <c r="EAL354" s="508"/>
      <c r="EAM354" s="513"/>
      <c r="EAN354" s="508"/>
      <c r="EAO354" s="513"/>
      <c r="EAP354" s="508"/>
      <c r="EAQ354" s="513"/>
      <c r="EAR354" s="508"/>
      <c r="EAS354" s="513"/>
      <c r="EAT354" s="508"/>
      <c r="EAU354" s="513"/>
      <c r="EAV354" s="508"/>
      <c r="EAW354" s="513"/>
      <c r="EAX354" s="508"/>
      <c r="EAY354" s="513"/>
      <c r="EAZ354" s="508"/>
      <c r="EBA354" s="513"/>
      <c r="EBB354" s="508"/>
      <c r="EBC354" s="513"/>
      <c r="EBD354" s="508"/>
      <c r="EBE354" s="513"/>
      <c r="EBF354" s="508"/>
      <c r="EBG354" s="513"/>
      <c r="EBH354" s="508"/>
      <c r="EBI354" s="513"/>
      <c r="EBJ354" s="508"/>
      <c r="EBK354" s="513"/>
      <c r="EBL354" s="508"/>
      <c r="EBM354" s="513"/>
      <c r="EBN354" s="508"/>
      <c r="EBO354" s="513"/>
      <c r="EBP354" s="508"/>
      <c r="EBQ354" s="513"/>
      <c r="EBR354" s="508"/>
      <c r="EBS354" s="513"/>
      <c r="EBT354" s="508"/>
      <c r="EBU354" s="513"/>
      <c r="EBV354" s="508"/>
      <c r="EBW354" s="513"/>
      <c r="EBX354" s="508"/>
      <c r="EBY354" s="513"/>
      <c r="EBZ354" s="508"/>
      <c r="ECA354" s="513"/>
      <c r="ECB354" s="508"/>
      <c r="ECC354" s="513"/>
      <c r="ECD354" s="508"/>
      <c r="ECE354" s="513"/>
      <c r="ECF354" s="508"/>
      <c r="ECG354" s="513"/>
      <c r="ECH354" s="508"/>
      <c r="ECI354" s="513"/>
      <c r="ECJ354" s="508"/>
      <c r="ECK354" s="513"/>
      <c r="ECL354" s="508"/>
      <c r="ECM354" s="513"/>
      <c r="ECN354" s="508"/>
      <c r="ECO354" s="513"/>
      <c r="ECP354" s="508"/>
      <c r="ECQ354" s="513"/>
      <c r="ECR354" s="508"/>
      <c r="ECS354" s="513"/>
      <c r="ECT354" s="508"/>
      <c r="ECU354" s="513"/>
      <c r="ECV354" s="508"/>
      <c r="ECW354" s="513"/>
      <c r="ECX354" s="508"/>
      <c r="ECY354" s="513"/>
      <c r="ECZ354" s="508"/>
      <c r="EDA354" s="513"/>
      <c r="EDB354" s="508"/>
      <c r="EDC354" s="513"/>
      <c r="EDD354" s="508"/>
      <c r="EDE354" s="513"/>
      <c r="EDF354" s="508"/>
      <c r="EDG354" s="513"/>
      <c r="EDH354" s="508"/>
      <c r="EDI354" s="513"/>
      <c r="EDJ354" s="508"/>
      <c r="EDK354" s="513"/>
      <c r="EDL354" s="508"/>
      <c r="EDM354" s="513"/>
      <c r="EDN354" s="508"/>
      <c r="EDO354" s="513"/>
      <c r="EDP354" s="508"/>
      <c r="EDQ354" s="513"/>
      <c r="EDR354" s="508"/>
      <c r="EDS354" s="513"/>
      <c r="EDT354" s="508"/>
      <c r="EDU354" s="513"/>
      <c r="EDV354" s="508"/>
      <c r="EDW354" s="513"/>
      <c r="EDX354" s="508"/>
      <c r="EDY354" s="513"/>
      <c r="EDZ354" s="508"/>
      <c r="EEA354" s="513"/>
      <c r="EEB354" s="508"/>
      <c r="EEC354" s="513"/>
      <c r="EED354" s="508"/>
      <c r="EEE354" s="513"/>
      <c r="EEF354" s="508"/>
      <c r="EEG354" s="513"/>
      <c r="EEH354" s="508"/>
      <c r="EEI354" s="513"/>
      <c r="EEJ354" s="508"/>
      <c r="EEK354" s="513"/>
      <c r="EEL354" s="508"/>
      <c r="EEM354" s="513"/>
      <c r="EEN354" s="508"/>
      <c r="EEO354" s="513"/>
      <c r="EEP354" s="508"/>
      <c r="EEQ354" s="513"/>
      <c r="EER354" s="508"/>
      <c r="EES354" s="513"/>
      <c r="EET354" s="508"/>
      <c r="EEU354" s="513"/>
      <c r="EEV354" s="508"/>
      <c r="EEW354" s="513"/>
      <c r="EEX354" s="508"/>
      <c r="EEY354" s="513"/>
      <c r="EEZ354" s="508"/>
      <c r="EFA354" s="513"/>
      <c r="EFB354" s="508"/>
      <c r="EFC354" s="513"/>
      <c r="EFD354" s="508"/>
      <c r="EFE354" s="513"/>
      <c r="EFF354" s="508"/>
      <c r="EFG354" s="513"/>
      <c r="EFH354" s="508"/>
      <c r="EFI354" s="513"/>
      <c r="EFJ354" s="508"/>
      <c r="EFK354" s="513"/>
      <c r="EFL354" s="508"/>
      <c r="EFM354" s="513"/>
      <c r="EFN354" s="508"/>
      <c r="EFO354" s="513"/>
      <c r="EFP354" s="508"/>
      <c r="EFQ354" s="513"/>
      <c r="EFR354" s="508"/>
      <c r="EFS354" s="513"/>
      <c r="EFT354" s="508"/>
      <c r="EFU354" s="513"/>
      <c r="EFV354" s="508"/>
      <c r="EFW354" s="513"/>
      <c r="EFX354" s="508"/>
      <c r="EFY354" s="513"/>
      <c r="EFZ354" s="508"/>
      <c r="EGA354" s="513"/>
      <c r="EGB354" s="508"/>
      <c r="EGC354" s="513"/>
      <c r="EGD354" s="508"/>
      <c r="EGE354" s="513"/>
      <c r="EGF354" s="508"/>
      <c r="EGG354" s="513"/>
      <c r="EGH354" s="508"/>
      <c r="EGI354" s="513"/>
      <c r="EGJ354" s="508"/>
      <c r="EGK354" s="513"/>
      <c r="EGL354" s="508"/>
      <c r="EGM354" s="513"/>
      <c r="EGN354" s="508"/>
      <c r="EGO354" s="513"/>
      <c r="EGP354" s="508"/>
      <c r="EGQ354" s="513"/>
      <c r="EGR354" s="508"/>
      <c r="EGS354" s="513"/>
      <c r="EGT354" s="508"/>
      <c r="EGU354" s="513"/>
      <c r="EGV354" s="508"/>
      <c r="EGW354" s="513"/>
      <c r="EGX354" s="508"/>
      <c r="EGY354" s="513"/>
      <c r="EGZ354" s="508"/>
      <c r="EHA354" s="513"/>
      <c r="EHB354" s="508"/>
      <c r="EHC354" s="513"/>
      <c r="EHD354" s="508"/>
      <c r="EHE354" s="513"/>
      <c r="EHF354" s="508"/>
      <c r="EHG354" s="513"/>
      <c r="EHH354" s="508"/>
      <c r="EHI354" s="513"/>
      <c r="EHJ354" s="508"/>
      <c r="EHK354" s="513"/>
      <c r="EHL354" s="508"/>
      <c r="EHM354" s="513"/>
      <c r="EHN354" s="508"/>
      <c r="EHO354" s="513"/>
      <c r="EHP354" s="508"/>
      <c r="EHQ354" s="513"/>
      <c r="EHR354" s="508"/>
      <c r="EHS354" s="513"/>
      <c r="EHT354" s="508"/>
      <c r="EHU354" s="513"/>
      <c r="EHV354" s="508"/>
      <c r="EHW354" s="513"/>
      <c r="EHX354" s="508"/>
      <c r="EHY354" s="513"/>
      <c r="EHZ354" s="508"/>
      <c r="EIA354" s="513"/>
      <c r="EIB354" s="508"/>
      <c r="EIC354" s="513"/>
      <c r="EID354" s="508"/>
      <c r="EIE354" s="513"/>
      <c r="EIF354" s="508"/>
      <c r="EIG354" s="513"/>
      <c r="EIH354" s="508"/>
      <c r="EII354" s="513"/>
      <c r="EIJ354" s="508"/>
      <c r="EIK354" s="513"/>
      <c r="EIL354" s="508"/>
      <c r="EIM354" s="513"/>
      <c r="EIN354" s="508"/>
      <c r="EIO354" s="513"/>
      <c r="EIP354" s="508"/>
      <c r="EIQ354" s="513"/>
      <c r="EIR354" s="508"/>
      <c r="EIS354" s="513"/>
      <c r="EIT354" s="508"/>
      <c r="EIU354" s="513"/>
      <c r="EIV354" s="508"/>
      <c r="EIW354" s="513"/>
      <c r="EIX354" s="508"/>
      <c r="EIY354" s="513"/>
      <c r="EIZ354" s="508"/>
      <c r="EJA354" s="513"/>
      <c r="EJB354" s="508"/>
      <c r="EJC354" s="513"/>
      <c r="EJD354" s="508"/>
      <c r="EJE354" s="513"/>
      <c r="EJF354" s="508"/>
      <c r="EJG354" s="513"/>
      <c r="EJH354" s="508"/>
      <c r="EJI354" s="513"/>
      <c r="EJJ354" s="508"/>
      <c r="EJK354" s="513"/>
      <c r="EJL354" s="508"/>
      <c r="EJM354" s="513"/>
      <c r="EJN354" s="508"/>
      <c r="EJO354" s="513"/>
      <c r="EJP354" s="508"/>
      <c r="EJQ354" s="513"/>
      <c r="EJR354" s="508"/>
      <c r="EJS354" s="513"/>
      <c r="EJT354" s="508"/>
      <c r="EJU354" s="513"/>
      <c r="EJV354" s="508"/>
      <c r="EJW354" s="513"/>
      <c r="EJX354" s="508"/>
      <c r="EJY354" s="513"/>
      <c r="EJZ354" s="508"/>
      <c r="EKA354" s="513"/>
      <c r="EKB354" s="508"/>
      <c r="EKC354" s="513"/>
      <c r="EKD354" s="508"/>
      <c r="EKE354" s="513"/>
      <c r="EKF354" s="508"/>
      <c r="EKG354" s="513"/>
      <c r="EKH354" s="508"/>
      <c r="EKI354" s="513"/>
      <c r="EKJ354" s="508"/>
      <c r="EKK354" s="513"/>
      <c r="EKL354" s="508"/>
      <c r="EKM354" s="513"/>
      <c r="EKN354" s="508"/>
      <c r="EKO354" s="513"/>
      <c r="EKP354" s="508"/>
      <c r="EKQ354" s="513"/>
      <c r="EKR354" s="508"/>
      <c r="EKS354" s="513"/>
      <c r="EKT354" s="508"/>
      <c r="EKU354" s="513"/>
      <c r="EKV354" s="508"/>
      <c r="EKW354" s="513"/>
      <c r="EKX354" s="508"/>
      <c r="EKY354" s="513"/>
      <c r="EKZ354" s="508"/>
      <c r="ELA354" s="513"/>
      <c r="ELB354" s="508"/>
      <c r="ELC354" s="513"/>
      <c r="ELD354" s="508"/>
      <c r="ELE354" s="513"/>
      <c r="ELF354" s="508"/>
      <c r="ELG354" s="513"/>
      <c r="ELH354" s="508"/>
      <c r="ELI354" s="513"/>
      <c r="ELJ354" s="508"/>
      <c r="ELK354" s="513"/>
      <c r="ELL354" s="508"/>
      <c r="ELM354" s="513"/>
      <c r="ELN354" s="508"/>
      <c r="ELO354" s="513"/>
      <c r="ELP354" s="508"/>
      <c r="ELQ354" s="513"/>
      <c r="ELR354" s="508"/>
      <c r="ELS354" s="513"/>
      <c r="ELT354" s="508"/>
      <c r="ELU354" s="513"/>
      <c r="ELV354" s="508"/>
      <c r="ELW354" s="513"/>
      <c r="ELX354" s="508"/>
      <c r="ELY354" s="513"/>
      <c r="ELZ354" s="508"/>
      <c r="EMA354" s="513"/>
      <c r="EMB354" s="508"/>
      <c r="EMC354" s="513"/>
      <c r="EMD354" s="508"/>
      <c r="EME354" s="513"/>
      <c r="EMF354" s="508"/>
      <c r="EMG354" s="513"/>
      <c r="EMH354" s="508"/>
      <c r="EMI354" s="513"/>
      <c r="EMJ354" s="508"/>
      <c r="EMK354" s="513"/>
      <c r="EML354" s="508"/>
      <c r="EMM354" s="513"/>
      <c r="EMN354" s="508"/>
      <c r="EMO354" s="513"/>
      <c r="EMP354" s="508"/>
      <c r="EMQ354" s="513"/>
      <c r="EMR354" s="508"/>
      <c r="EMS354" s="513"/>
      <c r="EMT354" s="508"/>
      <c r="EMU354" s="513"/>
      <c r="EMV354" s="508"/>
      <c r="EMW354" s="513"/>
      <c r="EMX354" s="508"/>
      <c r="EMY354" s="513"/>
      <c r="EMZ354" s="508"/>
      <c r="ENA354" s="513"/>
      <c r="ENB354" s="508"/>
      <c r="ENC354" s="513"/>
      <c r="END354" s="508"/>
      <c r="ENE354" s="513"/>
      <c r="ENF354" s="508"/>
      <c r="ENG354" s="513"/>
      <c r="ENH354" s="508"/>
      <c r="ENI354" s="513"/>
      <c r="ENJ354" s="508"/>
      <c r="ENK354" s="513"/>
      <c r="ENL354" s="508"/>
      <c r="ENM354" s="513"/>
      <c r="ENN354" s="508"/>
      <c r="ENO354" s="513"/>
      <c r="ENP354" s="508"/>
      <c r="ENQ354" s="513"/>
      <c r="ENR354" s="508"/>
      <c r="ENS354" s="513"/>
      <c r="ENT354" s="508"/>
      <c r="ENU354" s="513"/>
      <c r="ENV354" s="508"/>
      <c r="ENW354" s="513"/>
      <c r="ENX354" s="508"/>
      <c r="ENY354" s="513"/>
      <c r="ENZ354" s="508"/>
      <c r="EOA354" s="513"/>
      <c r="EOB354" s="508"/>
      <c r="EOC354" s="513"/>
      <c r="EOD354" s="508"/>
      <c r="EOE354" s="513"/>
      <c r="EOF354" s="508"/>
      <c r="EOG354" s="513"/>
      <c r="EOH354" s="508"/>
      <c r="EOI354" s="513"/>
      <c r="EOJ354" s="508"/>
      <c r="EOK354" s="513"/>
      <c r="EOL354" s="508"/>
      <c r="EOM354" s="513"/>
      <c r="EON354" s="508"/>
      <c r="EOO354" s="513"/>
      <c r="EOP354" s="508"/>
      <c r="EOQ354" s="513"/>
      <c r="EOR354" s="508"/>
      <c r="EOS354" s="513"/>
      <c r="EOT354" s="508"/>
      <c r="EOU354" s="513"/>
      <c r="EOV354" s="508"/>
      <c r="EOW354" s="513"/>
      <c r="EOX354" s="508"/>
      <c r="EOY354" s="513"/>
      <c r="EOZ354" s="508"/>
      <c r="EPA354" s="513"/>
      <c r="EPB354" s="508"/>
      <c r="EPC354" s="513"/>
      <c r="EPD354" s="508"/>
      <c r="EPE354" s="513"/>
      <c r="EPF354" s="508"/>
      <c r="EPG354" s="513"/>
      <c r="EPH354" s="508"/>
      <c r="EPI354" s="513"/>
      <c r="EPJ354" s="508"/>
      <c r="EPK354" s="513"/>
      <c r="EPL354" s="508"/>
      <c r="EPM354" s="513"/>
      <c r="EPN354" s="508"/>
      <c r="EPO354" s="513"/>
      <c r="EPP354" s="508"/>
      <c r="EPQ354" s="513"/>
      <c r="EPR354" s="508"/>
      <c r="EPS354" s="513"/>
      <c r="EPT354" s="508"/>
      <c r="EPU354" s="513"/>
      <c r="EPV354" s="508"/>
      <c r="EPW354" s="513"/>
      <c r="EPX354" s="508"/>
      <c r="EPY354" s="513"/>
      <c r="EPZ354" s="508"/>
      <c r="EQA354" s="513"/>
      <c r="EQB354" s="508"/>
      <c r="EQC354" s="513"/>
      <c r="EQD354" s="508"/>
      <c r="EQE354" s="513"/>
      <c r="EQF354" s="508"/>
      <c r="EQG354" s="513"/>
      <c r="EQH354" s="508"/>
      <c r="EQI354" s="513"/>
      <c r="EQJ354" s="508"/>
      <c r="EQK354" s="513"/>
      <c r="EQL354" s="508"/>
      <c r="EQM354" s="513"/>
      <c r="EQN354" s="508"/>
      <c r="EQO354" s="513"/>
      <c r="EQP354" s="508"/>
      <c r="EQQ354" s="513"/>
      <c r="EQR354" s="508"/>
      <c r="EQS354" s="513"/>
      <c r="EQT354" s="508"/>
      <c r="EQU354" s="513"/>
      <c r="EQV354" s="508"/>
      <c r="EQW354" s="513"/>
      <c r="EQX354" s="508"/>
      <c r="EQY354" s="513"/>
      <c r="EQZ354" s="508"/>
      <c r="ERA354" s="513"/>
      <c r="ERB354" s="508"/>
      <c r="ERC354" s="513"/>
      <c r="ERD354" s="508"/>
      <c r="ERE354" s="513"/>
      <c r="ERF354" s="508"/>
      <c r="ERG354" s="513"/>
      <c r="ERH354" s="508"/>
      <c r="ERI354" s="513"/>
      <c r="ERJ354" s="508"/>
      <c r="ERK354" s="513"/>
      <c r="ERL354" s="508"/>
      <c r="ERM354" s="513"/>
      <c r="ERN354" s="508"/>
      <c r="ERO354" s="513"/>
      <c r="ERP354" s="508"/>
      <c r="ERQ354" s="513"/>
      <c r="ERR354" s="508"/>
      <c r="ERS354" s="513"/>
      <c r="ERT354" s="508"/>
      <c r="ERU354" s="513"/>
      <c r="ERV354" s="508"/>
      <c r="ERW354" s="513"/>
      <c r="ERX354" s="508"/>
      <c r="ERY354" s="513"/>
      <c r="ERZ354" s="508"/>
      <c r="ESA354" s="513"/>
      <c r="ESB354" s="508"/>
      <c r="ESC354" s="513"/>
      <c r="ESD354" s="508"/>
      <c r="ESE354" s="513"/>
      <c r="ESF354" s="508"/>
      <c r="ESG354" s="513"/>
      <c r="ESH354" s="508"/>
      <c r="ESI354" s="513"/>
      <c r="ESJ354" s="508"/>
      <c r="ESK354" s="513"/>
      <c r="ESL354" s="508"/>
      <c r="ESM354" s="513"/>
      <c r="ESN354" s="508"/>
      <c r="ESO354" s="513"/>
      <c r="ESP354" s="508"/>
      <c r="ESQ354" s="513"/>
      <c r="ESR354" s="508"/>
      <c r="ESS354" s="513"/>
      <c r="EST354" s="508"/>
      <c r="ESU354" s="513"/>
      <c r="ESV354" s="508"/>
      <c r="ESW354" s="513"/>
      <c r="ESX354" s="508"/>
      <c r="ESY354" s="513"/>
      <c r="ESZ354" s="508"/>
      <c r="ETA354" s="513"/>
      <c r="ETB354" s="508"/>
      <c r="ETC354" s="513"/>
      <c r="ETD354" s="508"/>
      <c r="ETE354" s="513"/>
      <c r="ETF354" s="508"/>
      <c r="ETG354" s="513"/>
      <c r="ETH354" s="508"/>
      <c r="ETI354" s="513"/>
      <c r="ETJ354" s="508"/>
      <c r="ETK354" s="513"/>
      <c r="ETL354" s="508"/>
      <c r="ETM354" s="513"/>
      <c r="ETN354" s="508"/>
      <c r="ETO354" s="513"/>
      <c r="ETP354" s="508"/>
      <c r="ETQ354" s="513"/>
      <c r="ETR354" s="508"/>
      <c r="ETS354" s="513"/>
      <c r="ETT354" s="508"/>
      <c r="ETU354" s="513"/>
      <c r="ETV354" s="508"/>
      <c r="ETW354" s="513"/>
      <c r="ETX354" s="508"/>
      <c r="ETY354" s="513"/>
      <c r="ETZ354" s="508"/>
      <c r="EUA354" s="513"/>
      <c r="EUB354" s="508"/>
      <c r="EUC354" s="513"/>
      <c r="EUD354" s="508"/>
      <c r="EUE354" s="513"/>
      <c r="EUF354" s="508"/>
      <c r="EUG354" s="513"/>
      <c r="EUH354" s="508"/>
      <c r="EUI354" s="513"/>
      <c r="EUJ354" s="508"/>
      <c r="EUK354" s="513"/>
      <c r="EUL354" s="508"/>
      <c r="EUM354" s="513"/>
      <c r="EUN354" s="508"/>
      <c r="EUO354" s="513"/>
      <c r="EUP354" s="508"/>
      <c r="EUQ354" s="513"/>
      <c r="EUR354" s="508"/>
      <c r="EUS354" s="513"/>
      <c r="EUT354" s="508"/>
      <c r="EUU354" s="513"/>
      <c r="EUV354" s="508"/>
      <c r="EUW354" s="513"/>
      <c r="EUX354" s="508"/>
      <c r="EUY354" s="513"/>
      <c r="EUZ354" s="508"/>
      <c r="EVA354" s="513"/>
      <c r="EVB354" s="508"/>
      <c r="EVC354" s="513"/>
      <c r="EVD354" s="508"/>
      <c r="EVE354" s="513"/>
      <c r="EVF354" s="508"/>
      <c r="EVG354" s="513"/>
      <c r="EVH354" s="508"/>
      <c r="EVI354" s="513"/>
      <c r="EVJ354" s="508"/>
      <c r="EVK354" s="513"/>
      <c r="EVL354" s="508"/>
      <c r="EVM354" s="513"/>
      <c r="EVN354" s="508"/>
      <c r="EVO354" s="513"/>
      <c r="EVP354" s="508"/>
      <c r="EVQ354" s="513"/>
      <c r="EVR354" s="508"/>
      <c r="EVS354" s="513"/>
      <c r="EVT354" s="508"/>
      <c r="EVU354" s="513"/>
      <c r="EVV354" s="508"/>
      <c r="EVW354" s="513"/>
      <c r="EVX354" s="508"/>
      <c r="EVY354" s="513"/>
      <c r="EVZ354" s="508"/>
      <c r="EWA354" s="513"/>
      <c r="EWB354" s="508"/>
      <c r="EWC354" s="513"/>
      <c r="EWD354" s="508"/>
      <c r="EWE354" s="513"/>
      <c r="EWF354" s="508"/>
      <c r="EWG354" s="513"/>
      <c r="EWH354" s="508"/>
      <c r="EWI354" s="513"/>
      <c r="EWJ354" s="508"/>
      <c r="EWK354" s="513"/>
      <c r="EWL354" s="508"/>
      <c r="EWM354" s="513"/>
      <c r="EWN354" s="508"/>
      <c r="EWO354" s="513"/>
      <c r="EWP354" s="508"/>
      <c r="EWQ354" s="513"/>
      <c r="EWR354" s="508"/>
      <c r="EWS354" s="513"/>
      <c r="EWT354" s="508"/>
      <c r="EWU354" s="513"/>
      <c r="EWV354" s="508"/>
      <c r="EWW354" s="513"/>
      <c r="EWX354" s="508"/>
      <c r="EWY354" s="513"/>
      <c r="EWZ354" s="508"/>
      <c r="EXA354" s="513"/>
      <c r="EXB354" s="508"/>
      <c r="EXC354" s="513"/>
      <c r="EXD354" s="508"/>
      <c r="EXE354" s="513"/>
      <c r="EXF354" s="508"/>
      <c r="EXG354" s="513"/>
      <c r="EXH354" s="508"/>
      <c r="EXI354" s="513"/>
      <c r="EXJ354" s="508"/>
      <c r="EXK354" s="513"/>
      <c r="EXL354" s="508"/>
      <c r="EXM354" s="513"/>
      <c r="EXN354" s="508"/>
      <c r="EXO354" s="513"/>
      <c r="EXP354" s="508"/>
      <c r="EXQ354" s="513"/>
      <c r="EXR354" s="508"/>
      <c r="EXS354" s="513"/>
      <c r="EXT354" s="508"/>
      <c r="EXU354" s="513"/>
      <c r="EXV354" s="508"/>
      <c r="EXW354" s="513"/>
      <c r="EXX354" s="508"/>
      <c r="EXY354" s="513"/>
      <c r="EXZ354" s="508"/>
      <c r="EYA354" s="513"/>
      <c r="EYB354" s="508"/>
      <c r="EYC354" s="513"/>
      <c r="EYD354" s="508"/>
      <c r="EYE354" s="513"/>
      <c r="EYF354" s="508"/>
      <c r="EYG354" s="513"/>
      <c r="EYH354" s="508"/>
      <c r="EYI354" s="513"/>
      <c r="EYJ354" s="508"/>
      <c r="EYK354" s="513"/>
      <c r="EYL354" s="508"/>
      <c r="EYM354" s="513"/>
      <c r="EYN354" s="508"/>
      <c r="EYO354" s="513"/>
      <c r="EYP354" s="508"/>
      <c r="EYQ354" s="513"/>
      <c r="EYR354" s="508"/>
      <c r="EYS354" s="513"/>
      <c r="EYT354" s="508"/>
      <c r="EYU354" s="513"/>
      <c r="EYV354" s="508"/>
      <c r="EYW354" s="513"/>
      <c r="EYX354" s="508"/>
      <c r="EYY354" s="513"/>
      <c r="EYZ354" s="508"/>
      <c r="EZA354" s="513"/>
      <c r="EZB354" s="508"/>
      <c r="EZC354" s="513"/>
      <c r="EZD354" s="508"/>
      <c r="EZE354" s="513"/>
      <c r="EZF354" s="508"/>
      <c r="EZG354" s="513"/>
      <c r="EZH354" s="508"/>
      <c r="EZI354" s="513"/>
      <c r="EZJ354" s="508"/>
      <c r="EZK354" s="513"/>
      <c r="EZL354" s="508"/>
      <c r="EZM354" s="513"/>
      <c r="EZN354" s="508"/>
      <c r="EZO354" s="513"/>
      <c r="EZP354" s="508"/>
      <c r="EZQ354" s="513"/>
      <c r="EZR354" s="508"/>
      <c r="EZS354" s="513"/>
      <c r="EZT354" s="508"/>
      <c r="EZU354" s="513"/>
      <c r="EZV354" s="508"/>
      <c r="EZW354" s="513"/>
      <c r="EZX354" s="508"/>
      <c r="EZY354" s="513"/>
      <c r="EZZ354" s="508"/>
      <c r="FAA354" s="513"/>
      <c r="FAB354" s="508"/>
      <c r="FAC354" s="513"/>
      <c r="FAD354" s="508"/>
      <c r="FAE354" s="513"/>
      <c r="FAF354" s="508"/>
      <c r="FAG354" s="513"/>
      <c r="FAH354" s="508"/>
      <c r="FAI354" s="513"/>
      <c r="FAJ354" s="508"/>
      <c r="FAK354" s="513"/>
      <c r="FAL354" s="508"/>
      <c r="FAM354" s="513"/>
      <c r="FAN354" s="508"/>
      <c r="FAO354" s="513"/>
      <c r="FAP354" s="508"/>
      <c r="FAQ354" s="513"/>
      <c r="FAR354" s="508"/>
      <c r="FAS354" s="513"/>
      <c r="FAT354" s="508"/>
      <c r="FAU354" s="513"/>
      <c r="FAV354" s="508"/>
      <c r="FAW354" s="513"/>
      <c r="FAX354" s="508"/>
      <c r="FAY354" s="513"/>
      <c r="FAZ354" s="508"/>
      <c r="FBA354" s="513"/>
      <c r="FBB354" s="508"/>
      <c r="FBC354" s="513"/>
      <c r="FBD354" s="508"/>
      <c r="FBE354" s="513"/>
      <c r="FBF354" s="508"/>
      <c r="FBG354" s="513"/>
      <c r="FBH354" s="508"/>
      <c r="FBI354" s="513"/>
      <c r="FBJ354" s="508"/>
      <c r="FBK354" s="513"/>
      <c r="FBL354" s="508"/>
      <c r="FBM354" s="513"/>
      <c r="FBN354" s="508"/>
      <c r="FBO354" s="513"/>
      <c r="FBP354" s="508"/>
      <c r="FBQ354" s="513"/>
      <c r="FBR354" s="508"/>
      <c r="FBS354" s="513"/>
      <c r="FBT354" s="508"/>
      <c r="FBU354" s="513"/>
      <c r="FBV354" s="508"/>
      <c r="FBW354" s="513"/>
      <c r="FBX354" s="508"/>
      <c r="FBY354" s="513"/>
      <c r="FBZ354" s="508"/>
      <c r="FCA354" s="513"/>
      <c r="FCB354" s="508"/>
      <c r="FCC354" s="513"/>
      <c r="FCD354" s="508"/>
      <c r="FCE354" s="513"/>
      <c r="FCF354" s="508"/>
      <c r="FCG354" s="513"/>
      <c r="FCH354" s="508"/>
      <c r="FCI354" s="513"/>
      <c r="FCJ354" s="508"/>
      <c r="FCK354" s="513"/>
      <c r="FCL354" s="508"/>
      <c r="FCM354" s="513"/>
      <c r="FCN354" s="508"/>
      <c r="FCO354" s="513"/>
      <c r="FCP354" s="508"/>
      <c r="FCQ354" s="513"/>
      <c r="FCR354" s="508"/>
      <c r="FCS354" s="513"/>
      <c r="FCT354" s="508"/>
      <c r="FCU354" s="513"/>
      <c r="FCV354" s="508"/>
      <c r="FCW354" s="513"/>
      <c r="FCX354" s="508"/>
      <c r="FCY354" s="513"/>
      <c r="FCZ354" s="508"/>
      <c r="FDA354" s="513"/>
      <c r="FDB354" s="508"/>
      <c r="FDC354" s="513"/>
      <c r="FDD354" s="508"/>
      <c r="FDE354" s="513"/>
      <c r="FDF354" s="508"/>
      <c r="FDG354" s="513"/>
      <c r="FDH354" s="508"/>
      <c r="FDI354" s="513"/>
      <c r="FDJ354" s="508"/>
      <c r="FDK354" s="513"/>
      <c r="FDL354" s="508"/>
      <c r="FDM354" s="513"/>
      <c r="FDN354" s="508"/>
      <c r="FDO354" s="513"/>
      <c r="FDP354" s="508"/>
      <c r="FDQ354" s="513"/>
      <c r="FDR354" s="508"/>
      <c r="FDS354" s="513"/>
      <c r="FDT354" s="508"/>
      <c r="FDU354" s="513"/>
      <c r="FDV354" s="508"/>
      <c r="FDW354" s="513"/>
      <c r="FDX354" s="508"/>
      <c r="FDY354" s="513"/>
      <c r="FDZ354" s="508"/>
      <c r="FEA354" s="513"/>
      <c r="FEB354" s="508"/>
      <c r="FEC354" s="513"/>
      <c r="FED354" s="508"/>
      <c r="FEE354" s="513"/>
      <c r="FEF354" s="508"/>
      <c r="FEG354" s="513"/>
      <c r="FEH354" s="508"/>
      <c r="FEI354" s="513"/>
      <c r="FEJ354" s="508"/>
      <c r="FEK354" s="513"/>
      <c r="FEL354" s="508"/>
      <c r="FEM354" s="513"/>
      <c r="FEN354" s="508"/>
      <c r="FEO354" s="513"/>
      <c r="FEP354" s="508"/>
      <c r="FEQ354" s="513"/>
      <c r="FER354" s="508"/>
      <c r="FES354" s="513"/>
      <c r="FET354" s="508"/>
      <c r="FEU354" s="513"/>
      <c r="FEV354" s="508"/>
      <c r="FEW354" s="513"/>
      <c r="FEX354" s="508"/>
      <c r="FEY354" s="513"/>
      <c r="FEZ354" s="508"/>
      <c r="FFA354" s="513"/>
      <c r="FFB354" s="508"/>
      <c r="FFC354" s="513"/>
      <c r="FFD354" s="508"/>
      <c r="FFE354" s="513"/>
      <c r="FFF354" s="508"/>
      <c r="FFG354" s="513"/>
      <c r="FFH354" s="508"/>
      <c r="FFI354" s="513"/>
      <c r="FFJ354" s="508"/>
      <c r="FFK354" s="513"/>
      <c r="FFL354" s="508"/>
      <c r="FFM354" s="513"/>
      <c r="FFN354" s="508"/>
      <c r="FFO354" s="513"/>
      <c r="FFP354" s="508"/>
      <c r="FFQ354" s="513"/>
      <c r="FFR354" s="508"/>
      <c r="FFS354" s="513"/>
      <c r="FFT354" s="508"/>
      <c r="FFU354" s="513"/>
      <c r="FFV354" s="508"/>
      <c r="FFW354" s="513"/>
      <c r="FFX354" s="508"/>
      <c r="FFY354" s="513"/>
      <c r="FFZ354" s="508"/>
      <c r="FGA354" s="513"/>
      <c r="FGB354" s="508"/>
      <c r="FGC354" s="513"/>
      <c r="FGD354" s="508"/>
      <c r="FGE354" s="513"/>
      <c r="FGF354" s="508"/>
      <c r="FGG354" s="513"/>
      <c r="FGH354" s="508"/>
      <c r="FGI354" s="513"/>
      <c r="FGJ354" s="508"/>
      <c r="FGK354" s="513"/>
      <c r="FGL354" s="508"/>
      <c r="FGM354" s="513"/>
      <c r="FGN354" s="508"/>
      <c r="FGO354" s="513"/>
      <c r="FGP354" s="508"/>
      <c r="FGQ354" s="513"/>
      <c r="FGR354" s="508"/>
      <c r="FGS354" s="513"/>
      <c r="FGT354" s="508"/>
      <c r="FGU354" s="513"/>
      <c r="FGV354" s="508"/>
      <c r="FGW354" s="513"/>
      <c r="FGX354" s="508"/>
      <c r="FGY354" s="513"/>
      <c r="FGZ354" s="508"/>
      <c r="FHA354" s="513"/>
      <c r="FHB354" s="508"/>
      <c r="FHC354" s="513"/>
      <c r="FHD354" s="508"/>
      <c r="FHE354" s="513"/>
      <c r="FHF354" s="508"/>
      <c r="FHG354" s="513"/>
      <c r="FHH354" s="508"/>
      <c r="FHI354" s="513"/>
      <c r="FHJ354" s="508"/>
      <c r="FHK354" s="513"/>
      <c r="FHL354" s="508"/>
      <c r="FHM354" s="513"/>
      <c r="FHN354" s="508"/>
      <c r="FHO354" s="513"/>
      <c r="FHP354" s="508"/>
      <c r="FHQ354" s="513"/>
      <c r="FHR354" s="508"/>
      <c r="FHS354" s="513"/>
      <c r="FHT354" s="508"/>
      <c r="FHU354" s="513"/>
      <c r="FHV354" s="508"/>
      <c r="FHW354" s="513"/>
      <c r="FHX354" s="508"/>
      <c r="FHY354" s="513"/>
      <c r="FHZ354" s="508"/>
      <c r="FIA354" s="513"/>
      <c r="FIB354" s="508"/>
      <c r="FIC354" s="513"/>
      <c r="FID354" s="508"/>
      <c r="FIE354" s="513"/>
      <c r="FIF354" s="508"/>
      <c r="FIG354" s="513"/>
      <c r="FIH354" s="508"/>
      <c r="FII354" s="513"/>
      <c r="FIJ354" s="508"/>
      <c r="FIK354" s="513"/>
      <c r="FIL354" s="508"/>
      <c r="FIM354" s="513"/>
      <c r="FIN354" s="508"/>
      <c r="FIO354" s="513"/>
      <c r="FIP354" s="508"/>
      <c r="FIQ354" s="513"/>
      <c r="FIR354" s="508"/>
      <c r="FIS354" s="513"/>
      <c r="FIT354" s="508"/>
      <c r="FIU354" s="513"/>
      <c r="FIV354" s="508"/>
      <c r="FIW354" s="513"/>
      <c r="FIX354" s="508"/>
      <c r="FIY354" s="513"/>
      <c r="FIZ354" s="508"/>
      <c r="FJA354" s="513"/>
      <c r="FJB354" s="508"/>
      <c r="FJC354" s="513"/>
      <c r="FJD354" s="508"/>
      <c r="FJE354" s="513"/>
      <c r="FJF354" s="508"/>
      <c r="FJG354" s="513"/>
      <c r="FJH354" s="508"/>
      <c r="FJI354" s="513"/>
      <c r="FJJ354" s="508"/>
      <c r="FJK354" s="513"/>
      <c r="FJL354" s="508"/>
      <c r="FJM354" s="513"/>
      <c r="FJN354" s="508"/>
      <c r="FJO354" s="513"/>
      <c r="FJP354" s="508"/>
      <c r="FJQ354" s="513"/>
      <c r="FJR354" s="508"/>
      <c r="FJS354" s="513"/>
      <c r="FJT354" s="508"/>
      <c r="FJU354" s="513"/>
      <c r="FJV354" s="508"/>
      <c r="FJW354" s="513"/>
      <c r="FJX354" s="508"/>
      <c r="FJY354" s="513"/>
      <c r="FJZ354" s="508"/>
      <c r="FKA354" s="513"/>
      <c r="FKB354" s="508"/>
      <c r="FKC354" s="513"/>
      <c r="FKD354" s="508"/>
      <c r="FKE354" s="513"/>
      <c r="FKF354" s="508"/>
      <c r="FKG354" s="513"/>
      <c r="FKH354" s="508"/>
      <c r="FKI354" s="513"/>
      <c r="FKJ354" s="508"/>
      <c r="FKK354" s="513"/>
      <c r="FKL354" s="508"/>
      <c r="FKM354" s="513"/>
      <c r="FKN354" s="508"/>
      <c r="FKO354" s="513"/>
      <c r="FKP354" s="508"/>
      <c r="FKQ354" s="513"/>
      <c r="FKR354" s="508"/>
      <c r="FKS354" s="513"/>
      <c r="FKT354" s="508"/>
      <c r="FKU354" s="513"/>
      <c r="FKV354" s="508"/>
      <c r="FKW354" s="513"/>
      <c r="FKX354" s="508"/>
      <c r="FKY354" s="513"/>
      <c r="FKZ354" s="508"/>
      <c r="FLA354" s="513"/>
      <c r="FLB354" s="508"/>
      <c r="FLC354" s="513"/>
      <c r="FLD354" s="508"/>
      <c r="FLE354" s="513"/>
      <c r="FLF354" s="508"/>
      <c r="FLG354" s="513"/>
      <c r="FLH354" s="508"/>
      <c r="FLI354" s="513"/>
      <c r="FLJ354" s="508"/>
      <c r="FLK354" s="513"/>
      <c r="FLL354" s="508"/>
      <c r="FLM354" s="513"/>
      <c r="FLN354" s="508"/>
      <c r="FLO354" s="513"/>
      <c r="FLP354" s="508"/>
      <c r="FLQ354" s="513"/>
      <c r="FLR354" s="508"/>
      <c r="FLS354" s="513"/>
      <c r="FLT354" s="508"/>
      <c r="FLU354" s="513"/>
      <c r="FLV354" s="508"/>
      <c r="FLW354" s="513"/>
      <c r="FLX354" s="508"/>
      <c r="FLY354" s="513"/>
      <c r="FLZ354" s="508"/>
      <c r="FMA354" s="513"/>
      <c r="FMB354" s="508"/>
      <c r="FMC354" s="513"/>
      <c r="FMD354" s="508"/>
      <c r="FME354" s="513"/>
      <c r="FMF354" s="508"/>
      <c r="FMG354" s="513"/>
      <c r="FMH354" s="508"/>
      <c r="FMI354" s="513"/>
      <c r="FMJ354" s="508"/>
      <c r="FMK354" s="513"/>
      <c r="FML354" s="508"/>
      <c r="FMM354" s="513"/>
      <c r="FMN354" s="508"/>
      <c r="FMO354" s="513"/>
      <c r="FMP354" s="508"/>
      <c r="FMQ354" s="513"/>
      <c r="FMR354" s="508"/>
      <c r="FMS354" s="513"/>
      <c r="FMT354" s="508"/>
      <c r="FMU354" s="513"/>
      <c r="FMV354" s="508"/>
      <c r="FMW354" s="513"/>
      <c r="FMX354" s="508"/>
      <c r="FMY354" s="513"/>
      <c r="FMZ354" s="508"/>
      <c r="FNA354" s="513"/>
      <c r="FNB354" s="508"/>
      <c r="FNC354" s="513"/>
      <c r="FND354" s="508"/>
      <c r="FNE354" s="513"/>
      <c r="FNF354" s="508"/>
      <c r="FNG354" s="513"/>
      <c r="FNH354" s="508"/>
      <c r="FNI354" s="513"/>
      <c r="FNJ354" s="508"/>
      <c r="FNK354" s="513"/>
      <c r="FNL354" s="508"/>
      <c r="FNM354" s="513"/>
      <c r="FNN354" s="508"/>
      <c r="FNO354" s="513"/>
      <c r="FNP354" s="508"/>
      <c r="FNQ354" s="513"/>
      <c r="FNR354" s="508"/>
      <c r="FNS354" s="513"/>
      <c r="FNT354" s="508"/>
      <c r="FNU354" s="513"/>
      <c r="FNV354" s="508"/>
      <c r="FNW354" s="513"/>
      <c r="FNX354" s="508"/>
      <c r="FNY354" s="513"/>
      <c r="FNZ354" s="508"/>
      <c r="FOA354" s="513"/>
      <c r="FOB354" s="508"/>
      <c r="FOC354" s="513"/>
      <c r="FOD354" s="508"/>
      <c r="FOE354" s="513"/>
      <c r="FOF354" s="508"/>
      <c r="FOG354" s="513"/>
      <c r="FOH354" s="508"/>
      <c r="FOI354" s="513"/>
      <c r="FOJ354" s="508"/>
      <c r="FOK354" s="513"/>
      <c r="FOL354" s="508"/>
      <c r="FOM354" s="513"/>
      <c r="FON354" s="508"/>
      <c r="FOO354" s="513"/>
      <c r="FOP354" s="508"/>
      <c r="FOQ354" s="513"/>
      <c r="FOR354" s="508"/>
      <c r="FOS354" s="513"/>
      <c r="FOT354" s="508"/>
      <c r="FOU354" s="513"/>
      <c r="FOV354" s="508"/>
      <c r="FOW354" s="513"/>
      <c r="FOX354" s="508"/>
      <c r="FOY354" s="513"/>
      <c r="FOZ354" s="508"/>
      <c r="FPA354" s="513"/>
      <c r="FPB354" s="508"/>
      <c r="FPC354" s="513"/>
      <c r="FPD354" s="508"/>
      <c r="FPE354" s="513"/>
      <c r="FPF354" s="508"/>
      <c r="FPG354" s="513"/>
      <c r="FPH354" s="508"/>
      <c r="FPI354" s="513"/>
      <c r="FPJ354" s="508"/>
      <c r="FPK354" s="513"/>
      <c r="FPL354" s="508"/>
      <c r="FPM354" s="513"/>
      <c r="FPN354" s="508"/>
      <c r="FPO354" s="513"/>
      <c r="FPP354" s="508"/>
      <c r="FPQ354" s="513"/>
      <c r="FPR354" s="508"/>
      <c r="FPS354" s="513"/>
      <c r="FPT354" s="508"/>
      <c r="FPU354" s="513"/>
      <c r="FPV354" s="508"/>
      <c r="FPW354" s="513"/>
      <c r="FPX354" s="508"/>
      <c r="FPY354" s="513"/>
      <c r="FPZ354" s="508"/>
      <c r="FQA354" s="513"/>
      <c r="FQB354" s="508"/>
      <c r="FQC354" s="513"/>
      <c r="FQD354" s="508"/>
      <c r="FQE354" s="513"/>
      <c r="FQF354" s="508"/>
      <c r="FQG354" s="513"/>
      <c r="FQH354" s="508"/>
      <c r="FQI354" s="513"/>
      <c r="FQJ354" s="508"/>
      <c r="FQK354" s="513"/>
      <c r="FQL354" s="508"/>
      <c r="FQM354" s="513"/>
      <c r="FQN354" s="508"/>
      <c r="FQO354" s="513"/>
      <c r="FQP354" s="508"/>
      <c r="FQQ354" s="513"/>
      <c r="FQR354" s="508"/>
      <c r="FQS354" s="513"/>
      <c r="FQT354" s="508"/>
      <c r="FQU354" s="513"/>
      <c r="FQV354" s="508"/>
      <c r="FQW354" s="513"/>
      <c r="FQX354" s="508"/>
      <c r="FQY354" s="513"/>
      <c r="FQZ354" s="508"/>
      <c r="FRA354" s="513"/>
      <c r="FRB354" s="508"/>
      <c r="FRC354" s="513"/>
      <c r="FRD354" s="508"/>
      <c r="FRE354" s="513"/>
      <c r="FRF354" s="508"/>
      <c r="FRG354" s="513"/>
      <c r="FRH354" s="508"/>
      <c r="FRI354" s="513"/>
      <c r="FRJ354" s="508"/>
      <c r="FRK354" s="513"/>
      <c r="FRL354" s="508"/>
      <c r="FRM354" s="513"/>
      <c r="FRN354" s="508"/>
      <c r="FRO354" s="513"/>
      <c r="FRP354" s="508"/>
      <c r="FRQ354" s="513"/>
      <c r="FRR354" s="508"/>
      <c r="FRS354" s="513"/>
      <c r="FRT354" s="508"/>
      <c r="FRU354" s="513"/>
      <c r="FRV354" s="508"/>
      <c r="FRW354" s="513"/>
      <c r="FRX354" s="508"/>
      <c r="FRY354" s="513"/>
      <c r="FRZ354" s="508"/>
      <c r="FSA354" s="513"/>
      <c r="FSB354" s="508"/>
      <c r="FSC354" s="513"/>
      <c r="FSD354" s="508"/>
      <c r="FSE354" s="513"/>
      <c r="FSF354" s="508"/>
      <c r="FSG354" s="513"/>
      <c r="FSH354" s="508"/>
      <c r="FSI354" s="513"/>
      <c r="FSJ354" s="508"/>
      <c r="FSK354" s="513"/>
      <c r="FSL354" s="508"/>
      <c r="FSM354" s="513"/>
      <c r="FSN354" s="508"/>
      <c r="FSO354" s="513"/>
      <c r="FSP354" s="508"/>
      <c r="FSQ354" s="513"/>
      <c r="FSR354" s="508"/>
      <c r="FSS354" s="513"/>
      <c r="FST354" s="508"/>
      <c r="FSU354" s="513"/>
      <c r="FSV354" s="508"/>
      <c r="FSW354" s="513"/>
      <c r="FSX354" s="508"/>
      <c r="FSY354" s="513"/>
      <c r="FSZ354" s="508"/>
      <c r="FTA354" s="513"/>
      <c r="FTB354" s="508"/>
      <c r="FTC354" s="513"/>
      <c r="FTD354" s="508"/>
      <c r="FTE354" s="513"/>
      <c r="FTF354" s="508"/>
      <c r="FTG354" s="513"/>
      <c r="FTH354" s="508"/>
      <c r="FTI354" s="513"/>
      <c r="FTJ354" s="508"/>
      <c r="FTK354" s="513"/>
      <c r="FTL354" s="508"/>
      <c r="FTM354" s="513"/>
      <c r="FTN354" s="508"/>
      <c r="FTO354" s="513"/>
      <c r="FTP354" s="508"/>
      <c r="FTQ354" s="513"/>
      <c r="FTR354" s="508"/>
      <c r="FTS354" s="513"/>
      <c r="FTT354" s="508"/>
      <c r="FTU354" s="513"/>
      <c r="FTV354" s="508"/>
      <c r="FTW354" s="513"/>
      <c r="FTX354" s="508"/>
      <c r="FTY354" s="513"/>
      <c r="FTZ354" s="508"/>
      <c r="FUA354" s="513"/>
      <c r="FUB354" s="508"/>
      <c r="FUC354" s="513"/>
      <c r="FUD354" s="508"/>
      <c r="FUE354" s="513"/>
      <c r="FUF354" s="508"/>
      <c r="FUG354" s="513"/>
      <c r="FUH354" s="508"/>
      <c r="FUI354" s="513"/>
      <c r="FUJ354" s="508"/>
      <c r="FUK354" s="513"/>
      <c r="FUL354" s="508"/>
      <c r="FUM354" s="513"/>
      <c r="FUN354" s="508"/>
      <c r="FUO354" s="513"/>
      <c r="FUP354" s="508"/>
      <c r="FUQ354" s="513"/>
      <c r="FUR354" s="508"/>
      <c r="FUS354" s="513"/>
      <c r="FUT354" s="508"/>
      <c r="FUU354" s="513"/>
      <c r="FUV354" s="508"/>
      <c r="FUW354" s="513"/>
      <c r="FUX354" s="508"/>
      <c r="FUY354" s="513"/>
      <c r="FUZ354" s="508"/>
      <c r="FVA354" s="513"/>
      <c r="FVB354" s="508"/>
      <c r="FVC354" s="513"/>
      <c r="FVD354" s="508"/>
      <c r="FVE354" s="513"/>
      <c r="FVF354" s="508"/>
      <c r="FVG354" s="513"/>
      <c r="FVH354" s="508"/>
      <c r="FVI354" s="513"/>
      <c r="FVJ354" s="508"/>
      <c r="FVK354" s="513"/>
      <c r="FVL354" s="508"/>
      <c r="FVM354" s="513"/>
      <c r="FVN354" s="508"/>
      <c r="FVO354" s="513"/>
      <c r="FVP354" s="508"/>
      <c r="FVQ354" s="513"/>
      <c r="FVR354" s="508"/>
      <c r="FVS354" s="513"/>
      <c r="FVT354" s="508"/>
      <c r="FVU354" s="513"/>
      <c r="FVV354" s="508"/>
      <c r="FVW354" s="513"/>
      <c r="FVX354" s="508"/>
      <c r="FVY354" s="513"/>
      <c r="FVZ354" s="508"/>
      <c r="FWA354" s="513"/>
      <c r="FWB354" s="508"/>
      <c r="FWC354" s="513"/>
      <c r="FWD354" s="508"/>
      <c r="FWE354" s="513"/>
      <c r="FWF354" s="508"/>
      <c r="FWG354" s="513"/>
      <c r="FWH354" s="508"/>
      <c r="FWI354" s="513"/>
      <c r="FWJ354" s="508"/>
      <c r="FWK354" s="513"/>
      <c r="FWL354" s="508"/>
      <c r="FWM354" s="513"/>
      <c r="FWN354" s="508"/>
      <c r="FWO354" s="513"/>
      <c r="FWP354" s="508"/>
      <c r="FWQ354" s="513"/>
      <c r="FWR354" s="508"/>
      <c r="FWS354" s="513"/>
      <c r="FWT354" s="508"/>
      <c r="FWU354" s="513"/>
      <c r="FWV354" s="508"/>
      <c r="FWW354" s="513"/>
      <c r="FWX354" s="508"/>
      <c r="FWY354" s="513"/>
      <c r="FWZ354" s="508"/>
      <c r="FXA354" s="513"/>
      <c r="FXB354" s="508"/>
      <c r="FXC354" s="513"/>
      <c r="FXD354" s="508"/>
      <c r="FXE354" s="513"/>
      <c r="FXF354" s="508"/>
      <c r="FXG354" s="513"/>
      <c r="FXH354" s="508"/>
      <c r="FXI354" s="513"/>
      <c r="FXJ354" s="508"/>
      <c r="FXK354" s="513"/>
      <c r="FXL354" s="508"/>
      <c r="FXM354" s="513"/>
      <c r="FXN354" s="508"/>
      <c r="FXO354" s="513"/>
      <c r="FXP354" s="508"/>
      <c r="FXQ354" s="513"/>
      <c r="FXR354" s="508"/>
      <c r="FXS354" s="513"/>
      <c r="FXT354" s="508"/>
      <c r="FXU354" s="513"/>
      <c r="FXV354" s="508"/>
      <c r="FXW354" s="513"/>
      <c r="FXX354" s="508"/>
      <c r="FXY354" s="513"/>
      <c r="FXZ354" s="508"/>
      <c r="FYA354" s="513"/>
      <c r="FYB354" s="508"/>
      <c r="FYC354" s="513"/>
      <c r="FYD354" s="508"/>
      <c r="FYE354" s="513"/>
      <c r="FYF354" s="508"/>
      <c r="FYG354" s="513"/>
      <c r="FYH354" s="508"/>
      <c r="FYI354" s="513"/>
      <c r="FYJ354" s="508"/>
      <c r="FYK354" s="513"/>
      <c r="FYL354" s="508"/>
      <c r="FYM354" s="513"/>
      <c r="FYN354" s="508"/>
      <c r="FYO354" s="513"/>
      <c r="FYP354" s="508"/>
      <c r="FYQ354" s="513"/>
      <c r="FYR354" s="508"/>
      <c r="FYS354" s="513"/>
      <c r="FYT354" s="508"/>
      <c r="FYU354" s="513"/>
      <c r="FYV354" s="508"/>
      <c r="FYW354" s="513"/>
      <c r="FYX354" s="508"/>
      <c r="FYY354" s="513"/>
      <c r="FYZ354" s="508"/>
      <c r="FZA354" s="513"/>
      <c r="FZB354" s="508"/>
      <c r="FZC354" s="513"/>
      <c r="FZD354" s="508"/>
      <c r="FZE354" s="513"/>
      <c r="FZF354" s="508"/>
      <c r="FZG354" s="513"/>
      <c r="FZH354" s="508"/>
      <c r="FZI354" s="513"/>
      <c r="FZJ354" s="508"/>
      <c r="FZK354" s="513"/>
      <c r="FZL354" s="508"/>
      <c r="FZM354" s="513"/>
      <c r="FZN354" s="508"/>
      <c r="FZO354" s="513"/>
      <c r="FZP354" s="508"/>
      <c r="FZQ354" s="513"/>
      <c r="FZR354" s="508"/>
      <c r="FZS354" s="513"/>
      <c r="FZT354" s="508"/>
      <c r="FZU354" s="513"/>
      <c r="FZV354" s="508"/>
      <c r="FZW354" s="513"/>
      <c r="FZX354" s="508"/>
      <c r="FZY354" s="513"/>
      <c r="FZZ354" s="508"/>
      <c r="GAA354" s="513"/>
      <c r="GAB354" s="508"/>
      <c r="GAC354" s="513"/>
      <c r="GAD354" s="508"/>
      <c r="GAE354" s="513"/>
      <c r="GAF354" s="508"/>
      <c r="GAG354" s="513"/>
      <c r="GAH354" s="508"/>
      <c r="GAI354" s="513"/>
      <c r="GAJ354" s="508"/>
      <c r="GAK354" s="513"/>
      <c r="GAL354" s="508"/>
      <c r="GAM354" s="513"/>
      <c r="GAN354" s="508"/>
      <c r="GAO354" s="513"/>
      <c r="GAP354" s="508"/>
      <c r="GAQ354" s="513"/>
      <c r="GAR354" s="508"/>
      <c r="GAS354" s="513"/>
      <c r="GAT354" s="508"/>
      <c r="GAU354" s="513"/>
      <c r="GAV354" s="508"/>
      <c r="GAW354" s="513"/>
      <c r="GAX354" s="508"/>
      <c r="GAY354" s="513"/>
      <c r="GAZ354" s="508"/>
      <c r="GBA354" s="513"/>
      <c r="GBB354" s="508"/>
      <c r="GBC354" s="513"/>
      <c r="GBD354" s="508"/>
      <c r="GBE354" s="513"/>
      <c r="GBF354" s="508"/>
      <c r="GBG354" s="513"/>
      <c r="GBH354" s="508"/>
      <c r="GBI354" s="513"/>
      <c r="GBJ354" s="508"/>
      <c r="GBK354" s="513"/>
      <c r="GBL354" s="508"/>
      <c r="GBM354" s="513"/>
      <c r="GBN354" s="508"/>
      <c r="GBO354" s="513"/>
      <c r="GBP354" s="508"/>
      <c r="GBQ354" s="513"/>
      <c r="GBR354" s="508"/>
      <c r="GBS354" s="513"/>
      <c r="GBT354" s="508"/>
      <c r="GBU354" s="513"/>
      <c r="GBV354" s="508"/>
      <c r="GBW354" s="513"/>
      <c r="GBX354" s="508"/>
      <c r="GBY354" s="513"/>
      <c r="GBZ354" s="508"/>
      <c r="GCA354" s="513"/>
      <c r="GCB354" s="508"/>
      <c r="GCC354" s="513"/>
      <c r="GCD354" s="508"/>
      <c r="GCE354" s="513"/>
      <c r="GCF354" s="508"/>
      <c r="GCG354" s="513"/>
      <c r="GCH354" s="508"/>
      <c r="GCI354" s="513"/>
      <c r="GCJ354" s="508"/>
      <c r="GCK354" s="513"/>
      <c r="GCL354" s="508"/>
      <c r="GCM354" s="513"/>
      <c r="GCN354" s="508"/>
      <c r="GCO354" s="513"/>
      <c r="GCP354" s="508"/>
      <c r="GCQ354" s="513"/>
      <c r="GCR354" s="508"/>
      <c r="GCS354" s="513"/>
      <c r="GCT354" s="508"/>
      <c r="GCU354" s="513"/>
      <c r="GCV354" s="508"/>
      <c r="GCW354" s="513"/>
      <c r="GCX354" s="508"/>
      <c r="GCY354" s="513"/>
      <c r="GCZ354" s="508"/>
      <c r="GDA354" s="513"/>
      <c r="GDB354" s="508"/>
      <c r="GDC354" s="513"/>
      <c r="GDD354" s="508"/>
      <c r="GDE354" s="513"/>
      <c r="GDF354" s="508"/>
      <c r="GDG354" s="513"/>
      <c r="GDH354" s="508"/>
      <c r="GDI354" s="513"/>
      <c r="GDJ354" s="508"/>
      <c r="GDK354" s="513"/>
      <c r="GDL354" s="508"/>
      <c r="GDM354" s="513"/>
      <c r="GDN354" s="508"/>
      <c r="GDO354" s="513"/>
      <c r="GDP354" s="508"/>
      <c r="GDQ354" s="513"/>
      <c r="GDR354" s="508"/>
      <c r="GDS354" s="513"/>
      <c r="GDT354" s="508"/>
      <c r="GDU354" s="513"/>
      <c r="GDV354" s="508"/>
      <c r="GDW354" s="513"/>
      <c r="GDX354" s="508"/>
      <c r="GDY354" s="513"/>
      <c r="GDZ354" s="508"/>
      <c r="GEA354" s="513"/>
      <c r="GEB354" s="508"/>
      <c r="GEC354" s="513"/>
      <c r="GED354" s="508"/>
      <c r="GEE354" s="513"/>
      <c r="GEF354" s="508"/>
      <c r="GEG354" s="513"/>
      <c r="GEH354" s="508"/>
      <c r="GEI354" s="513"/>
      <c r="GEJ354" s="508"/>
      <c r="GEK354" s="513"/>
      <c r="GEL354" s="508"/>
      <c r="GEM354" s="513"/>
      <c r="GEN354" s="508"/>
      <c r="GEO354" s="513"/>
      <c r="GEP354" s="508"/>
      <c r="GEQ354" s="513"/>
      <c r="GER354" s="508"/>
      <c r="GES354" s="513"/>
      <c r="GET354" s="508"/>
      <c r="GEU354" s="513"/>
      <c r="GEV354" s="508"/>
      <c r="GEW354" s="513"/>
      <c r="GEX354" s="508"/>
      <c r="GEY354" s="513"/>
      <c r="GEZ354" s="508"/>
      <c r="GFA354" s="513"/>
      <c r="GFB354" s="508"/>
      <c r="GFC354" s="513"/>
      <c r="GFD354" s="508"/>
      <c r="GFE354" s="513"/>
      <c r="GFF354" s="508"/>
      <c r="GFG354" s="513"/>
      <c r="GFH354" s="508"/>
      <c r="GFI354" s="513"/>
      <c r="GFJ354" s="508"/>
      <c r="GFK354" s="513"/>
      <c r="GFL354" s="508"/>
      <c r="GFM354" s="513"/>
      <c r="GFN354" s="508"/>
      <c r="GFO354" s="513"/>
      <c r="GFP354" s="508"/>
      <c r="GFQ354" s="513"/>
      <c r="GFR354" s="508"/>
      <c r="GFS354" s="513"/>
      <c r="GFT354" s="508"/>
      <c r="GFU354" s="513"/>
      <c r="GFV354" s="508"/>
      <c r="GFW354" s="513"/>
      <c r="GFX354" s="508"/>
      <c r="GFY354" s="513"/>
      <c r="GFZ354" s="508"/>
      <c r="GGA354" s="513"/>
      <c r="GGB354" s="508"/>
      <c r="GGC354" s="513"/>
      <c r="GGD354" s="508"/>
      <c r="GGE354" s="513"/>
      <c r="GGF354" s="508"/>
      <c r="GGG354" s="513"/>
      <c r="GGH354" s="508"/>
      <c r="GGI354" s="513"/>
      <c r="GGJ354" s="508"/>
      <c r="GGK354" s="513"/>
      <c r="GGL354" s="508"/>
      <c r="GGM354" s="513"/>
      <c r="GGN354" s="508"/>
      <c r="GGO354" s="513"/>
      <c r="GGP354" s="508"/>
      <c r="GGQ354" s="513"/>
      <c r="GGR354" s="508"/>
      <c r="GGS354" s="513"/>
      <c r="GGT354" s="508"/>
      <c r="GGU354" s="513"/>
      <c r="GGV354" s="508"/>
      <c r="GGW354" s="513"/>
      <c r="GGX354" s="508"/>
      <c r="GGY354" s="513"/>
      <c r="GGZ354" s="508"/>
      <c r="GHA354" s="513"/>
      <c r="GHB354" s="508"/>
      <c r="GHC354" s="513"/>
      <c r="GHD354" s="508"/>
      <c r="GHE354" s="513"/>
      <c r="GHF354" s="508"/>
      <c r="GHG354" s="513"/>
      <c r="GHH354" s="508"/>
      <c r="GHI354" s="513"/>
      <c r="GHJ354" s="508"/>
      <c r="GHK354" s="513"/>
      <c r="GHL354" s="508"/>
      <c r="GHM354" s="513"/>
      <c r="GHN354" s="508"/>
      <c r="GHO354" s="513"/>
      <c r="GHP354" s="508"/>
      <c r="GHQ354" s="513"/>
      <c r="GHR354" s="508"/>
      <c r="GHS354" s="513"/>
      <c r="GHT354" s="508"/>
      <c r="GHU354" s="513"/>
      <c r="GHV354" s="508"/>
      <c r="GHW354" s="513"/>
      <c r="GHX354" s="508"/>
      <c r="GHY354" s="513"/>
      <c r="GHZ354" s="508"/>
      <c r="GIA354" s="513"/>
      <c r="GIB354" s="508"/>
      <c r="GIC354" s="513"/>
      <c r="GID354" s="508"/>
      <c r="GIE354" s="513"/>
      <c r="GIF354" s="508"/>
      <c r="GIG354" s="513"/>
      <c r="GIH354" s="508"/>
      <c r="GII354" s="513"/>
      <c r="GIJ354" s="508"/>
      <c r="GIK354" s="513"/>
      <c r="GIL354" s="508"/>
      <c r="GIM354" s="513"/>
      <c r="GIN354" s="508"/>
      <c r="GIO354" s="513"/>
      <c r="GIP354" s="508"/>
      <c r="GIQ354" s="513"/>
      <c r="GIR354" s="508"/>
      <c r="GIS354" s="513"/>
      <c r="GIT354" s="508"/>
      <c r="GIU354" s="513"/>
      <c r="GIV354" s="508"/>
      <c r="GIW354" s="513"/>
      <c r="GIX354" s="508"/>
      <c r="GIY354" s="513"/>
      <c r="GIZ354" s="508"/>
      <c r="GJA354" s="513"/>
      <c r="GJB354" s="508"/>
      <c r="GJC354" s="513"/>
      <c r="GJD354" s="508"/>
      <c r="GJE354" s="513"/>
      <c r="GJF354" s="508"/>
      <c r="GJG354" s="513"/>
      <c r="GJH354" s="508"/>
      <c r="GJI354" s="513"/>
      <c r="GJJ354" s="508"/>
      <c r="GJK354" s="513"/>
      <c r="GJL354" s="508"/>
      <c r="GJM354" s="513"/>
      <c r="GJN354" s="508"/>
      <c r="GJO354" s="513"/>
      <c r="GJP354" s="508"/>
      <c r="GJQ354" s="513"/>
      <c r="GJR354" s="508"/>
      <c r="GJS354" s="513"/>
      <c r="GJT354" s="508"/>
      <c r="GJU354" s="513"/>
      <c r="GJV354" s="508"/>
      <c r="GJW354" s="513"/>
      <c r="GJX354" s="508"/>
      <c r="GJY354" s="513"/>
      <c r="GJZ354" s="508"/>
      <c r="GKA354" s="513"/>
      <c r="GKB354" s="508"/>
      <c r="GKC354" s="513"/>
      <c r="GKD354" s="508"/>
      <c r="GKE354" s="513"/>
      <c r="GKF354" s="508"/>
      <c r="GKG354" s="513"/>
      <c r="GKH354" s="508"/>
      <c r="GKI354" s="513"/>
      <c r="GKJ354" s="508"/>
      <c r="GKK354" s="513"/>
      <c r="GKL354" s="508"/>
      <c r="GKM354" s="513"/>
      <c r="GKN354" s="508"/>
      <c r="GKO354" s="513"/>
      <c r="GKP354" s="508"/>
      <c r="GKQ354" s="513"/>
      <c r="GKR354" s="508"/>
      <c r="GKS354" s="513"/>
      <c r="GKT354" s="508"/>
      <c r="GKU354" s="513"/>
      <c r="GKV354" s="508"/>
      <c r="GKW354" s="513"/>
      <c r="GKX354" s="508"/>
      <c r="GKY354" s="513"/>
      <c r="GKZ354" s="508"/>
      <c r="GLA354" s="513"/>
      <c r="GLB354" s="508"/>
      <c r="GLC354" s="513"/>
      <c r="GLD354" s="508"/>
      <c r="GLE354" s="513"/>
      <c r="GLF354" s="508"/>
      <c r="GLG354" s="513"/>
      <c r="GLH354" s="508"/>
      <c r="GLI354" s="513"/>
      <c r="GLJ354" s="508"/>
      <c r="GLK354" s="513"/>
      <c r="GLL354" s="508"/>
      <c r="GLM354" s="513"/>
      <c r="GLN354" s="508"/>
      <c r="GLO354" s="513"/>
      <c r="GLP354" s="508"/>
      <c r="GLQ354" s="513"/>
      <c r="GLR354" s="508"/>
      <c r="GLS354" s="513"/>
      <c r="GLT354" s="508"/>
      <c r="GLU354" s="513"/>
      <c r="GLV354" s="508"/>
      <c r="GLW354" s="513"/>
      <c r="GLX354" s="508"/>
      <c r="GLY354" s="513"/>
      <c r="GLZ354" s="508"/>
      <c r="GMA354" s="513"/>
      <c r="GMB354" s="508"/>
      <c r="GMC354" s="513"/>
      <c r="GMD354" s="508"/>
      <c r="GME354" s="513"/>
      <c r="GMF354" s="508"/>
      <c r="GMG354" s="513"/>
      <c r="GMH354" s="508"/>
      <c r="GMI354" s="513"/>
      <c r="GMJ354" s="508"/>
      <c r="GMK354" s="513"/>
      <c r="GML354" s="508"/>
      <c r="GMM354" s="513"/>
      <c r="GMN354" s="508"/>
      <c r="GMO354" s="513"/>
      <c r="GMP354" s="508"/>
      <c r="GMQ354" s="513"/>
      <c r="GMR354" s="508"/>
      <c r="GMS354" s="513"/>
      <c r="GMT354" s="508"/>
      <c r="GMU354" s="513"/>
      <c r="GMV354" s="508"/>
      <c r="GMW354" s="513"/>
      <c r="GMX354" s="508"/>
      <c r="GMY354" s="513"/>
      <c r="GMZ354" s="508"/>
      <c r="GNA354" s="513"/>
      <c r="GNB354" s="508"/>
      <c r="GNC354" s="513"/>
      <c r="GND354" s="508"/>
      <c r="GNE354" s="513"/>
      <c r="GNF354" s="508"/>
      <c r="GNG354" s="513"/>
      <c r="GNH354" s="508"/>
      <c r="GNI354" s="513"/>
      <c r="GNJ354" s="508"/>
      <c r="GNK354" s="513"/>
      <c r="GNL354" s="508"/>
      <c r="GNM354" s="513"/>
      <c r="GNN354" s="508"/>
      <c r="GNO354" s="513"/>
      <c r="GNP354" s="508"/>
      <c r="GNQ354" s="513"/>
      <c r="GNR354" s="508"/>
      <c r="GNS354" s="513"/>
      <c r="GNT354" s="508"/>
      <c r="GNU354" s="513"/>
      <c r="GNV354" s="508"/>
      <c r="GNW354" s="513"/>
      <c r="GNX354" s="508"/>
      <c r="GNY354" s="513"/>
      <c r="GNZ354" s="508"/>
      <c r="GOA354" s="513"/>
      <c r="GOB354" s="508"/>
      <c r="GOC354" s="513"/>
      <c r="GOD354" s="508"/>
      <c r="GOE354" s="513"/>
      <c r="GOF354" s="508"/>
      <c r="GOG354" s="513"/>
      <c r="GOH354" s="508"/>
      <c r="GOI354" s="513"/>
      <c r="GOJ354" s="508"/>
      <c r="GOK354" s="513"/>
      <c r="GOL354" s="508"/>
      <c r="GOM354" s="513"/>
      <c r="GON354" s="508"/>
      <c r="GOO354" s="513"/>
      <c r="GOP354" s="508"/>
      <c r="GOQ354" s="513"/>
      <c r="GOR354" s="508"/>
      <c r="GOS354" s="513"/>
      <c r="GOT354" s="508"/>
      <c r="GOU354" s="513"/>
      <c r="GOV354" s="508"/>
      <c r="GOW354" s="513"/>
      <c r="GOX354" s="508"/>
      <c r="GOY354" s="513"/>
      <c r="GOZ354" s="508"/>
      <c r="GPA354" s="513"/>
      <c r="GPB354" s="508"/>
      <c r="GPC354" s="513"/>
      <c r="GPD354" s="508"/>
      <c r="GPE354" s="513"/>
      <c r="GPF354" s="508"/>
      <c r="GPG354" s="513"/>
      <c r="GPH354" s="508"/>
      <c r="GPI354" s="513"/>
      <c r="GPJ354" s="508"/>
      <c r="GPK354" s="513"/>
      <c r="GPL354" s="508"/>
      <c r="GPM354" s="513"/>
      <c r="GPN354" s="508"/>
      <c r="GPO354" s="513"/>
      <c r="GPP354" s="508"/>
      <c r="GPQ354" s="513"/>
      <c r="GPR354" s="508"/>
      <c r="GPS354" s="513"/>
      <c r="GPT354" s="508"/>
      <c r="GPU354" s="513"/>
      <c r="GPV354" s="508"/>
      <c r="GPW354" s="513"/>
      <c r="GPX354" s="508"/>
      <c r="GPY354" s="513"/>
      <c r="GPZ354" s="508"/>
      <c r="GQA354" s="513"/>
      <c r="GQB354" s="508"/>
      <c r="GQC354" s="513"/>
      <c r="GQD354" s="508"/>
      <c r="GQE354" s="513"/>
      <c r="GQF354" s="508"/>
      <c r="GQG354" s="513"/>
      <c r="GQH354" s="508"/>
      <c r="GQI354" s="513"/>
      <c r="GQJ354" s="508"/>
      <c r="GQK354" s="513"/>
      <c r="GQL354" s="508"/>
      <c r="GQM354" s="513"/>
      <c r="GQN354" s="508"/>
      <c r="GQO354" s="513"/>
      <c r="GQP354" s="508"/>
      <c r="GQQ354" s="513"/>
      <c r="GQR354" s="508"/>
      <c r="GQS354" s="513"/>
      <c r="GQT354" s="508"/>
      <c r="GQU354" s="513"/>
      <c r="GQV354" s="508"/>
      <c r="GQW354" s="513"/>
      <c r="GQX354" s="508"/>
      <c r="GQY354" s="513"/>
      <c r="GQZ354" s="508"/>
      <c r="GRA354" s="513"/>
      <c r="GRB354" s="508"/>
      <c r="GRC354" s="513"/>
      <c r="GRD354" s="508"/>
      <c r="GRE354" s="513"/>
      <c r="GRF354" s="508"/>
      <c r="GRG354" s="513"/>
      <c r="GRH354" s="508"/>
      <c r="GRI354" s="513"/>
      <c r="GRJ354" s="508"/>
      <c r="GRK354" s="513"/>
      <c r="GRL354" s="508"/>
      <c r="GRM354" s="513"/>
      <c r="GRN354" s="508"/>
      <c r="GRO354" s="513"/>
      <c r="GRP354" s="508"/>
      <c r="GRQ354" s="513"/>
      <c r="GRR354" s="508"/>
      <c r="GRS354" s="513"/>
      <c r="GRT354" s="508"/>
      <c r="GRU354" s="513"/>
      <c r="GRV354" s="508"/>
      <c r="GRW354" s="513"/>
      <c r="GRX354" s="508"/>
      <c r="GRY354" s="513"/>
      <c r="GRZ354" s="508"/>
      <c r="GSA354" s="513"/>
      <c r="GSB354" s="508"/>
      <c r="GSC354" s="513"/>
      <c r="GSD354" s="508"/>
      <c r="GSE354" s="513"/>
      <c r="GSF354" s="508"/>
      <c r="GSG354" s="513"/>
      <c r="GSH354" s="508"/>
      <c r="GSI354" s="513"/>
      <c r="GSJ354" s="508"/>
      <c r="GSK354" s="513"/>
      <c r="GSL354" s="508"/>
      <c r="GSM354" s="513"/>
      <c r="GSN354" s="508"/>
      <c r="GSO354" s="513"/>
      <c r="GSP354" s="508"/>
      <c r="GSQ354" s="513"/>
      <c r="GSR354" s="508"/>
      <c r="GSS354" s="513"/>
      <c r="GST354" s="508"/>
      <c r="GSU354" s="513"/>
      <c r="GSV354" s="508"/>
      <c r="GSW354" s="513"/>
      <c r="GSX354" s="508"/>
      <c r="GSY354" s="513"/>
      <c r="GSZ354" s="508"/>
      <c r="GTA354" s="513"/>
      <c r="GTB354" s="508"/>
      <c r="GTC354" s="513"/>
      <c r="GTD354" s="508"/>
      <c r="GTE354" s="513"/>
      <c r="GTF354" s="508"/>
      <c r="GTG354" s="513"/>
      <c r="GTH354" s="508"/>
      <c r="GTI354" s="513"/>
      <c r="GTJ354" s="508"/>
      <c r="GTK354" s="513"/>
      <c r="GTL354" s="508"/>
      <c r="GTM354" s="513"/>
      <c r="GTN354" s="508"/>
      <c r="GTO354" s="513"/>
      <c r="GTP354" s="508"/>
      <c r="GTQ354" s="513"/>
      <c r="GTR354" s="508"/>
      <c r="GTS354" s="513"/>
      <c r="GTT354" s="508"/>
      <c r="GTU354" s="513"/>
      <c r="GTV354" s="508"/>
      <c r="GTW354" s="513"/>
      <c r="GTX354" s="508"/>
      <c r="GTY354" s="513"/>
      <c r="GTZ354" s="508"/>
      <c r="GUA354" s="513"/>
      <c r="GUB354" s="508"/>
      <c r="GUC354" s="513"/>
      <c r="GUD354" s="508"/>
      <c r="GUE354" s="513"/>
      <c r="GUF354" s="508"/>
      <c r="GUG354" s="513"/>
      <c r="GUH354" s="508"/>
      <c r="GUI354" s="513"/>
      <c r="GUJ354" s="508"/>
      <c r="GUK354" s="513"/>
      <c r="GUL354" s="508"/>
      <c r="GUM354" s="513"/>
      <c r="GUN354" s="508"/>
      <c r="GUO354" s="513"/>
      <c r="GUP354" s="508"/>
      <c r="GUQ354" s="513"/>
      <c r="GUR354" s="508"/>
      <c r="GUS354" s="513"/>
      <c r="GUT354" s="508"/>
      <c r="GUU354" s="513"/>
      <c r="GUV354" s="508"/>
      <c r="GUW354" s="513"/>
      <c r="GUX354" s="508"/>
      <c r="GUY354" s="513"/>
      <c r="GUZ354" s="508"/>
      <c r="GVA354" s="513"/>
      <c r="GVB354" s="508"/>
      <c r="GVC354" s="513"/>
      <c r="GVD354" s="508"/>
      <c r="GVE354" s="513"/>
      <c r="GVF354" s="508"/>
      <c r="GVG354" s="513"/>
      <c r="GVH354" s="508"/>
      <c r="GVI354" s="513"/>
      <c r="GVJ354" s="508"/>
      <c r="GVK354" s="513"/>
      <c r="GVL354" s="508"/>
      <c r="GVM354" s="513"/>
      <c r="GVN354" s="508"/>
      <c r="GVO354" s="513"/>
      <c r="GVP354" s="508"/>
      <c r="GVQ354" s="513"/>
      <c r="GVR354" s="508"/>
      <c r="GVS354" s="513"/>
      <c r="GVT354" s="508"/>
      <c r="GVU354" s="513"/>
      <c r="GVV354" s="508"/>
      <c r="GVW354" s="513"/>
      <c r="GVX354" s="508"/>
      <c r="GVY354" s="513"/>
      <c r="GVZ354" s="508"/>
      <c r="GWA354" s="513"/>
      <c r="GWB354" s="508"/>
      <c r="GWC354" s="513"/>
      <c r="GWD354" s="508"/>
      <c r="GWE354" s="513"/>
      <c r="GWF354" s="508"/>
      <c r="GWG354" s="513"/>
      <c r="GWH354" s="508"/>
      <c r="GWI354" s="513"/>
      <c r="GWJ354" s="508"/>
      <c r="GWK354" s="513"/>
      <c r="GWL354" s="508"/>
      <c r="GWM354" s="513"/>
      <c r="GWN354" s="508"/>
      <c r="GWO354" s="513"/>
      <c r="GWP354" s="508"/>
      <c r="GWQ354" s="513"/>
      <c r="GWR354" s="508"/>
      <c r="GWS354" s="513"/>
      <c r="GWT354" s="508"/>
      <c r="GWU354" s="513"/>
      <c r="GWV354" s="508"/>
      <c r="GWW354" s="513"/>
      <c r="GWX354" s="508"/>
      <c r="GWY354" s="513"/>
      <c r="GWZ354" s="508"/>
      <c r="GXA354" s="513"/>
      <c r="GXB354" s="508"/>
      <c r="GXC354" s="513"/>
      <c r="GXD354" s="508"/>
      <c r="GXE354" s="513"/>
      <c r="GXF354" s="508"/>
      <c r="GXG354" s="513"/>
      <c r="GXH354" s="508"/>
      <c r="GXI354" s="513"/>
      <c r="GXJ354" s="508"/>
      <c r="GXK354" s="513"/>
      <c r="GXL354" s="508"/>
      <c r="GXM354" s="513"/>
      <c r="GXN354" s="508"/>
      <c r="GXO354" s="513"/>
      <c r="GXP354" s="508"/>
      <c r="GXQ354" s="513"/>
      <c r="GXR354" s="508"/>
      <c r="GXS354" s="513"/>
      <c r="GXT354" s="508"/>
      <c r="GXU354" s="513"/>
      <c r="GXV354" s="508"/>
      <c r="GXW354" s="513"/>
      <c r="GXX354" s="508"/>
      <c r="GXY354" s="513"/>
      <c r="GXZ354" s="508"/>
      <c r="GYA354" s="513"/>
      <c r="GYB354" s="508"/>
      <c r="GYC354" s="513"/>
      <c r="GYD354" s="508"/>
      <c r="GYE354" s="513"/>
      <c r="GYF354" s="508"/>
      <c r="GYG354" s="513"/>
      <c r="GYH354" s="508"/>
      <c r="GYI354" s="513"/>
      <c r="GYJ354" s="508"/>
      <c r="GYK354" s="513"/>
      <c r="GYL354" s="508"/>
      <c r="GYM354" s="513"/>
      <c r="GYN354" s="508"/>
      <c r="GYO354" s="513"/>
      <c r="GYP354" s="508"/>
      <c r="GYQ354" s="513"/>
      <c r="GYR354" s="508"/>
      <c r="GYS354" s="513"/>
      <c r="GYT354" s="508"/>
      <c r="GYU354" s="513"/>
      <c r="GYV354" s="508"/>
      <c r="GYW354" s="513"/>
      <c r="GYX354" s="508"/>
      <c r="GYY354" s="513"/>
      <c r="GYZ354" s="508"/>
      <c r="GZA354" s="513"/>
      <c r="GZB354" s="508"/>
      <c r="GZC354" s="513"/>
      <c r="GZD354" s="508"/>
      <c r="GZE354" s="513"/>
      <c r="GZF354" s="508"/>
      <c r="GZG354" s="513"/>
      <c r="GZH354" s="508"/>
      <c r="GZI354" s="513"/>
      <c r="GZJ354" s="508"/>
      <c r="GZK354" s="513"/>
      <c r="GZL354" s="508"/>
      <c r="GZM354" s="513"/>
      <c r="GZN354" s="508"/>
      <c r="GZO354" s="513"/>
      <c r="GZP354" s="508"/>
      <c r="GZQ354" s="513"/>
      <c r="GZR354" s="508"/>
      <c r="GZS354" s="513"/>
      <c r="GZT354" s="508"/>
      <c r="GZU354" s="513"/>
      <c r="GZV354" s="508"/>
      <c r="GZW354" s="513"/>
      <c r="GZX354" s="508"/>
      <c r="GZY354" s="513"/>
      <c r="GZZ354" s="508"/>
      <c r="HAA354" s="513"/>
      <c r="HAB354" s="508"/>
      <c r="HAC354" s="513"/>
      <c r="HAD354" s="508"/>
      <c r="HAE354" s="513"/>
      <c r="HAF354" s="508"/>
      <c r="HAG354" s="513"/>
      <c r="HAH354" s="508"/>
      <c r="HAI354" s="513"/>
      <c r="HAJ354" s="508"/>
      <c r="HAK354" s="513"/>
      <c r="HAL354" s="508"/>
      <c r="HAM354" s="513"/>
      <c r="HAN354" s="508"/>
      <c r="HAO354" s="513"/>
      <c r="HAP354" s="508"/>
      <c r="HAQ354" s="513"/>
      <c r="HAR354" s="508"/>
      <c r="HAS354" s="513"/>
      <c r="HAT354" s="508"/>
      <c r="HAU354" s="513"/>
      <c r="HAV354" s="508"/>
      <c r="HAW354" s="513"/>
      <c r="HAX354" s="508"/>
      <c r="HAY354" s="513"/>
      <c r="HAZ354" s="508"/>
      <c r="HBA354" s="513"/>
      <c r="HBB354" s="508"/>
      <c r="HBC354" s="513"/>
      <c r="HBD354" s="508"/>
      <c r="HBE354" s="513"/>
      <c r="HBF354" s="508"/>
      <c r="HBG354" s="513"/>
      <c r="HBH354" s="508"/>
      <c r="HBI354" s="513"/>
      <c r="HBJ354" s="508"/>
      <c r="HBK354" s="513"/>
      <c r="HBL354" s="508"/>
      <c r="HBM354" s="513"/>
      <c r="HBN354" s="508"/>
      <c r="HBO354" s="513"/>
      <c r="HBP354" s="508"/>
      <c r="HBQ354" s="513"/>
      <c r="HBR354" s="508"/>
      <c r="HBS354" s="513"/>
      <c r="HBT354" s="508"/>
      <c r="HBU354" s="513"/>
      <c r="HBV354" s="508"/>
      <c r="HBW354" s="513"/>
      <c r="HBX354" s="508"/>
      <c r="HBY354" s="513"/>
      <c r="HBZ354" s="508"/>
      <c r="HCA354" s="513"/>
      <c r="HCB354" s="508"/>
      <c r="HCC354" s="513"/>
      <c r="HCD354" s="508"/>
      <c r="HCE354" s="513"/>
      <c r="HCF354" s="508"/>
      <c r="HCG354" s="513"/>
      <c r="HCH354" s="508"/>
      <c r="HCI354" s="513"/>
      <c r="HCJ354" s="508"/>
      <c r="HCK354" s="513"/>
      <c r="HCL354" s="508"/>
      <c r="HCM354" s="513"/>
      <c r="HCN354" s="508"/>
      <c r="HCO354" s="513"/>
      <c r="HCP354" s="508"/>
      <c r="HCQ354" s="513"/>
      <c r="HCR354" s="508"/>
      <c r="HCS354" s="513"/>
      <c r="HCT354" s="508"/>
      <c r="HCU354" s="513"/>
      <c r="HCV354" s="508"/>
      <c r="HCW354" s="513"/>
      <c r="HCX354" s="508"/>
      <c r="HCY354" s="513"/>
      <c r="HCZ354" s="508"/>
      <c r="HDA354" s="513"/>
      <c r="HDB354" s="508"/>
      <c r="HDC354" s="513"/>
      <c r="HDD354" s="508"/>
      <c r="HDE354" s="513"/>
      <c r="HDF354" s="508"/>
      <c r="HDG354" s="513"/>
      <c r="HDH354" s="508"/>
      <c r="HDI354" s="513"/>
      <c r="HDJ354" s="508"/>
      <c r="HDK354" s="513"/>
      <c r="HDL354" s="508"/>
      <c r="HDM354" s="513"/>
      <c r="HDN354" s="508"/>
      <c r="HDO354" s="513"/>
      <c r="HDP354" s="508"/>
      <c r="HDQ354" s="513"/>
      <c r="HDR354" s="508"/>
      <c r="HDS354" s="513"/>
      <c r="HDT354" s="508"/>
      <c r="HDU354" s="513"/>
      <c r="HDV354" s="508"/>
      <c r="HDW354" s="513"/>
      <c r="HDX354" s="508"/>
      <c r="HDY354" s="513"/>
      <c r="HDZ354" s="508"/>
      <c r="HEA354" s="513"/>
      <c r="HEB354" s="508"/>
      <c r="HEC354" s="513"/>
      <c r="HED354" s="508"/>
      <c r="HEE354" s="513"/>
      <c r="HEF354" s="508"/>
      <c r="HEG354" s="513"/>
      <c r="HEH354" s="508"/>
      <c r="HEI354" s="513"/>
      <c r="HEJ354" s="508"/>
      <c r="HEK354" s="513"/>
      <c r="HEL354" s="508"/>
      <c r="HEM354" s="513"/>
      <c r="HEN354" s="508"/>
      <c r="HEO354" s="513"/>
      <c r="HEP354" s="508"/>
      <c r="HEQ354" s="513"/>
      <c r="HER354" s="508"/>
      <c r="HES354" s="513"/>
      <c r="HET354" s="508"/>
      <c r="HEU354" s="513"/>
      <c r="HEV354" s="508"/>
      <c r="HEW354" s="513"/>
      <c r="HEX354" s="508"/>
      <c r="HEY354" s="513"/>
      <c r="HEZ354" s="508"/>
      <c r="HFA354" s="513"/>
      <c r="HFB354" s="508"/>
      <c r="HFC354" s="513"/>
      <c r="HFD354" s="508"/>
      <c r="HFE354" s="513"/>
      <c r="HFF354" s="508"/>
      <c r="HFG354" s="513"/>
      <c r="HFH354" s="508"/>
      <c r="HFI354" s="513"/>
      <c r="HFJ354" s="508"/>
      <c r="HFK354" s="513"/>
      <c r="HFL354" s="508"/>
      <c r="HFM354" s="513"/>
      <c r="HFN354" s="508"/>
      <c r="HFO354" s="513"/>
      <c r="HFP354" s="508"/>
      <c r="HFQ354" s="513"/>
      <c r="HFR354" s="508"/>
      <c r="HFS354" s="513"/>
      <c r="HFT354" s="508"/>
      <c r="HFU354" s="513"/>
      <c r="HFV354" s="508"/>
      <c r="HFW354" s="513"/>
      <c r="HFX354" s="508"/>
      <c r="HFY354" s="513"/>
      <c r="HFZ354" s="508"/>
      <c r="HGA354" s="513"/>
      <c r="HGB354" s="508"/>
      <c r="HGC354" s="513"/>
      <c r="HGD354" s="508"/>
      <c r="HGE354" s="513"/>
      <c r="HGF354" s="508"/>
      <c r="HGG354" s="513"/>
      <c r="HGH354" s="508"/>
      <c r="HGI354" s="513"/>
      <c r="HGJ354" s="508"/>
      <c r="HGK354" s="513"/>
      <c r="HGL354" s="508"/>
      <c r="HGM354" s="513"/>
      <c r="HGN354" s="508"/>
      <c r="HGO354" s="513"/>
      <c r="HGP354" s="508"/>
      <c r="HGQ354" s="513"/>
      <c r="HGR354" s="508"/>
      <c r="HGS354" s="513"/>
      <c r="HGT354" s="508"/>
      <c r="HGU354" s="513"/>
      <c r="HGV354" s="508"/>
      <c r="HGW354" s="513"/>
      <c r="HGX354" s="508"/>
      <c r="HGY354" s="513"/>
      <c r="HGZ354" s="508"/>
      <c r="HHA354" s="513"/>
      <c r="HHB354" s="508"/>
      <c r="HHC354" s="513"/>
      <c r="HHD354" s="508"/>
      <c r="HHE354" s="513"/>
      <c r="HHF354" s="508"/>
      <c r="HHG354" s="513"/>
      <c r="HHH354" s="508"/>
      <c r="HHI354" s="513"/>
      <c r="HHJ354" s="508"/>
      <c r="HHK354" s="513"/>
      <c r="HHL354" s="508"/>
      <c r="HHM354" s="513"/>
      <c r="HHN354" s="508"/>
      <c r="HHO354" s="513"/>
      <c r="HHP354" s="508"/>
      <c r="HHQ354" s="513"/>
      <c r="HHR354" s="508"/>
      <c r="HHS354" s="513"/>
      <c r="HHT354" s="508"/>
      <c r="HHU354" s="513"/>
      <c r="HHV354" s="508"/>
      <c r="HHW354" s="513"/>
      <c r="HHX354" s="508"/>
      <c r="HHY354" s="513"/>
      <c r="HHZ354" s="508"/>
      <c r="HIA354" s="513"/>
      <c r="HIB354" s="508"/>
      <c r="HIC354" s="513"/>
      <c r="HID354" s="508"/>
      <c r="HIE354" s="513"/>
      <c r="HIF354" s="508"/>
      <c r="HIG354" s="513"/>
      <c r="HIH354" s="508"/>
      <c r="HII354" s="513"/>
      <c r="HIJ354" s="508"/>
      <c r="HIK354" s="513"/>
      <c r="HIL354" s="508"/>
      <c r="HIM354" s="513"/>
      <c r="HIN354" s="508"/>
      <c r="HIO354" s="513"/>
      <c r="HIP354" s="508"/>
      <c r="HIQ354" s="513"/>
      <c r="HIR354" s="508"/>
      <c r="HIS354" s="513"/>
      <c r="HIT354" s="508"/>
      <c r="HIU354" s="513"/>
      <c r="HIV354" s="508"/>
      <c r="HIW354" s="513"/>
      <c r="HIX354" s="508"/>
      <c r="HIY354" s="513"/>
      <c r="HIZ354" s="508"/>
      <c r="HJA354" s="513"/>
      <c r="HJB354" s="508"/>
      <c r="HJC354" s="513"/>
      <c r="HJD354" s="508"/>
      <c r="HJE354" s="513"/>
      <c r="HJF354" s="508"/>
      <c r="HJG354" s="513"/>
      <c r="HJH354" s="508"/>
      <c r="HJI354" s="513"/>
      <c r="HJJ354" s="508"/>
      <c r="HJK354" s="513"/>
      <c r="HJL354" s="508"/>
      <c r="HJM354" s="513"/>
      <c r="HJN354" s="508"/>
      <c r="HJO354" s="513"/>
      <c r="HJP354" s="508"/>
      <c r="HJQ354" s="513"/>
      <c r="HJR354" s="508"/>
      <c r="HJS354" s="513"/>
      <c r="HJT354" s="508"/>
      <c r="HJU354" s="513"/>
      <c r="HJV354" s="508"/>
      <c r="HJW354" s="513"/>
      <c r="HJX354" s="508"/>
      <c r="HJY354" s="513"/>
      <c r="HJZ354" s="508"/>
      <c r="HKA354" s="513"/>
      <c r="HKB354" s="508"/>
      <c r="HKC354" s="513"/>
      <c r="HKD354" s="508"/>
      <c r="HKE354" s="513"/>
      <c r="HKF354" s="508"/>
      <c r="HKG354" s="513"/>
      <c r="HKH354" s="508"/>
      <c r="HKI354" s="513"/>
      <c r="HKJ354" s="508"/>
      <c r="HKK354" s="513"/>
      <c r="HKL354" s="508"/>
      <c r="HKM354" s="513"/>
      <c r="HKN354" s="508"/>
      <c r="HKO354" s="513"/>
      <c r="HKP354" s="508"/>
      <c r="HKQ354" s="513"/>
      <c r="HKR354" s="508"/>
      <c r="HKS354" s="513"/>
      <c r="HKT354" s="508"/>
      <c r="HKU354" s="513"/>
      <c r="HKV354" s="508"/>
      <c r="HKW354" s="513"/>
      <c r="HKX354" s="508"/>
      <c r="HKY354" s="513"/>
      <c r="HKZ354" s="508"/>
      <c r="HLA354" s="513"/>
      <c r="HLB354" s="508"/>
      <c r="HLC354" s="513"/>
      <c r="HLD354" s="508"/>
      <c r="HLE354" s="513"/>
      <c r="HLF354" s="508"/>
      <c r="HLG354" s="513"/>
      <c r="HLH354" s="508"/>
      <c r="HLI354" s="513"/>
      <c r="HLJ354" s="508"/>
      <c r="HLK354" s="513"/>
      <c r="HLL354" s="508"/>
      <c r="HLM354" s="513"/>
      <c r="HLN354" s="508"/>
      <c r="HLO354" s="513"/>
      <c r="HLP354" s="508"/>
      <c r="HLQ354" s="513"/>
      <c r="HLR354" s="508"/>
      <c r="HLS354" s="513"/>
      <c r="HLT354" s="508"/>
      <c r="HLU354" s="513"/>
      <c r="HLV354" s="508"/>
      <c r="HLW354" s="513"/>
      <c r="HLX354" s="508"/>
      <c r="HLY354" s="513"/>
      <c r="HLZ354" s="508"/>
      <c r="HMA354" s="513"/>
      <c r="HMB354" s="508"/>
      <c r="HMC354" s="513"/>
      <c r="HMD354" s="508"/>
      <c r="HME354" s="513"/>
      <c r="HMF354" s="508"/>
      <c r="HMG354" s="513"/>
      <c r="HMH354" s="508"/>
      <c r="HMI354" s="513"/>
      <c r="HMJ354" s="508"/>
      <c r="HMK354" s="513"/>
      <c r="HML354" s="508"/>
      <c r="HMM354" s="513"/>
      <c r="HMN354" s="508"/>
      <c r="HMO354" s="513"/>
      <c r="HMP354" s="508"/>
      <c r="HMQ354" s="513"/>
      <c r="HMR354" s="508"/>
      <c r="HMS354" s="513"/>
      <c r="HMT354" s="508"/>
      <c r="HMU354" s="513"/>
      <c r="HMV354" s="508"/>
      <c r="HMW354" s="513"/>
      <c r="HMX354" s="508"/>
      <c r="HMY354" s="513"/>
      <c r="HMZ354" s="508"/>
      <c r="HNA354" s="513"/>
      <c r="HNB354" s="508"/>
      <c r="HNC354" s="513"/>
      <c r="HND354" s="508"/>
      <c r="HNE354" s="513"/>
      <c r="HNF354" s="508"/>
      <c r="HNG354" s="513"/>
      <c r="HNH354" s="508"/>
      <c r="HNI354" s="513"/>
      <c r="HNJ354" s="508"/>
      <c r="HNK354" s="513"/>
      <c r="HNL354" s="508"/>
      <c r="HNM354" s="513"/>
      <c r="HNN354" s="508"/>
      <c r="HNO354" s="513"/>
      <c r="HNP354" s="508"/>
      <c r="HNQ354" s="513"/>
      <c r="HNR354" s="508"/>
      <c r="HNS354" s="513"/>
      <c r="HNT354" s="508"/>
      <c r="HNU354" s="513"/>
      <c r="HNV354" s="508"/>
      <c r="HNW354" s="513"/>
      <c r="HNX354" s="508"/>
      <c r="HNY354" s="513"/>
      <c r="HNZ354" s="508"/>
      <c r="HOA354" s="513"/>
      <c r="HOB354" s="508"/>
      <c r="HOC354" s="513"/>
      <c r="HOD354" s="508"/>
      <c r="HOE354" s="513"/>
      <c r="HOF354" s="508"/>
      <c r="HOG354" s="513"/>
      <c r="HOH354" s="508"/>
      <c r="HOI354" s="513"/>
      <c r="HOJ354" s="508"/>
      <c r="HOK354" s="513"/>
      <c r="HOL354" s="508"/>
      <c r="HOM354" s="513"/>
      <c r="HON354" s="508"/>
      <c r="HOO354" s="513"/>
      <c r="HOP354" s="508"/>
      <c r="HOQ354" s="513"/>
      <c r="HOR354" s="508"/>
      <c r="HOS354" s="513"/>
      <c r="HOT354" s="508"/>
      <c r="HOU354" s="513"/>
      <c r="HOV354" s="508"/>
      <c r="HOW354" s="513"/>
      <c r="HOX354" s="508"/>
      <c r="HOY354" s="513"/>
      <c r="HOZ354" s="508"/>
      <c r="HPA354" s="513"/>
      <c r="HPB354" s="508"/>
      <c r="HPC354" s="513"/>
      <c r="HPD354" s="508"/>
      <c r="HPE354" s="513"/>
      <c r="HPF354" s="508"/>
      <c r="HPG354" s="513"/>
      <c r="HPH354" s="508"/>
      <c r="HPI354" s="513"/>
      <c r="HPJ354" s="508"/>
      <c r="HPK354" s="513"/>
      <c r="HPL354" s="508"/>
      <c r="HPM354" s="513"/>
      <c r="HPN354" s="508"/>
      <c r="HPO354" s="513"/>
      <c r="HPP354" s="508"/>
      <c r="HPQ354" s="513"/>
      <c r="HPR354" s="508"/>
      <c r="HPS354" s="513"/>
      <c r="HPT354" s="508"/>
      <c r="HPU354" s="513"/>
      <c r="HPV354" s="508"/>
      <c r="HPW354" s="513"/>
      <c r="HPX354" s="508"/>
      <c r="HPY354" s="513"/>
      <c r="HPZ354" s="508"/>
      <c r="HQA354" s="513"/>
      <c r="HQB354" s="508"/>
      <c r="HQC354" s="513"/>
      <c r="HQD354" s="508"/>
      <c r="HQE354" s="513"/>
      <c r="HQF354" s="508"/>
      <c r="HQG354" s="513"/>
      <c r="HQH354" s="508"/>
      <c r="HQI354" s="513"/>
      <c r="HQJ354" s="508"/>
      <c r="HQK354" s="513"/>
      <c r="HQL354" s="508"/>
      <c r="HQM354" s="513"/>
      <c r="HQN354" s="508"/>
      <c r="HQO354" s="513"/>
      <c r="HQP354" s="508"/>
      <c r="HQQ354" s="513"/>
      <c r="HQR354" s="508"/>
      <c r="HQS354" s="513"/>
      <c r="HQT354" s="508"/>
      <c r="HQU354" s="513"/>
      <c r="HQV354" s="508"/>
      <c r="HQW354" s="513"/>
      <c r="HQX354" s="508"/>
      <c r="HQY354" s="513"/>
      <c r="HQZ354" s="508"/>
      <c r="HRA354" s="513"/>
      <c r="HRB354" s="508"/>
      <c r="HRC354" s="513"/>
      <c r="HRD354" s="508"/>
      <c r="HRE354" s="513"/>
      <c r="HRF354" s="508"/>
      <c r="HRG354" s="513"/>
      <c r="HRH354" s="508"/>
      <c r="HRI354" s="513"/>
      <c r="HRJ354" s="508"/>
      <c r="HRK354" s="513"/>
      <c r="HRL354" s="508"/>
      <c r="HRM354" s="513"/>
      <c r="HRN354" s="508"/>
      <c r="HRO354" s="513"/>
      <c r="HRP354" s="508"/>
      <c r="HRQ354" s="513"/>
      <c r="HRR354" s="508"/>
      <c r="HRS354" s="513"/>
      <c r="HRT354" s="508"/>
      <c r="HRU354" s="513"/>
      <c r="HRV354" s="508"/>
      <c r="HRW354" s="513"/>
      <c r="HRX354" s="508"/>
      <c r="HRY354" s="513"/>
      <c r="HRZ354" s="508"/>
      <c r="HSA354" s="513"/>
      <c r="HSB354" s="508"/>
      <c r="HSC354" s="513"/>
      <c r="HSD354" s="508"/>
      <c r="HSE354" s="513"/>
      <c r="HSF354" s="508"/>
      <c r="HSG354" s="513"/>
      <c r="HSH354" s="508"/>
      <c r="HSI354" s="513"/>
      <c r="HSJ354" s="508"/>
      <c r="HSK354" s="513"/>
      <c r="HSL354" s="508"/>
      <c r="HSM354" s="513"/>
      <c r="HSN354" s="508"/>
      <c r="HSO354" s="513"/>
      <c r="HSP354" s="508"/>
      <c r="HSQ354" s="513"/>
      <c r="HSR354" s="508"/>
      <c r="HSS354" s="513"/>
      <c r="HST354" s="508"/>
      <c r="HSU354" s="513"/>
      <c r="HSV354" s="508"/>
      <c r="HSW354" s="513"/>
      <c r="HSX354" s="508"/>
      <c r="HSY354" s="513"/>
      <c r="HSZ354" s="508"/>
      <c r="HTA354" s="513"/>
      <c r="HTB354" s="508"/>
      <c r="HTC354" s="513"/>
      <c r="HTD354" s="508"/>
      <c r="HTE354" s="513"/>
      <c r="HTF354" s="508"/>
      <c r="HTG354" s="513"/>
      <c r="HTH354" s="508"/>
      <c r="HTI354" s="513"/>
      <c r="HTJ354" s="508"/>
      <c r="HTK354" s="513"/>
      <c r="HTL354" s="508"/>
      <c r="HTM354" s="513"/>
      <c r="HTN354" s="508"/>
      <c r="HTO354" s="513"/>
      <c r="HTP354" s="508"/>
      <c r="HTQ354" s="513"/>
      <c r="HTR354" s="508"/>
      <c r="HTS354" s="513"/>
      <c r="HTT354" s="508"/>
      <c r="HTU354" s="513"/>
      <c r="HTV354" s="508"/>
      <c r="HTW354" s="513"/>
      <c r="HTX354" s="508"/>
      <c r="HTY354" s="513"/>
      <c r="HTZ354" s="508"/>
      <c r="HUA354" s="513"/>
      <c r="HUB354" s="508"/>
      <c r="HUC354" s="513"/>
      <c r="HUD354" s="508"/>
      <c r="HUE354" s="513"/>
      <c r="HUF354" s="508"/>
      <c r="HUG354" s="513"/>
      <c r="HUH354" s="508"/>
      <c r="HUI354" s="513"/>
      <c r="HUJ354" s="508"/>
      <c r="HUK354" s="513"/>
      <c r="HUL354" s="508"/>
      <c r="HUM354" s="513"/>
      <c r="HUN354" s="508"/>
      <c r="HUO354" s="513"/>
      <c r="HUP354" s="508"/>
      <c r="HUQ354" s="513"/>
      <c r="HUR354" s="508"/>
      <c r="HUS354" s="513"/>
      <c r="HUT354" s="508"/>
      <c r="HUU354" s="513"/>
      <c r="HUV354" s="508"/>
      <c r="HUW354" s="513"/>
      <c r="HUX354" s="508"/>
      <c r="HUY354" s="513"/>
      <c r="HUZ354" s="508"/>
      <c r="HVA354" s="513"/>
      <c r="HVB354" s="508"/>
      <c r="HVC354" s="513"/>
      <c r="HVD354" s="508"/>
      <c r="HVE354" s="513"/>
      <c r="HVF354" s="508"/>
      <c r="HVG354" s="513"/>
      <c r="HVH354" s="508"/>
      <c r="HVI354" s="513"/>
      <c r="HVJ354" s="508"/>
      <c r="HVK354" s="513"/>
      <c r="HVL354" s="508"/>
      <c r="HVM354" s="513"/>
      <c r="HVN354" s="508"/>
      <c r="HVO354" s="513"/>
      <c r="HVP354" s="508"/>
      <c r="HVQ354" s="513"/>
      <c r="HVR354" s="508"/>
      <c r="HVS354" s="513"/>
      <c r="HVT354" s="508"/>
      <c r="HVU354" s="513"/>
      <c r="HVV354" s="508"/>
      <c r="HVW354" s="513"/>
      <c r="HVX354" s="508"/>
      <c r="HVY354" s="513"/>
      <c r="HVZ354" s="508"/>
      <c r="HWA354" s="513"/>
      <c r="HWB354" s="508"/>
      <c r="HWC354" s="513"/>
      <c r="HWD354" s="508"/>
      <c r="HWE354" s="513"/>
      <c r="HWF354" s="508"/>
      <c r="HWG354" s="513"/>
      <c r="HWH354" s="508"/>
      <c r="HWI354" s="513"/>
      <c r="HWJ354" s="508"/>
      <c r="HWK354" s="513"/>
      <c r="HWL354" s="508"/>
      <c r="HWM354" s="513"/>
      <c r="HWN354" s="508"/>
      <c r="HWO354" s="513"/>
      <c r="HWP354" s="508"/>
      <c r="HWQ354" s="513"/>
      <c r="HWR354" s="508"/>
      <c r="HWS354" s="513"/>
      <c r="HWT354" s="508"/>
      <c r="HWU354" s="513"/>
      <c r="HWV354" s="508"/>
      <c r="HWW354" s="513"/>
      <c r="HWX354" s="508"/>
      <c r="HWY354" s="513"/>
      <c r="HWZ354" s="508"/>
      <c r="HXA354" s="513"/>
      <c r="HXB354" s="508"/>
      <c r="HXC354" s="513"/>
      <c r="HXD354" s="508"/>
      <c r="HXE354" s="513"/>
      <c r="HXF354" s="508"/>
      <c r="HXG354" s="513"/>
      <c r="HXH354" s="508"/>
      <c r="HXI354" s="513"/>
      <c r="HXJ354" s="508"/>
      <c r="HXK354" s="513"/>
      <c r="HXL354" s="508"/>
      <c r="HXM354" s="513"/>
      <c r="HXN354" s="508"/>
      <c r="HXO354" s="513"/>
      <c r="HXP354" s="508"/>
      <c r="HXQ354" s="513"/>
      <c r="HXR354" s="508"/>
      <c r="HXS354" s="513"/>
      <c r="HXT354" s="508"/>
      <c r="HXU354" s="513"/>
      <c r="HXV354" s="508"/>
      <c r="HXW354" s="513"/>
      <c r="HXX354" s="508"/>
      <c r="HXY354" s="513"/>
      <c r="HXZ354" s="508"/>
      <c r="HYA354" s="513"/>
      <c r="HYB354" s="508"/>
      <c r="HYC354" s="513"/>
      <c r="HYD354" s="508"/>
      <c r="HYE354" s="513"/>
      <c r="HYF354" s="508"/>
      <c r="HYG354" s="513"/>
      <c r="HYH354" s="508"/>
      <c r="HYI354" s="513"/>
      <c r="HYJ354" s="508"/>
      <c r="HYK354" s="513"/>
      <c r="HYL354" s="508"/>
      <c r="HYM354" s="513"/>
      <c r="HYN354" s="508"/>
      <c r="HYO354" s="513"/>
      <c r="HYP354" s="508"/>
      <c r="HYQ354" s="513"/>
      <c r="HYR354" s="508"/>
      <c r="HYS354" s="513"/>
      <c r="HYT354" s="508"/>
      <c r="HYU354" s="513"/>
      <c r="HYV354" s="508"/>
      <c r="HYW354" s="513"/>
      <c r="HYX354" s="508"/>
      <c r="HYY354" s="513"/>
      <c r="HYZ354" s="508"/>
      <c r="HZA354" s="513"/>
      <c r="HZB354" s="508"/>
      <c r="HZC354" s="513"/>
      <c r="HZD354" s="508"/>
      <c r="HZE354" s="513"/>
      <c r="HZF354" s="508"/>
      <c r="HZG354" s="513"/>
      <c r="HZH354" s="508"/>
      <c r="HZI354" s="513"/>
      <c r="HZJ354" s="508"/>
      <c r="HZK354" s="513"/>
      <c r="HZL354" s="508"/>
      <c r="HZM354" s="513"/>
      <c r="HZN354" s="508"/>
      <c r="HZO354" s="513"/>
      <c r="HZP354" s="508"/>
      <c r="HZQ354" s="513"/>
      <c r="HZR354" s="508"/>
      <c r="HZS354" s="513"/>
      <c r="HZT354" s="508"/>
      <c r="HZU354" s="513"/>
      <c r="HZV354" s="508"/>
      <c r="HZW354" s="513"/>
      <c r="HZX354" s="508"/>
      <c r="HZY354" s="513"/>
      <c r="HZZ354" s="508"/>
      <c r="IAA354" s="513"/>
      <c r="IAB354" s="508"/>
      <c r="IAC354" s="513"/>
      <c r="IAD354" s="508"/>
      <c r="IAE354" s="513"/>
      <c r="IAF354" s="508"/>
      <c r="IAG354" s="513"/>
      <c r="IAH354" s="508"/>
      <c r="IAI354" s="513"/>
      <c r="IAJ354" s="508"/>
      <c r="IAK354" s="513"/>
      <c r="IAL354" s="508"/>
      <c r="IAM354" s="513"/>
      <c r="IAN354" s="508"/>
      <c r="IAO354" s="513"/>
      <c r="IAP354" s="508"/>
      <c r="IAQ354" s="513"/>
      <c r="IAR354" s="508"/>
      <c r="IAS354" s="513"/>
      <c r="IAT354" s="508"/>
      <c r="IAU354" s="513"/>
      <c r="IAV354" s="508"/>
      <c r="IAW354" s="513"/>
      <c r="IAX354" s="508"/>
      <c r="IAY354" s="513"/>
      <c r="IAZ354" s="508"/>
      <c r="IBA354" s="513"/>
      <c r="IBB354" s="508"/>
      <c r="IBC354" s="513"/>
      <c r="IBD354" s="508"/>
      <c r="IBE354" s="513"/>
      <c r="IBF354" s="508"/>
      <c r="IBG354" s="513"/>
      <c r="IBH354" s="508"/>
      <c r="IBI354" s="513"/>
      <c r="IBJ354" s="508"/>
      <c r="IBK354" s="513"/>
      <c r="IBL354" s="508"/>
      <c r="IBM354" s="513"/>
      <c r="IBN354" s="508"/>
      <c r="IBO354" s="513"/>
      <c r="IBP354" s="508"/>
      <c r="IBQ354" s="513"/>
      <c r="IBR354" s="508"/>
      <c r="IBS354" s="513"/>
      <c r="IBT354" s="508"/>
      <c r="IBU354" s="513"/>
      <c r="IBV354" s="508"/>
      <c r="IBW354" s="513"/>
      <c r="IBX354" s="508"/>
      <c r="IBY354" s="513"/>
      <c r="IBZ354" s="508"/>
      <c r="ICA354" s="513"/>
      <c r="ICB354" s="508"/>
      <c r="ICC354" s="513"/>
      <c r="ICD354" s="508"/>
      <c r="ICE354" s="513"/>
      <c r="ICF354" s="508"/>
      <c r="ICG354" s="513"/>
      <c r="ICH354" s="508"/>
      <c r="ICI354" s="513"/>
      <c r="ICJ354" s="508"/>
      <c r="ICK354" s="513"/>
      <c r="ICL354" s="508"/>
      <c r="ICM354" s="513"/>
      <c r="ICN354" s="508"/>
      <c r="ICO354" s="513"/>
      <c r="ICP354" s="508"/>
      <c r="ICQ354" s="513"/>
      <c r="ICR354" s="508"/>
      <c r="ICS354" s="513"/>
      <c r="ICT354" s="508"/>
      <c r="ICU354" s="513"/>
      <c r="ICV354" s="508"/>
      <c r="ICW354" s="513"/>
      <c r="ICX354" s="508"/>
      <c r="ICY354" s="513"/>
      <c r="ICZ354" s="508"/>
      <c r="IDA354" s="513"/>
      <c r="IDB354" s="508"/>
      <c r="IDC354" s="513"/>
      <c r="IDD354" s="508"/>
      <c r="IDE354" s="513"/>
      <c r="IDF354" s="508"/>
      <c r="IDG354" s="513"/>
      <c r="IDH354" s="508"/>
      <c r="IDI354" s="513"/>
      <c r="IDJ354" s="508"/>
      <c r="IDK354" s="513"/>
      <c r="IDL354" s="508"/>
      <c r="IDM354" s="513"/>
      <c r="IDN354" s="508"/>
      <c r="IDO354" s="513"/>
      <c r="IDP354" s="508"/>
      <c r="IDQ354" s="513"/>
      <c r="IDR354" s="508"/>
      <c r="IDS354" s="513"/>
      <c r="IDT354" s="508"/>
      <c r="IDU354" s="513"/>
      <c r="IDV354" s="508"/>
      <c r="IDW354" s="513"/>
      <c r="IDX354" s="508"/>
      <c r="IDY354" s="513"/>
      <c r="IDZ354" s="508"/>
      <c r="IEA354" s="513"/>
      <c r="IEB354" s="508"/>
      <c r="IEC354" s="513"/>
      <c r="IED354" s="508"/>
      <c r="IEE354" s="513"/>
      <c r="IEF354" s="508"/>
      <c r="IEG354" s="513"/>
      <c r="IEH354" s="508"/>
      <c r="IEI354" s="513"/>
      <c r="IEJ354" s="508"/>
      <c r="IEK354" s="513"/>
      <c r="IEL354" s="508"/>
      <c r="IEM354" s="513"/>
      <c r="IEN354" s="508"/>
      <c r="IEO354" s="513"/>
      <c r="IEP354" s="508"/>
      <c r="IEQ354" s="513"/>
      <c r="IER354" s="508"/>
      <c r="IES354" s="513"/>
      <c r="IET354" s="508"/>
      <c r="IEU354" s="513"/>
      <c r="IEV354" s="508"/>
      <c r="IEW354" s="513"/>
      <c r="IEX354" s="508"/>
      <c r="IEY354" s="513"/>
      <c r="IEZ354" s="508"/>
      <c r="IFA354" s="513"/>
      <c r="IFB354" s="508"/>
      <c r="IFC354" s="513"/>
      <c r="IFD354" s="508"/>
      <c r="IFE354" s="513"/>
      <c r="IFF354" s="508"/>
      <c r="IFG354" s="513"/>
      <c r="IFH354" s="508"/>
      <c r="IFI354" s="513"/>
      <c r="IFJ354" s="508"/>
      <c r="IFK354" s="513"/>
      <c r="IFL354" s="508"/>
      <c r="IFM354" s="513"/>
      <c r="IFN354" s="508"/>
      <c r="IFO354" s="513"/>
      <c r="IFP354" s="508"/>
      <c r="IFQ354" s="513"/>
      <c r="IFR354" s="508"/>
      <c r="IFS354" s="513"/>
      <c r="IFT354" s="508"/>
      <c r="IFU354" s="513"/>
      <c r="IFV354" s="508"/>
      <c r="IFW354" s="513"/>
      <c r="IFX354" s="508"/>
      <c r="IFY354" s="513"/>
      <c r="IFZ354" s="508"/>
      <c r="IGA354" s="513"/>
      <c r="IGB354" s="508"/>
      <c r="IGC354" s="513"/>
      <c r="IGD354" s="508"/>
      <c r="IGE354" s="513"/>
      <c r="IGF354" s="508"/>
      <c r="IGG354" s="513"/>
      <c r="IGH354" s="508"/>
      <c r="IGI354" s="513"/>
      <c r="IGJ354" s="508"/>
      <c r="IGK354" s="513"/>
      <c r="IGL354" s="508"/>
      <c r="IGM354" s="513"/>
      <c r="IGN354" s="508"/>
      <c r="IGO354" s="513"/>
      <c r="IGP354" s="508"/>
      <c r="IGQ354" s="513"/>
      <c r="IGR354" s="508"/>
      <c r="IGS354" s="513"/>
      <c r="IGT354" s="508"/>
      <c r="IGU354" s="513"/>
      <c r="IGV354" s="508"/>
      <c r="IGW354" s="513"/>
      <c r="IGX354" s="508"/>
      <c r="IGY354" s="513"/>
      <c r="IGZ354" s="508"/>
      <c r="IHA354" s="513"/>
      <c r="IHB354" s="508"/>
      <c r="IHC354" s="513"/>
      <c r="IHD354" s="508"/>
      <c r="IHE354" s="513"/>
      <c r="IHF354" s="508"/>
      <c r="IHG354" s="513"/>
      <c r="IHH354" s="508"/>
      <c r="IHI354" s="513"/>
      <c r="IHJ354" s="508"/>
      <c r="IHK354" s="513"/>
      <c r="IHL354" s="508"/>
      <c r="IHM354" s="513"/>
      <c r="IHN354" s="508"/>
      <c r="IHO354" s="513"/>
      <c r="IHP354" s="508"/>
      <c r="IHQ354" s="513"/>
      <c r="IHR354" s="508"/>
      <c r="IHS354" s="513"/>
      <c r="IHT354" s="508"/>
      <c r="IHU354" s="513"/>
      <c r="IHV354" s="508"/>
      <c r="IHW354" s="513"/>
      <c r="IHX354" s="508"/>
      <c r="IHY354" s="513"/>
      <c r="IHZ354" s="508"/>
      <c r="IIA354" s="513"/>
      <c r="IIB354" s="508"/>
      <c r="IIC354" s="513"/>
      <c r="IID354" s="508"/>
      <c r="IIE354" s="513"/>
      <c r="IIF354" s="508"/>
      <c r="IIG354" s="513"/>
      <c r="IIH354" s="508"/>
      <c r="III354" s="513"/>
      <c r="IIJ354" s="508"/>
      <c r="IIK354" s="513"/>
      <c r="IIL354" s="508"/>
      <c r="IIM354" s="513"/>
      <c r="IIN354" s="508"/>
      <c r="IIO354" s="513"/>
      <c r="IIP354" s="508"/>
      <c r="IIQ354" s="513"/>
      <c r="IIR354" s="508"/>
      <c r="IIS354" s="513"/>
      <c r="IIT354" s="508"/>
      <c r="IIU354" s="513"/>
      <c r="IIV354" s="508"/>
      <c r="IIW354" s="513"/>
      <c r="IIX354" s="508"/>
      <c r="IIY354" s="513"/>
      <c r="IIZ354" s="508"/>
      <c r="IJA354" s="513"/>
      <c r="IJB354" s="508"/>
      <c r="IJC354" s="513"/>
      <c r="IJD354" s="508"/>
      <c r="IJE354" s="513"/>
      <c r="IJF354" s="508"/>
      <c r="IJG354" s="513"/>
      <c r="IJH354" s="508"/>
      <c r="IJI354" s="513"/>
      <c r="IJJ354" s="508"/>
      <c r="IJK354" s="513"/>
      <c r="IJL354" s="508"/>
      <c r="IJM354" s="513"/>
      <c r="IJN354" s="508"/>
      <c r="IJO354" s="513"/>
      <c r="IJP354" s="508"/>
      <c r="IJQ354" s="513"/>
      <c r="IJR354" s="508"/>
      <c r="IJS354" s="513"/>
      <c r="IJT354" s="508"/>
      <c r="IJU354" s="513"/>
      <c r="IJV354" s="508"/>
      <c r="IJW354" s="513"/>
      <c r="IJX354" s="508"/>
      <c r="IJY354" s="513"/>
      <c r="IJZ354" s="508"/>
      <c r="IKA354" s="513"/>
      <c r="IKB354" s="508"/>
      <c r="IKC354" s="513"/>
      <c r="IKD354" s="508"/>
      <c r="IKE354" s="513"/>
      <c r="IKF354" s="508"/>
      <c r="IKG354" s="513"/>
      <c r="IKH354" s="508"/>
      <c r="IKI354" s="513"/>
      <c r="IKJ354" s="508"/>
      <c r="IKK354" s="513"/>
      <c r="IKL354" s="508"/>
      <c r="IKM354" s="513"/>
      <c r="IKN354" s="508"/>
      <c r="IKO354" s="513"/>
      <c r="IKP354" s="508"/>
      <c r="IKQ354" s="513"/>
      <c r="IKR354" s="508"/>
      <c r="IKS354" s="513"/>
      <c r="IKT354" s="508"/>
      <c r="IKU354" s="513"/>
      <c r="IKV354" s="508"/>
      <c r="IKW354" s="513"/>
      <c r="IKX354" s="508"/>
      <c r="IKY354" s="513"/>
      <c r="IKZ354" s="508"/>
      <c r="ILA354" s="513"/>
      <c r="ILB354" s="508"/>
      <c r="ILC354" s="513"/>
      <c r="ILD354" s="508"/>
      <c r="ILE354" s="513"/>
      <c r="ILF354" s="508"/>
      <c r="ILG354" s="513"/>
      <c r="ILH354" s="508"/>
      <c r="ILI354" s="513"/>
      <c r="ILJ354" s="508"/>
      <c r="ILK354" s="513"/>
      <c r="ILL354" s="508"/>
      <c r="ILM354" s="513"/>
      <c r="ILN354" s="508"/>
      <c r="ILO354" s="513"/>
      <c r="ILP354" s="508"/>
      <c r="ILQ354" s="513"/>
      <c r="ILR354" s="508"/>
      <c r="ILS354" s="513"/>
      <c r="ILT354" s="508"/>
      <c r="ILU354" s="513"/>
      <c r="ILV354" s="508"/>
      <c r="ILW354" s="513"/>
      <c r="ILX354" s="508"/>
      <c r="ILY354" s="513"/>
      <c r="ILZ354" s="508"/>
      <c r="IMA354" s="513"/>
      <c r="IMB354" s="508"/>
      <c r="IMC354" s="513"/>
      <c r="IMD354" s="508"/>
      <c r="IME354" s="513"/>
      <c r="IMF354" s="508"/>
      <c r="IMG354" s="513"/>
      <c r="IMH354" s="508"/>
      <c r="IMI354" s="513"/>
      <c r="IMJ354" s="508"/>
      <c r="IMK354" s="513"/>
      <c r="IML354" s="508"/>
      <c r="IMM354" s="513"/>
      <c r="IMN354" s="508"/>
      <c r="IMO354" s="513"/>
      <c r="IMP354" s="508"/>
      <c r="IMQ354" s="513"/>
      <c r="IMR354" s="508"/>
      <c r="IMS354" s="513"/>
      <c r="IMT354" s="508"/>
      <c r="IMU354" s="513"/>
      <c r="IMV354" s="508"/>
      <c r="IMW354" s="513"/>
      <c r="IMX354" s="508"/>
      <c r="IMY354" s="513"/>
      <c r="IMZ354" s="508"/>
      <c r="INA354" s="513"/>
      <c r="INB354" s="508"/>
      <c r="INC354" s="513"/>
      <c r="IND354" s="508"/>
      <c r="INE354" s="513"/>
      <c r="INF354" s="508"/>
      <c r="ING354" s="513"/>
      <c r="INH354" s="508"/>
      <c r="INI354" s="513"/>
      <c r="INJ354" s="508"/>
      <c r="INK354" s="513"/>
      <c r="INL354" s="508"/>
      <c r="INM354" s="513"/>
      <c r="INN354" s="508"/>
      <c r="INO354" s="513"/>
      <c r="INP354" s="508"/>
      <c r="INQ354" s="513"/>
      <c r="INR354" s="508"/>
      <c r="INS354" s="513"/>
      <c r="INT354" s="508"/>
      <c r="INU354" s="513"/>
      <c r="INV354" s="508"/>
      <c r="INW354" s="513"/>
      <c r="INX354" s="508"/>
      <c r="INY354" s="513"/>
      <c r="INZ354" s="508"/>
      <c r="IOA354" s="513"/>
      <c r="IOB354" s="508"/>
      <c r="IOC354" s="513"/>
      <c r="IOD354" s="508"/>
      <c r="IOE354" s="513"/>
      <c r="IOF354" s="508"/>
      <c r="IOG354" s="513"/>
      <c r="IOH354" s="508"/>
      <c r="IOI354" s="513"/>
      <c r="IOJ354" s="508"/>
      <c r="IOK354" s="513"/>
      <c r="IOL354" s="508"/>
      <c r="IOM354" s="513"/>
      <c r="ION354" s="508"/>
      <c r="IOO354" s="513"/>
      <c r="IOP354" s="508"/>
      <c r="IOQ354" s="513"/>
      <c r="IOR354" s="508"/>
      <c r="IOS354" s="513"/>
      <c r="IOT354" s="508"/>
      <c r="IOU354" s="513"/>
      <c r="IOV354" s="508"/>
      <c r="IOW354" s="513"/>
      <c r="IOX354" s="508"/>
      <c r="IOY354" s="513"/>
      <c r="IOZ354" s="508"/>
      <c r="IPA354" s="513"/>
      <c r="IPB354" s="508"/>
      <c r="IPC354" s="513"/>
      <c r="IPD354" s="508"/>
      <c r="IPE354" s="513"/>
      <c r="IPF354" s="508"/>
      <c r="IPG354" s="513"/>
      <c r="IPH354" s="508"/>
      <c r="IPI354" s="513"/>
      <c r="IPJ354" s="508"/>
      <c r="IPK354" s="513"/>
      <c r="IPL354" s="508"/>
      <c r="IPM354" s="513"/>
      <c r="IPN354" s="508"/>
      <c r="IPO354" s="513"/>
      <c r="IPP354" s="508"/>
      <c r="IPQ354" s="513"/>
      <c r="IPR354" s="508"/>
      <c r="IPS354" s="513"/>
      <c r="IPT354" s="508"/>
      <c r="IPU354" s="513"/>
      <c r="IPV354" s="508"/>
      <c r="IPW354" s="513"/>
      <c r="IPX354" s="508"/>
      <c r="IPY354" s="513"/>
      <c r="IPZ354" s="508"/>
      <c r="IQA354" s="513"/>
      <c r="IQB354" s="508"/>
      <c r="IQC354" s="513"/>
      <c r="IQD354" s="508"/>
      <c r="IQE354" s="513"/>
      <c r="IQF354" s="508"/>
      <c r="IQG354" s="513"/>
      <c r="IQH354" s="508"/>
      <c r="IQI354" s="513"/>
      <c r="IQJ354" s="508"/>
      <c r="IQK354" s="513"/>
      <c r="IQL354" s="508"/>
      <c r="IQM354" s="513"/>
      <c r="IQN354" s="508"/>
      <c r="IQO354" s="513"/>
      <c r="IQP354" s="508"/>
      <c r="IQQ354" s="513"/>
      <c r="IQR354" s="508"/>
      <c r="IQS354" s="513"/>
      <c r="IQT354" s="508"/>
      <c r="IQU354" s="513"/>
      <c r="IQV354" s="508"/>
      <c r="IQW354" s="513"/>
      <c r="IQX354" s="508"/>
      <c r="IQY354" s="513"/>
      <c r="IQZ354" s="508"/>
      <c r="IRA354" s="513"/>
      <c r="IRB354" s="508"/>
      <c r="IRC354" s="513"/>
      <c r="IRD354" s="508"/>
      <c r="IRE354" s="513"/>
      <c r="IRF354" s="508"/>
      <c r="IRG354" s="513"/>
      <c r="IRH354" s="508"/>
      <c r="IRI354" s="513"/>
      <c r="IRJ354" s="508"/>
      <c r="IRK354" s="513"/>
      <c r="IRL354" s="508"/>
      <c r="IRM354" s="513"/>
      <c r="IRN354" s="508"/>
      <c r="IRO354" s="513"/>
      <c r="IRP354" s="508"/>
      <c r="IRQ354" s="513"/>
      <c r="IRR354" s="508"/>
      <c r="IRS354" s="513"/>
      <c r="IRT354" s="508"/>
      <c r="IRU354" s="513"/>
      <c r="IRV354" s="508"/>
      <c r="IRW354" s="513"/>
      <c r="IRX354" s="508"/>
      <c r="IRY354" s="513"/>
      <c r="IRZ354" s="508"/>
      <c r="ISA354" s="513"/>
      <c r="ISB354" s="508"/>
      <c r="ISC354" s="513"/>
      <c r="ISD354" s="508"/>
      <c r="ISE354" s="513"/>
      <c r="ISF354" s="508"/>
      <c r="ISG354" s="513"/>
      <c r="ISH354" s="508"/>
      <c r="ISI354" s="513"/>
      <c r="ISJ354" s="508"/>
      <c r="ISK354" s="513"/>
      <c r="ISL354" s="508"/>
      <c r="ISM354" s="513"/>
      <c r="ISN354" s="508"/>
      <c r="ISO354" s="513"/>
      <c r="ISP354" s="508"/>
      <c r="ISQ354" s="513"/>
      <c r="ISR354" s="508"/>
      <c r="ISS354" s="513"/>
      <c r="IST354" s="508"/>
      <c r="ISU354" s="513"/>
      <c r="ISV354" s="508"/>
      <c r="ISW354" s="513"/>
      <c r="ISX354" s="508"/>
      <c r="ISY354" s="513"/>
      <c r="ISZ354" s="508"/>
      <c r="ITA354" s="513"/>
      <c r="ITB354" s="508"/>
      <c r="ITC354" s="513"/>
      <c r="ITD354" s="508"/>
      <c r="ITE354" s="513"/>
      <c r="ITF354" s="508"/>
      <c r="ITG354" s="513"/>
      <c r="ITH354" s="508"/>
      <c r="ITI354" s="513"/>
      <c r="ITJ354" s="508"/>
      <c r="ITK354" s="513"/>
      <c r="ITL354" s="508"/>
      <c r="ITM354" s="513"/>
      <c r="ITN354" s="508"/>
      <c r="ITO354" s="513"/>
      <c r="ITP354" s="508"/>
      <c r="ITQ354" s="513"/>
      <c r="ITR354" s="508"/>
      <c r="ITS354" s="513"/>
      <c r="ITT354" s="508"/>
      <c r="ITU354" s="513"/>
      <c r="ITV354" s="508"/>
      <c r="ITW354" s="513"/>
      <c r="ITX354" s="508"/>
      <c r="ITY354" s="513"/>
      <c r="ITZ354" s="508"/>
      <c r="IUA354" s="513"/>
      <c r="IUB354" s="508"/>
      <c r="IUC354" s="513"/>
      <c r="IUD354" s="508"/>
      <c r="IUE354" s="513"/>
      <c r="IUF354" s="508"/>
      <c r="IUG354" s="513"/>
      <c r="IUH354" s="508"/>
      <c r="IUI354" s="513"/>
      <c r="IUJ354" s="508"/>
      <c r="IUK354" s="513"/>
      <c r="IUL354" s="508"/>
      <c r="IUM354" s="513"/>
      <c r="IUN354" s="508"/>
      <c r="IUO354" s="513"/>
      <c r="IUP354" s="508"/>
      <c r="IUQ354" s="513"/>
      <c r="IUR354" s="508"/>
      <c r="IUS354" s="513"/>
      <c r="IUT354" s="508"/>
      <c r="IUU354" s="513"/>
      <c r="IUV354" s="508"/>
      <c r="IUW354" s="513"/>
      <c r="IUX354" s="508"/>
      <c r="IUY354" s="513"/>
      <c r="IUZ354" s="508"/>
      <c r="IVA354" s="513"/>
      <c r="IVB354" s="508"/>
      <c r="IVC354" s="513"/>
      <c r="IVD354" s="508"/>
      <c r="IVE354" s="513"/>
      <c r="IVF354" s="508"/>
      <c r="IVG354" s="513"/>
      <c r="IVH354" s="508"/>
      <c r="IVI354" s="513"/>
      <c r="IVJ354" s="508"/>
      <c r="IVK354" s="513"/>
      <c r="IVL354" s="508"/>
      <c r="IVM354" s="513"/>
      <c r="IVN354" s="508"/>
      <c r="IVO354" s="513"/>
      <c r="IVP354" s="508"/>
      <c r="IVQ354" s="513"/>
      <c r="IVR354" s="508"/>
      <c r="IVS354" s="513"/>
      <c r="IVT354" s="508"/>
      <c r="IVU354" s="513"/>
      <c r="IVV354" s="508"/>
      <c r="IVW354" s="513"/>
      <c r="IVX354" s="508"/>
      <c r="IVY354" s="513"/>
      <c r="IVZ354" s="508"/>
      <c r="IWA354" s="513"/>
      <c r="IWB354" s="508"/>
      <c r="IWC354" s="513"/>
      <c r="IWD354" s="508"/>
      <c r="IWE354" s="513"/>
      <c r="IWF354" s="508"/>
      <c r="IWG354" s="513"/>
      <c r="IWH354" s="508"/>
      <c r="IWI354" s="513"/>
      <c r="IWJ354" s="508"/>
      <c r="IWK354" s="513"/>
      <c r="IWL354" s="508"/>
      <c r="IWM354" s="513"/>
      <c r="IWN354" s="508"/>
      <c r="IWO354" s="513"/>
      <c r="IWP354" s="508"/>
      <c r="IWQ354" s="513"/>
      <c r="IWR354" s="508"/>
      <c r="IWS354" s="513"/>
      <c r="IWT354" s="508"/>
      <c r="IWU354" s="513"/>
      <c r="IWV354" s="508"/>
      <c r="IWW354" s="513"/>
      <c r="IWX354" s="508"/>
      <c r="IWY354" s="513"/>
      <c r="IWZ354" s="508"/>
      <c r="IXA354" s="513"/>
      <c r="IXB354" s="508"/>
      <c r="IXC354" s="513"/>
      <c r="IXD354" s="508"/>
      <c r="IXE354" s="513"/>
      <c r="IXF354" s="508"/>
      <c r="IXG354" s="513"/>
      <c r="IXH354" s="508"/>
      <c r="IXI354" s="513"/>
      <c r="IXJ354" s="508"/>
      <c r="IXK354" s="513"/>
      <c r="IXL354" s="508"/>
      <c r="IXM354" s="513"/>
      <c r="IXN354" s="508"/>
      <c r="IXO354" s="513"/>
      <c r="IXP354" s="508"/>
      <c r="IXQ354" s="513"/>
      <c r="IXR354" s="508"/>
      <c r="IXS354" s="513"/>
      <c r="IXT354" s="508"/>
      <c r="IXU354" s="513"/>
      <c r="IXV354" s="508"/>
      <c r="IXW354" s="513"/>
      <c r="IXX354" s="508"/>
      <c r="IXY354" s="513"/>
      <c r="IXZ354" s="508"/>
      <c r="IYA354" s="513"/>
      <c r="IYB354" s="508"/>
      <c r="IYC354" s="513"/>
      <c r="IYD354" s="508"/>
      <c r="IYE354" s="513"/>
      <c r="IYF354" s="508"/>
      <c r="IYG354" s="513"/>
      <c r="IYH354" s="508"/>
      <c r="IYI354" s="513"/>
      <c r="IYJ354" s="508"/>
      <c r="IYK354" s="513"/>
      <c r="IYL354" s="508"/>
      <c r="IYM354" s="513"/>
      <c r="IYN354" s="508"/>
      <c r="IYO354" s="513"/>
      <c r="IYP354" s="508"/>
      <c r="IYQ354" s="513"/>
      <c r="IYR354" s="508"/>
      <c r="IYS354" s="513"/>
      <c r="IYT354" s="508"/>
      <c r="IYU354" s="513"/>
      <c r="IYV354" s="508"/>
      <c r="IYW354" s="513"/>
      <c r="IYX354" s="508"/>
      <c r="IYY354" s="513"/>
      <c r="IYZ354" s="508"/>
      <c r="IZA354" s="513"/>
      <c r="IZB354" s="508"/>
      <c r="IZC354" s="513"/>
      <c r="IZD354" s="508"/>
      <c r="IZE354" s="513"/>
      <c r="IZF354" s="508"/>
      <c r="IZG354" s="513"/>
      <c r="IZH354" s="508"/>
      <c r="IZI354" s="513"/>
      <c r="IZJ354" s="508"/>
      <c r="IZK354" s="513"/>
      <c r="IZL354" s="508"/>
      <c r="IZM354" s="513"/>
      <c r="IZN354" s="508"/>
      <c r="IZO354" s="513"/>
      <c r="IZP354" s="508"/>
      <c r="IZQ354" s="513"/>
      <c r="IZR354" s="508"/>
      <c r="IZS354" s="513"/>
      <c r="IZT354" s="508"/>
      <c r="IZU354" s="513"/>
      <c r="IZV354" s="508"/>
      <c r="IZW354" s="513"/>
      <c r="IZX354" s="508"/>
      <c r="IZY354" s="513"/>
      <c r="IZZ354" s="508"/>
      <c r="JAA354" s="513"/>
      <c r="JAB354" s="508"/>
      <c r="JAC354" s="513"/>
      <c r="JAD354" s="508"/>
      <c r="JAE354" s="513"/>
      <c r="JAF354" s="508"/>
      <c r="JAG354" s="513"/>
      <c r="JAH354" s="508"/>
      <c r="JAI354" s="513"/>
      <c r="JAJ354" s="508"/>
      <c r="JAK354" s="513"/>
      <c r="JAL354" s="508"/>
      <c r="JAM354" s="513"/>
      <c r="JAN354" s="508"/>
      <c r="JAO354" s="513"/>
      <c r="JAP354" s="508"/>
      <c r="JAQ354" s="513"/>
      <c r="JAR354" s="508"/>
      <c r="JAS354" s="513"/>
      <c r="JAT354" s="508"/>
      <c r="JAU354" s="513"/>
      <c r="JAV354" s="508"/>
      <c r="JAW354" s="513"/>
      <c r="JAX354" s="508"/>
      <c r="JAY354" s="513"/>
      <c r="JAZ354" s="508"/>
      <c r="JBA354" s="513"/>
      <c r="JBB354" s="508"/>
      <c r="JBC354" s="513"/>
      <c r="JBD354" s="508"/>
      <c r="JBE354" s="513"/>
      <c r="JBF354" s="508"/>
      <c r="JBG354" s="513"/>
      <c r="JBH354" s="508"/>
      <c r="JBI354" s="513"/>
      <c r="JBJ354" s="508"/>
      <c r="JBK354" s="513"/>
      <c r="JBL354" s="508"/>
      <c r="JBM354" s="513"/>
      <c r="JBN354" s="508"/>
      <c r="JBO354" s="513"/>
      <c r="JBP354" s="508"/>
      <c r="JBQ354" s="513"/>
      <c r="JBR354" s="508"/>
      <c r="JBS354" s="513"/>
      <c r="JBT354" s="508"/>
      <c r="JBU354" s="513"/>
      <c r="JBV354" s="508"/>
      <c r="JBW354" s="513"/>
      <c r="JBX354" s="508"/>
      <c r="JBY354" s="513"/>
      <c r="JBZ354" s="508"/>
      <c r="JCA354" s="513"/>
      <c r="JCB354" s="508"/>
      <c r="JCC354" s="513"/>
      <c r="JCD354" s="508"/>
      <c r="JCE354" s="513"/>
      <c r="JCF354" s="508"/>
      <c r="JCG354" s="513"/>
      <c r="JCH354" s="508"/>
      <c r="JCI354" s="513"/>
      <c r="JCJ354" s="508"/>
      <c r="JCK354" s="513"/>
      <c r="JCL354" s="508"/>
      <c r="JCM354" s="513"/>
      <c r="JCN354" s="508"/>
      <c r="JCO354" s="513"/>
      <c r="JCP354" s="508"/>
      <c r="JCQ354" s="513"/>
      <c r="JCR354" s="508"/>
      <c r="JCS354" s="513"/>
      <c r="JCT354" s="508"/>
      <c r="JCU354" s="513"/>
      <c r="JCV354" s="508"/>
      <c r="JCW354" s="513"/>
      <c r="JCX354" s="508"/>
      <c r="JCY354" s="513"/>
      <c r="JCZ354" s="508"/>
      <c r="JDA354" s="513"/>
      <c r="JDB354" s="508"/>
      <c r="JDC354" s="513"/>
      <c r="JDD354" s="508"/>
      <c r="JDE354" s="513"/>
      <c r="JDF354" s="508"/>
      <c r="JDG354" s="513"/>
      <c r="JDH354" s="508"/>
      <c r="JDI354" s="513"/>
      <c r="JDJ354" s="508"/>
      <c r="JDK354" s="513"/>
      <c r="JDL354" s="508"/>
      <c r="JDM354" s="513"/>
      <c r="JDN354" s="508"/>
      <c r="JDO354" s="513"/>
      <c r="JDP354" s="508"/>
      <c r="JDQ354" s="513"/>
      <c r="JDR354" s="508"/>
      <c r="JDS354" s="513"/>
      <c r="JDT354" s="508"/>
      <c r="JDU354" s="513"/>
      <c r="JDV354" s="508"/>
      <c r="JDW354" s="513"/>
      <c r="JDX354" s="508"/>
      <c r="JDY354" s="513"/>
      <c r="JDZ354" s="508"/>
      <c r="JEA354" s="513"/>
      <c r="JEB354" s="508"/>
      <c r="JEC354" s="513"/>
      <c r="JED354" s="508"/>
      <c r="JEE354" s="513"/>
      <c r="JEF354" s="508"/>
      <c r="JEG354" s="513"/>
      <c r="JEH354" s="508"/>
      <c r="JEI354" s="513"/>
      <c r="JEJ354" s="508"/>
      <c r="JEK354" s="513"/>
      <c r="JEL354" s="508"/>
      <c r="JEM354" s="513"/>
      <c r="JEN354" s="508"/>
      <c r="JEO354" s="513"/>
      <c r="JEP354" s="508"/>
      <c r="JEQ354" s="513"/>
      <c r="JER354" s="508"/>
      <c r="JES354" s="513"/>
      <c r="JET354" s="508"/>
      <c r="JEU354" s="513"/>
      <c r="JEV354" s="508"/>
      <c r="JEW354" s="513"/>
      <c r="JEX354" s="508"/>
      <c r="JEY354" s="513"/>
      <c r="JEZ354" s="508"/>
      <c r="JFA354" s="513"/>
      <c r="JFB354" s="508"/>
      <c r="JFC354" s="513"/>
      <c r="JFD354" s="508"/>
      <c r="JFE354" s="513"/>
      <c r="JFF354" s="508"/>
      <c r="JFG354" s="513"/>
      <c r="JFH354" s="508"/>
      <c r="JFI354" s="513"/>
      <c r="JFJ354" s="508"/>
      <c r="JFK354" s="513"/>
      <c r="JFL354" s="508"/>
      <c r="JFM354" s="513"/>
      <c r="JFN354" s="508"/>
      <c r="JFO354" s="513"/>
      <c r="JFP354" s="508"/>
      <c r="JFQ354" s="513"/>
      <c r="JFR354" s="508"/>
      <c r="JFS354" s="513"/>
      <c r="JFT354" s="508"/>
      <c r="JFU354" s="513"/>
      <c r="JFV354" s="508"/>
      <c r="JFW354" s="513"/>
      <c r="JFX354" s="508"/>
      <c r="JFY354" s="513"/>
      <c r="JFZ354" s="508"/>
      <c r="JGA354" s="513"/>
      <c r="JGB354" s="508"/>
      <c r="JGC354" s="513"/>
      <c r="JGD354" s="508"/>
      <c r="JGE354" s="513"/>
      <c r="JGF354" s="508"/>
      <c r="JGG354" s="513"/>
      <c r="JGH354" s="508"/>
      <c r="JGI354" s="513"/>
      <c r="JGJ354" s="508"/>
      <c r="JGK354" s="513"/>
      <c r="JGL354" s="508"/>
      <c r="JGM354" s="513"/>
      <c r="JGN354" s="508"/>
      <c r="JGO354" s="513"/>
      <c r="JGP354" s="508"/>
      <c r="JGQ354" s="513"/>
      <c r="JGR354" s="508"/>
      <c r="JGS354" s="513"/>
      <c r="JGT354" s="508"/>
      <c r="JGU354" s="513"/>
      <c r="JGV354" s="508"/>
      <c r="JGW354" s="513"/>
      <c r="JGX354" s="508"/>
      <c r="JGY354" s="513"/>
      <c r="JGZ354" s="508"/>
      <c r="JHA354" s="513"/>
      <c r="JHB354" s="508"/>
      <c r="JHC354" s="513"/>
      <c r="JHD354" s="508"/>
      <c r="JHE354" s="513"/>
      <c r="JHF354" s="508"/>
      <c r="JHG354" s="513"/>
      <c r="JHH354" s="508"/>
      <c r="JHI354" s="513"/>
      <c r="JHJ354" s="508"/>
      <c r="JHK354" s="513"/>
      <c r="JHL354" s="508"/>
      <c r="JHM354" s="513"/>
      <c r="JHN354" s="508"/>
      <c r="JHO354" s="513"/>
      <c r="JHP354" s="508"/>
      <c r="JHQ354" s="513"/>
      <c r="JHR354" s="508"/>
      <c r="JHS354" s="513"/>
      <c r="JHT354" s="508"/>
      <c r="JHU354" s="513"/>
      <c r="JHV354" s="508"/>
      <c r="JHW354" s="513"/>
      <c r="JHX354" s="508"/>
      <c r="JHY354" s="513"/>
      <c r="JHZ354" s="508"/>
      <c r="JIA354" s="513"/>
      <c r="JIB354" s="508"/>
      <c r="JIC354" s="513"/>
      <c r="JID354" s="508"/>
      <c r="JIE354" s="513"/>
      <c r="JIF354" s="508"/>
      <c r="JIG354" s="513"/>
      <c r="JIH354" s="508"/>
      <c r="JII354" s="513"/>
      <c r="JIJ354" s="508"/>
      <c r="JIK354" s="513"/>
      <c r="JIL354" s="508"/>
      <c r="JIM354" s="513"/>
      <c r="JIN354" s="508"/>
      <c r="JIO354" s="513"/>
      <c r="JIP354" s="508"/>
      <c r="JIQ354" s="513"/>
      <c r="JIR354" s="508"/>
      <c r="JIS354" s="513"/>
      <c r="JIT354" s="508"/>
      <c r="JIU354" s="513"/>
      <c r="JIV354" s="508"/>
      <c r="JIW354" s="513"/>
      <c r="JIX354" s="508"/>
      <c r="JIY354" s="513"/>
      <c r="JIZ354" s="508"/>
      <c r="JJA354" s="513"/>
      <c r="JJB354" s="508"/>
      <c r="JJC354" s="513"/>
      <c r="JJD354" s="508"/>
      <c r="JJE354" s="513"/>
      <c r="JJF354" s="508"/>
      <c r="JJG354" s="513"/>
      <c r="JJH354" s="508"/>
      <c r="JJI354" s="513"/>
      <c r="JJJ354" s="508"/>
      <c r="JJK354" s="513"/>
      <c r="JJL354" s="508"/>
      <c r="JJM354" s="513"/>
      <c r="JJN354" s="508"/>
      <c r="JJO354" s="513"/>
      <c r="JJP354" s="508"/>
      <c r="JJQ354" s="513"/>
      <c r="JJR354" s="508"/>
      <c r="JJS354" s="513"/>
      <c r="JJT354" s="508"/>
      <c r="JJU354" s="513"/>
      <c r="JJV354" s="508"/>
      <c r="JJW354" s="513"/>
      <c r="JJX354" s="508"/>
      <c r="JJY354" s="513"/>
      <c r="JJZ354" s="508"/>
      <c r="JKA354" s="513"/>
      <c r="JKB354" s="508"/>
      <c r="JKC354" s="513"/>
      <c r="JKD354" s="508"/>
      <c r="JKE354" s="513"/>
      <c r="JKF354" s="508"/>
      <c r="JKG354" s="513"/>
      <c r="JKH354" s="508"/>
      <c r="JKI354" s="513"/>
      <c r="JKJ354" s="508"/>
      <c r="JKK354" s="513"/>
      <c r="JKL354" s="508"/>
      <c r="JKM354" s="513"/>
      <c r="JKN354" s="508"/>
      <c r="JKO354" s="513"/>
      <c r="JKP354" s="508"/>
      <c r="JKQ354" s="513"/>
      <c r="JKR354" s="508"/>
      <c r="JKS354" s="513"/>
      <c r="JKT354" s="508"/>
      <c r="JKU354" s="513"/>
      <c r="JKV354" s="508"/>
      <c r="JKW354" s="513"/>
      <c r="JKX354" s="508"/>
      <c r="JKY354" s="513"/>
      <c r="JKZ354" s="508"/>
      <c r="JLA354" s="513"/>
      <c r="JLB354" s="508"/>
      <c r="JLC354" s="513"/>
      <c r="JLD354" s="508"/>
      <c r="JLE354" s="513"/>
      <c r="JLF354" s="508"/>
      <c r="JLG354" s="513"/>
      <c r="JLH354" s="508"/>
      <c r="JLI354" s="513"/>
      <c r="JLJ354" s="508"/>
      <c r="JLK354" s="513"/>
      <c r="JLL354" s="508"/>
      <c r="JLM354" s="513"/>
      <c r="JLN354" s="508"/>
      <c r="JLO354" s="513"/>
      <c r="JLP354" s="508"/>
      <c r="JLQ354" s="513"/>
      <c r="JLR354" s="508"/>
      <c r="JLS354" s="513"/>
      <c r="JLT354" s="508"/>
      <c r="JLU354" s="513"/>
      <c r="JLV354" s="508"/>
      <c r="JLW354" s="513"/>
      <c r="JLX354" s="508"/>
      <c r="JLY354" s="513"/>
      <c r="JLZ354" s="508"/>
      <c r="JMA354" s="513"/>
      <c r="JMB354" s="508"/>
      <c r="JMC354" s="513"/>
      <c r="JMD354" s="508"/>
      <c r="JME354" s="513"/>
      <c r="JMF354" s="508"/>
      <c r="JMG354" s="513"/>
      <c r="JMH354" s="508"/>
      <c r="JMI354" s="513"/>
      <c r="JMJ354" s="508"/>
      <c r="JMK354" s="513"/>
      <c r="JML354" s="508"/>
      <c r="JMM354" s="513"/>
      <c r="JMN354" s="508"/>
      <c r="JMO354" s="513"/>
      <c r="JMP354" s="508"/>
      <c r="JMQ354" s="513"/>
      <c r="JMR354" s="508"/>
      <c r="JMS354" s="513"/>
      <c r="JMT354" s="508"/>
      <c r="JMU354" s="513"/>
      <c r="JMV354" s="508"/>
      <c r="JMW354" s="513"/>
      <c r="JMX354" s="508"/>
      <c r="JMY354" s="513"/>
      <c r="JMZ354" s="508"/>
      <c r="JNA354" s="513"/>
      <c r="JNB354" s="508"/>
      <c r="JNC354" s="513"/>
      <c r="JND354" s="508"/>
      <c r="JNE354" s="513"/>
      <c r="JNF354" s="508"/>
      <c r="JNG354" s="513"/>
      <c r="JNH354" s="508"/>
      <c r="JNI354" s="513"/>
      <c r="JNJ354" s="508"/>
      <c r="JNK354" s="513"/>
      <c r="JNL354" s="508"/>
      <c r="JNM354" s="513"/>
      <c r="JNN354" s="508"/>
      <c r="JNO354" s="513"/>
      <c r="JNP354" s="508"/>
      <c r="JNQ354" s="513"/>
      <c r="JNR354" s="508"/>
      <c r="JNS354" s="513"/>
      <c r="JNT354" s="508"/>
      <c r="JNU354" s="513"/>
      <c r="JNV354" s="508"/>
      <c r="JNW354" s="513"/>
      <c r="JNX354" s="508"/>
      <c r="JNY354" s="513"/>
      <c r="JNZ354" s="508"/>
      <c r="JOA354" s="513"/>
      <c r="JOB354" s="508"/>
      <c r="JOC354" s="513"/>
      <c r="JOD354" s="508"/>
      <c r="JOE354" s="513"/>
      <c r="JOF354" s="508"/>
      <c r="JOG354" s="513"/>
      <c r="JOH354" s="508"/>
      <c r="JOI354" s="513"/>
      <c r="JOJ354" s="508"/>
      <c r="JOK354" s="513"/>
      <c r="JOL354" s="508"/>
      <c r="JOM354" s="513"/>
      <c r="JON354" s="508"/>
      <c r="JOO354" s="513"/>
      <c r="JOP354" s="508"/>
      <c r="JOQ354" s="513"/>
      <c r="JOR354" s="508"/>
      <c r="JOS354" s="513"/>
      <c r="JOT354" s="508"/>
      <c r="JOU354" s="513"/>
      <c r="JOV354" s="508"/>
      <c r="JOW354" s="513"/>
      <c r="JOX354" s="508"/>
      <c r="JOY354" s="513"/>
      <c r="JOZ354" s="508"/>
      <c r="JPA354" s="513"/>
      <c r="JPB354" s="508"/>
      <c r="JPC354" s="513"/>
      <c r="JPD354" s="508"/>
      <c r="JPE354" s="513"/>
      <c r="JPF354" s="508"/>
      <c r="JPG354" s="513"/>
      <c r="JPH354" s="508"/>
      <c r="JPI354" s="513"/>
      <c r="JPJ354" s="508"/>
      <c r="JPK354" s="513"/>
      <c r="JPL354" s="508"/>
      <c r="JPM354" s="513"/>
      <c r="JPN354" s="508"/>
      <c r="JPO354" s="513"/>
      <c r="JPP354" s="508"/>
      <c r="JPQ354" s="513"/>
      <c r="JPR354" s="508"/>
      <c r="JPS354" s="513"/>
      <c r="JPT354" s="508"/>
      <c r="JPU354" s="513"/>
      <c r="JPV354" s="508"/>
      <c r="JPW354" s="513"/>
      <c r="JPX354" s="508"/>
      <c r="JPY354" s="513"/>
      <c r="JPZ354" s="508"/>
      <c r="JQA354" s="513"/>
      <c r="JQB354" s="508"/>
      <c r="JQC354" s="513"/>
      <c r="JQD354" s="508"/>
      <c r="JQE354" s="513"/>
      <c r="JQF354" s="508"/>
      <c r="JQG354" s="513"/>
      <c r="JQH354" s="508"/>
      <c r="JQI354" s="513"/>
      <c r="JQJ354" s="508"/>
      <c r="JQK354" s="513"/>
      <c r="JQL354" s="508"/>
      <c r="JQM354" s="513"/>
      <c r="JQN354" s="508"/>
      <c r="JQO354" s="513"/>
      <c r="JQP354" s="508"/>
      <c r="JQQ354" s="513"/>
      <c r="JQR354" s="508"/>
      <c r="JQS354" s="513"/>
      <c r="JQT354" s="508"/>
      <c r="JQU354" s="513"/>
      <c r="JQV354" s="508"/>
      <c r="JQW354" s="513"/>
      <c r="JQX354" s="508"/>
      <c r="JQY354" s="513"/>
      <c r="JQZ354" s="508"/>
      <c r="JRA354" s="513"/>
      <c r="JRB354" s="508"/>
      <c r="JRC354" s="513"/>
      <c r="JRD354" s="508"/>
      <c r="JRE354" s="513"/>
      <c r="JRF354" s="508"/>
      <c r="JRG354" s="513"/>
      <c r="JRH354" s="508"/>
      <c r="JRI354" s="513"/>
      <c r="JRJ354" s="508"/>
      <c r="JRK354" s="513"/>
      <c r="JRL354" s="508"/>
      <c r="JRM354" s="513"/>
      <c r="JRN354" s="508"/>
      <c r="JRO354" s="513"/>
      <c r="JRP354" s="508"/>
      <c r="JRQ354" s="513"/>
      <c r="JRR354" s="508"/>
      <c r="JRS354" s="513"/>
      <c r="JRT354" s="508"/>
      <c r="JRU354" s="513"/>
      <c r="JRV354" s="508"/>
      <c r="JRW354" s="513"/>
      <c r="JRX354" s="508"/>
      <c r="JRY354" s="513"/>
      <c r="JRZ354" s="508"/>
      <c r="JSA354" s="513"/>
      <c r="JSB354" s="508"/>
      <c r="JSC354" s="513"/>
      <c r="JSD354" s="508"/>
      <c r="JSE354" s="513"/>
      <c r="JSF354" s="508"/>
      <c r="JSG354" s="513"/>
      <c r="JSH354" s="508"/>
      <c r="JSI354" s="513"/>
      <c r="JSJ354" s="508"/>
      <c r="JSK354" s="513"/>
      <c r="JSL354" s="508"/>
      <c r="JSM354" s="513"/>
      <c r="JSN354" s="508"/>
      <c r="JSO354" s="513"/>
      <c r="JSP354" s="508"/>
      <c r="JSQ354" s="513"/>
      <c r="JSR354" s="508"/>
      <c r="JSS354" s="513"/>
      <c r="JST354" s="508"/>
      <c r="JSU354" s="513"/>
      <c r="JSV354" s="508"/>
      <c r="JSW354" s="513"/>
      <c r="JSX354" s="508"/>
      <c r="JSY354" s="513"/>
      <c r="JSZ354" s="508"/>
      <c r="JTA354" s="513"/>
      <c r="JTB354" s="508"/>
      <c r="JTC354" s="513"/>
      <c r="JTD354" s="508"/>
      <c r="JTE354" s="513"/>
      <c r="JTF354" s="508"/>
      <c r="JTG354" s="513"/>
      <c r="JTH354" s="508"/>
      <c r="JTI354" s="513"/>
      <c r="JTJ354" s="508"/>
      <c r="JTK354" s="513"/>
      <c r="JTL354" s="508"/>
      <c r="JTM354" s="513"/>
      <c r="JTN354" s="508"/>
      <c r="JTO354" s="513"/>
      <c r="JTP354" s="508"/>
      <c r="JTQ354" s="513"/>
      <c r="JTR354" s="508"/>
      <c r="JTS354" s="513"/>
      <c r="JTT354" s="508"/>
      <c r="JTU354" s="513"/>
      <c r="JTV354" s="508"/>
      <c r="JTW354" s="513"/>
      <c r="JTX354" s="508"/>
      <c r="JTY354" s="513"/>
      <c r="JTZ354" s="508"/>
      <c r="JUA354" s="513"/>
      <c r="JUB354" s="508"/>
      <c r="JUC354" s="513"/>
      <c r="JUD354" s="508"/>
      <c r="JUE354" s="513"/>
      <c r="JUF354" s="508"/>
      <c r="JUG354" s="513"/>
      <c r="JUH354" s="508"/>
      <c r="JUI354" s="513"/>
      <c r="JUJ354" s="508"/>
      <c r="JUK354" s="513"/>
      <c r="JUL354" s="508"/>
      <c r="JUM354" s="513"/>
      <c r="JUN354" s="508"/>
      <c r="JUO354" s="513"/>
      <c r="JUP354" s="508"/>
      <c r="JUQ354" s="513"/>
      <c r="JUR354" s="508"/>
      <c r="JUS354" s="513"/>
      <c r="JUT354" s="508"/>
      <c r="JUU354" s="513"/>
      <c r="JUV354" s="508"/>
      <c r="JUW354" s="513"/>
      <c r="JUX354" s="508"/>
      <c r="JUY354" s="513"/>
      <c r="JUZ354" s="508"/>
      <c r="JVA354" s="513"/>
      <c r="JVB354" s="508"/>
      <c r="JVC354" s="513"/>
      <c r="JVD354" s="508"/>
      <c r="JVE354" s="513"/>
      <c r="JVF354" s="508"/>
      <c r="JVG354" s="513"/>
      <c r="JVH354" s="508"/>
      <c r="JVI354" s="513"/>
      <c r="JVJ354" s="508"/>
      <c r="JVK354" s="513"/>
      <c r="JVL354" s="508"/>
      <c r="JVM354" s="513"/>
      <c r="JVN354" s="508"/>
      <c r="JVO354" s="513"/>
      <c r="JVP354" s="508"/>
      <c r="JVQ354" s="513"/>
      <c r="JVR354" s="508"/>
      <c r="JVS354" s="513"/>
      <c r="JVT354" s="508"/>
      <c r="JVU354" s="513"/>
      <c r="JVV354" s="508"/>
      <c r="JVW354" s="513"/>
      <c r="JVX354" s="508"/>
      <c r="JVY354" s="513"/>
      <c r="JVZ354" s="508"/>
      <c r="JWA354" s="513"/>
      <c r="JWB354" s="508"/>
      <c r="JWC354" s="513"/>
      <c r="JWD354" s="508"/>
      <c r="JWE354" s="513"/>
      <c r="JWF354" s="508"/>
      <c r="JWG354" s="513"/>
      <c r="JWH354" s="508"/>
      <c r="JWI354" s="513"/>
      <c r="JWJ354" s="508"/>
      <c r="JWK354" s="513"/>
      <c r="JWL354" s="508"/>
      <c r="JWM354" s="513"/>
      <c r="JWN354" s="508"/>
      <c r="JWO354" s="513"/>
      <c r="JWP354" s="508"/>
      <c r="JWQ354" s="513"/>
      <c r="JWR354" s="508"/>
      <c r="JWS354" s="513"/>
      <c r="JWT354" s="508"/>
      <c r="JWU354" s="513"/>
      <c r="JWV354" s="508"/>
      <c r="JWW354" s="513"/>
      <c r="JWX354" s="508"/>
      <c r="JWY354" s="513"/>
      <c r="JWZ354" s="508"/>
      <c r="JXA354" s="513"/>
      <c r="JXB354" s="508"/>
      <c r="JXC354" s="513"/>
      <c r="JXD354" s="508"/>
      <c r="JXE354" s="513"/>
      <c r="JXF354" s="508"/>
      <c r="JXG354" s="513"/>
      <c r="JXH354" s="508"/>
      <c r="JXI354" s="513"/>
      <c r="JXJ354" s="508"/>
      <c r="JXK354" s="513"/>
      <c r="JXL354" s="508"/>
      <c r="JXM354" s="513"/>
      <c r="JXN354" s="508"/>
      <c r="JXO354" s="513"/>
      <c r="JXP354" s="508"/>
      <c r="JXQ354" s="513"/>
      <c r="JXR354" s="508"/>
      <c r="JXS354" s="513"/>
      <c r="JXT354" s="508"/>
      <c r="JXU354" s="513"/>
      <c r="JXV354" s="508"/>
      <c r="JXW354" s="513"/>
      <c r="JXX354" s="508"/>
      <c r="JXY354" s="513"/>
      <c r="JXZ354" s="508"/>
      <c r="JYA354" s="513"/>
      <c r="JYB354" s="508"/>
      <c r="JYC354" s="513"/>
      <c r="JYD354" s="508"/>
      <c r="JYE354" s="513"/>
      <c r="JYF354" s="508"/>
      <c r="JYG354" s="513"/>
      <c r="JYH354" s="508"/>
      <c r="JYI354" s="513"/>
      <c r="JYJ354" s="508"/>
      <c r="JYK354" s="513"/>
      <c r="JYL354" s="508"/>
      <c r="JYM354" s="513"/>
      <c r="JYN354" s="508"/>
      <c r="JYO354" s="513"/>
      <c r="JYP354" s="508"/>
      <c r="JYQ354" s="513"/>
      <c r="JYR354" s="508"/>
      <c r="JYS354" s="513"/>
      <c r="JYT354" s="508"/>
      <c r="JYU354" s="513"/>
      <c r="JYV354" s="508"/>
      <c r="JYW354" s="513"/>
      <c r="JYX354" s="508"/>
      <c r="JYY354" s="513"/>
      <c r="JYZ354" s="508"/>
      <c r="JZA354" s="513"/>
      <c r="JZB354" s="508"/>
      <c r="JZC354" s="513"/>
      <c r="JZD354" s="508"/>
      <c r="JZE354" s="513"/>
      <c r="JZF354" s="508"/>
      <c r="JZG354" s="513"/>
      <c r="JZH354" s="508"/>
      <c r="JZI354" s="513"/>
      <c r="JZJ354" s="508"/>
      <c r="JZK354" s="513"/>
      <c r="JZL354" s="508"/>
      <c r="JZM354" s="513"/>
      <c r="JZN354" s="508"/>
      <c r="JZO354" s="513"/>
      <c r="JZP354" s="508"/>
      <c r="JZQ354" s="513"/>
      <c r="JZR354" s="508"/>
      <c r="JZS354" s="513"/>
      <c r="JZT354" s="508"/>
      <c r="JZU354" s="513"/>
      <c r="JZV354" s="508"/>
      <c r="JZW354" s="513"/>
      <c r="JZX354" s="508"/>
      <c r="JZY354" s="513"/>
      <c r="JZZ354" s="508"/>
      <c r="KAA354" s="513"/>
      <c r="KAB354" s="508"/>
      <c r="KAC354" s="513"/>
      <c r="KAD354" s="508"/>
      <c r="KAE354" s="513"/>
      <c r="KAF354" s="508"/>
      <c r="KAG354" s="513"/>
      <c r="KAH354" s="508"/>
      <c r="KAI354" s="513"/>
      <c r="KAJ354" s="508"/>
      <c r="KAK354" s="513"/>
      <c r="KAL354" s="508"/>
      <c r="KAM354" s="513"/>
      <c r="KAN354" s="508"/>
      <c r="KAO354" s="513"/>
      <c r="KAP354" s="508"/>
      <c r="KAQ354" s="513"/>
      <c r="KAR354" s="508"/>
      <c r="KAS354" s="513"/>
      <c r="KAT354" s="508"/>
      <c r="KAU354" s="513"/>
      <c r="KAV354" s="508"/>
      <c r="KAW354" s="513"/>
      <c r="KAX354" s="508"/>
      <c r="KAY354" s="513"/>
      <c r="KAZ354" s="508"/>
      <c r="KBA354" s="513"/>
      <c r="KBB354" s="508"/>
      <c r="KBC354" s="513"/>
      <c r="KBD354" s="508"/>
      <c r="KBE354" s="513"/>
      <c r="KBF354" s="508"/>
      <c r="KBG354" s="513"/>
      <c r="KBH354" s="508"/>
      <c r="KBI354" s="513"/>
      <c r="KBJ354" s="508"/>
      <c r="KBK354" s="513"/>
      <c r="KBL354" s="508"/>
      <c r="KBM354" s="513"/>
      <c r="KBN354" s="508"/>
      <c r="KBO354" s="513"/>
      <c r="KBP354" s="508"/>
      <c r="KBQ354" s="513"/>
      <c r="KBR354" s="508"/>
      <c r="KBS354" s="513"/>
      <c r="KBT354" s="508"/>
      <c r="KBU354" s="513"/>
      <c r="KBV354" s="508"/>
      <c r="KBW354" s="513"/>
      <c r="KBX354" s="508"/>
      <c r="KBY354" s="513"/>
      <c r="KBZ354" s="508"/>
      <c r="KCA354" s="513"/>
      <c r="KCB354" s="508"/>
      <c r="KCC354" s="513"/>
      <c r="KCD354" s="508"/>
      <c r="KCE354" s="513"/>
      <c r="KCF354" s="508"/>
      <c r="KCG354" s="513"/>
      <c r="KCH354" s="508"/>
      <c r="KCI354" s="513"/>
      <c r="KCJ354" s="508"/>
      <c r="KCK354" s="513"/>
      <c r="KCL354" s="508"/>
      <c r="KCM354" s="513"/>
      <c r="KCN354" s="508"/>
      <c r="KCO354" s="513"/>
      <c r="KCP354" s="508"/>
      <c r="KCQ354" s="513"/>
      <c r="KCR354" s="508"/>
      <c r="KCS354" s="513"/>
      <c r="KCT354" s="508"/>
      <c r="KCU354" s="513"/>
      <c r="KCV354" s="508"/>
      <c r="KCW354" s="513"/>
      <c r="KCX354" s="508"/>
      <c r="KCY354" s="513"/>
      <c r="KCZ354" s="508"/>
      <c r="KDA354" s="513"/>
      <c r="KDB354" s="508"/>
      <c r="KDC354" s="513"/>
      <c r="KDD354" s="508"/>
      <c r="KDE354" s="513"/>
      <c r="KDF354" s="508"/>
      <c r="KDG354" s="513"/>
      <c r="KDH354" s="508"/>
      <c r="KDI354" s="513"/>
      <c r="KDJ354" s="508"/>
      <c r="KDK354" s="513"/>
      <c r="KDL354" s="508"/>
      <c r="KDM354" s="513"/>
      <c r="KDN354" s="508"/>
      <c r="KDO354" s="513"/>
      <c r="KDP354" s="508"/>
      <c r="KDQ354" s="513"/>
      <c r="KDR354" s="508"/>
      <c r="KDS354" s="513"/>
      <c r="KDT354" s="508"/>
      <c r="KDU354" s="513"/>
      <c r="KDV354" s="508"/>
      <c r="KDW354" s="513"/>
      <c r="KDX354" s="508"/>
      <c r="KDY354" s="513"/>
      <c r="KDZ354" s="508"/>
      <c r="KEA354" s="513"/>
      <c r="KEB354" s="508"/>
      <c r="KEC354" s="513"/>
      <c r="KED354" s="508"/>
      <c r="KEE354" s="513"/>
      <c r="KEF354" s="508"/>
      <c r="KEG354" s="513"/>
      <c r="KEH354" s="508"/>
      <c r="KEI354" s="513"/>
      <c r="KEJ354" s="508"/>
      <c r="KEK354" s="513"/>
      <c r="KEL354" s="508"/>
      <c r="KEM354" s="513"/>
      <c r="KEN354" s="508"/>
      <c r="KEO354" s="513"/>
      <c r="KEP354" s="508"/>
      <c r="KEQ354" s="513"/>
      <c r="KER354" s="508"/>
      <c r="KES354" s="513"/>
      <c r="KET354" s="508"/>
      <c r="KEU354" s="513"/>
      <c r="KEV354" s="508"/>
      <c r="KEW354" s="513"/>
      <c r="KEX354" s="508"/>
      <c r="KEY354" s="513"/>
      <c r="KEZ354" s="508"/>
      <c r="KFA354" s="513"/>
      <c r="KFB354" s="508"/>
      <c r="KFC354" s="513"/>
      <c r="KFD354" s="508"/>
      <c r="KFE354" s="513"/>
      <c r="KFF354" s="508"/>
      <c r="KFG354" s="513"/>
      <c r="KFH354" s="508"/>
      <c r="KFI354" s="513"/>
      <c r="KFJ354" s="508"/>
      <c r="KFK354" s="513"/>
      <c r="KFL354" s="508"/>
      <c r="KFM354" s="513"/>
      <c r="KFN354" s="508"/>
      <c r="KFO354" s="513"/>
      <c r="KFP354" s="508"/>
      <c r="KFQ354" s="513"/>
      <c r="KFR354" s="508"/>
      <c r="KFS354" s="513"/>
      <c r="KFT354" s="508"/>
      <c r="KFU354" s="513"/>
      <c r="KFV354" s="508"/>
      <c r="KFW354" s="513"/>
      <c r="KFX354" s="508"/>
      <c r="KFY354" s="513"/>
      <c r="KFZ354" s="508"/>
      <c r="KGA354" s="513"/>
      <c r="KGB354" s="508"/>
      <c r="KGC354" s="513"/>
      <c r="KGD354" s="508"/>
      <c r="KGE354" s="513"/>
      <c r="KGF354" s="508"/>
      <c r="KGG354" s="513"/>
      <c r="KGH354" s="508"/>
      <c r="KGI354" s="513"/>
      <c r="KGJ354" s="508"/>
      <c r="KGK354" s="513"/>
      <c r="KGL354" s="508"/>
      <c r="KGM354" s="513"/>
      <c r="KGN354" s="508"/>
      <c r="KGO354" s="513"/>
      <c r="KGP354" s="508"/>
      <c r="KGQ354" s="513"/>
      <c r="KGR354" s="508"/>
      <c r="KGS354" s="513"/>
      <c r="KGT354" s="508"/>
      <c r="KGU354" s="513"/>
      <c r="KGV354" s="508"/>
      <c r="KGW354" s="513"/>
      <c r="KGX354" s="508"/>
      <c r="KGY354" s="513"/>
      <c r="KGZ354" s="508"/>
      <c r="KHA354" s="513"/>
      <c r="KHB354" s="508"/>
      <c r="KHC354" s="513"/>
      <c r="KHD354" s="508"/>
      <c r="KHE354" s="513"/>
      <c r="KHF354" s="508"/>
      <c r="KHG354" s="513"/>
      <c r="KHH354" s="508"/>
      <c r="KHI354" s="513"/>
      <c r="KHJ354" s="508"/>
      <c r="KHK354" s="513"/>
      <c r="KHL354" s="508"/>
      <c r="KHM354" s="513"/>
      <c r="KHN354" s="508"/>
      <c r="KHO354" s="513"/>
      <c r="KHP354" s="508"/>
      <c r="KHQ354" s="513"/>
      <c r="KHR354" s="508"/>
      <c r="KHS354" s="513"/>
      <c r="KHT354" s="508"/>
      <c r="KHU354" s="513"/>
      <c r="KHV354" s="508"/>
      <c r="KHW354" s="513"/>
      <c r="KHX354" s="508"/>
      <c r="KHY354" s="513"/>
      <c r="KHZ354" s="508"/>
      <c r="KIA354" s="513"/>
      <c r="KIB354" s="508"/>
      <c r="KIC354" s="513"/>
      <c r="KID354" s="508"/>
      <c r="KIE354" s="513"/>
      <c r="KIF354" s="508"/>
      <c r="KIG354" s="513"/>
      <c r="KIH354" s="508"/>
      <c r="KII354" s="513"/>
      <c r="KIJ354" s="508"/>
      <c r="KIK354" s="513"/>
      <c r="KIL354" s="508"/>
      <c r="KIM354" s="513"/>
      <c r="KIN354" s="508"/>
      <c r="KIO354" s="513"/>
      <c r="KIP354" s="508"/>
      <c r="KIQ354" s="513"/>
      <c r="KIR354" s="508"/>
      <c r="KIS354" s="513"/>
      <c r="KIT354" s="508"/>
      <c r="KIU354" s="513"/>
      <c r="KIV354" s="508"/>
      <c r="KIW354" s="513"/>
      <c r="KIX354" s="508"/>
      <c r="KIY354" s="513"/>
      <c r="KIZ354" s="508"/>
      <c r="KJA354" s="513"/>
      <c r="KJB354" s="508"/>
      <c r="KJC354" s="513"/>
      <c r="KJD354" s="508"/>
      <c r="KJE354" s="513"/>
      <c r="KJF354" s="508"/>
      <c r="KJG354" s="513"/>
      <c r="KJH354" s="508"/>
      <c r="KJI354" s="513"/>
      <c r="KJJ354" s="508"/>
      <c r="KJK354" s="513"/>
      <c r="KJL354" s="508"/>
      <c r="KJM354" s="513"/>
      <c r="KJN354" s="508"/>
      <c r="KJO354" s="513"/>
      <c r="KJP354" s="508"/>
      <c r="KJQ354" s="513"/>
      <c r="KJR354" s="508"/>
      <c r="KJS354" s="513"/>
      <c r="KJT354" s="508"/>
      <c r="KJU354" s="513"/>
      <c r="KJV354" s="508"/>
      <c r="KJW354" s="513"/>
      <c r="KJX354" s="508"/>
      <c r="KJY354" s="513"/>
      <c r="KJZ354" s="508"/>
      <c r="KKA354" s="513"/>
      <c r="KKB354" s="508"/>
      <c r="KKC354" s="513"/>
      <c r="KKD354" s="508"/>
      <c r="KKE354" s="513"/>
      <c r="KKF354" s="508"/>
      <c r="KKG354" s="513"/>
      <c r="KKH354" s="508"/>
      <c r="KKI354" s="513"/>
      <c r="KKJ354" s="508"/>
      <c r="KKK354" s="513"/>
      <c r="KKL354" s="508"/>
      <c r="KKM354" s="513"/>
      <c r="KKN354" s="508"/>
      <c r="KKO354" s="513"/>
      <c r="KKP354" s="508"/>
      <c r="KKQ354" s="513"/>
      <c r="KKR354" s="508"/>
      <c r="KKS354" s="513"/>
      <c r="KKT354" s="508"/>
      <c r="KKU354" s="513"/>
      <c r="KKV354" s="508"/>
      <c r="KKW354" s="513"/>
      <c r="KKX354" s="508"/>
      <c r="KKY354" s="513"/>
      <c r="KKZ354" s="508"/>
      <c r="KLA354" s="513"/>
      <c r="KLB354" s="508"/>
      <c r="KLC354" s="513"/>
      <c r="KLD354" s="508"/>
      <c r="KLE354" s="513"/>
      <c r="KLF354" s="508"/>
      <c r="KLG354" s="513"/>
      <c r="KLH354" s="508"/>
      <c r="KLI354" s="513"/>
      <c r="KLJ354" s="508"/>
      <c r="KLK354" s="513"/>
      <c r="KLL354" s="508"/>
      <c r="KLM354" s="513"/>
      <c r="KLN354" s="508"/>
      <c r="KLO354" s="513"/>
      <c r="KLP354" s="508"/>
      <c r="KLQ354" s="513"/>
      <c r="KLR354" s="508"/>
      <c r="KLS354" s="513"/>
      <c r="KLT354" s="508"/>
      <c r="KLU354" s="513"/>
      <c r="KLV354" s="508"/>
      <c r="KLW354" s="513"/>
      <c r="KLX354" s="508"/>
      <c r="KLY354" s="513"/>
      <c r="KLZ354" s="508"/>
      <c r="KMA354" s="513"/>
      <c r="KMB354" s="508"/>
      <c r="KMC354" s="513"/>
      <c r="KMD354" s="508"/>
      <c r="KME354" s="513"/>
      <c r="KMF354" s="508"/>
      <c r="KMG354" s="513"/>
      <c r="KMH354" s="508"/>
      <c r="KMI354" s="513"/>
      <c r="KMJ354" s="508"/>
      <c r="KMK354" s="513"/>
      <c r="KML354" s="508"/>
      <c r="KMM354" s="513"/>
      <c r="KMN354" s="508"/>
      <c r="KMO354" s="513"/>
      <c r="KMP354" s="508"/>
      <c r="KMQ354" s="513"/>
      <c r="KMR354" s="508"/>
      <c r="KMS354" s="513"/>
      <c r="KMT354" s="508"/>
      <c r="KMU354" s="513"/>
      <c r="KMV354" s="508"/>
      <c r="KMW354" s="513"/>
      <c r="KMX354" s="508"/>
      <c r="KMY354" s="513"/>
      <c r="KMZ354" s="508"/>
      <c r="KNA354" s="513"/>
      <c r="KNB354" s="508"/>
      <c r="KNC354" s="513"/>
      <c r="KND354" s="508"/>
      <c r="KNE354" s="513"/>
      <c r="KNF354" s="508"/>
      <c r="KNG354" s="513"/>
      <c r="KNH354" s="508"/>
      <c r="KNI354" s="513"/>
      <c r="KNJ354" s="508"/>
      <c r="KNK354" s="513"/>
      <c r="KNL354" s="508"/>
      <c r="KNM354" s="513"/>
      <c r="KNN354" s="508"/>
      <c r="KNO354" s="513"/>
      <c r="KNP354" s="508"/>
      <c r="KNQ354" s="513"/>
      <c r="KNR354" s="508"/>
      <c r="KNS354" s="513"/>
      <c r="KNT354" s="508"/>
      <c r="KNU354" s="513"/>
      <c r="KNV354" s="508"/>
      <c r="KNW354" s="513"/>
      <c r="KNX354" s="508"/>
      <c r="KNY354" s="513"/>
      <c r="KNZ354" s="508"/>
      <c r="KOA354" s="513"/>
      <c r="KOB354" s="508"/>
      <c r="KOC354" s="513"/>
      <c r="KOD354" s="508"/>
      <c r="KOE354" s="513"/>
      <c r="KOF354" s="508"/>
      <c r="KOG354" s="513"/>
      <c r="KOH354" s="508"/>
      <c r="KOI354" s="513"/>
      <c r="KOJ354" s="508"/>
      <c r="KOK354" s="513"/>
      <c r="KOL354" s="508"/>
      <c r="KOM354" s="513"/>
      <c r="KON354" s="508"/>
      <c r="KOO354" s="513"/>
      <c r="KOP354" s="508"/>
      <c r="KOQ354" s="513"/>
      <c r="KOR354" s="508"/>
      <c r="KOS354" s="513"/>
      <c r="KOT354" s="508"/>
      <c r="KOU354" s="513"/>
      <c r="KOV354" s="508"/>
      <c r="KOW354" s="513"/>
      <c r="KOX354" s="508"/>
      <c r="KOY354" s="513"/>
      <c r="KOZ354" s="508"/>
      <c r="KPA354" s="513"/>
      <c r="KPB354" s="508"/>
      <c r="KPC354" s="513"/>
      <c r="KPD354" s="508"/>
      <c r="KPE354" s="513"/>
      <c r="KPF354" s="508"/>
      <c r="KPG354" s="513"/>
      <c r="KPH354" s="508"/>
      <c r="KPI354" s="513"/>
      <c r="KPJ354" s="508"/>
      <c r="KPK354" s="513"/>
      <c r="KPL354" s="508"/>
      <c r="KPM354" s="513"/>
      <c r="KPN354" s="508"/>
      <c r="KPO354" s="513"/>
      <c r="KPP354" s="508"/>
      <c r="KPQ354" s="513"/>
      <c r="KPR354" s="508"/>
      <c r="KPS354" s="513"/>
      <c r="KPT354" s="508"/>
      <c r="KPU354" s="513"/>
      <c r="KPV354" s="508"/>
      <c r="KPW354" s="513"/>
      <c r="KPX354" s="508"/>
      <c r="KPY354" s="513"/>
      <c r="KPZ354" s="508"/>
      <c r="KQA354" s="513"/>
      <c r="KQB354" s="508"/>
      <c r="KQC354" s="513"/>
      <c r="KQD354" s="508"/>
      <c r="KQE354" s="513"/>
      <c r="KQF354" s="508"/>
      <c r="KQG354" s="513"/>
      <c r="KQH354" s="508"/>
      <c r="KQI354" s="513"/>
      <c r="KQJ354" s="508"/>
      <c r="KQK354" s="513"/>
      <c r="KQL354" s="508"/>
      <c r="KQM354" s="513"/>
      <c r="KQN354" s="508"/>
      <c r="KQO354" s="513"/>
      <c r="KQP354" s="508"/>
      <c r="KQQ354" s="513"/>
      <c r="KQR354" s="508"/>
      <c r="KQS354" s="513"/>
      <c r="KQT354" s="508"/>
      <c r="KQU354" s="513"/>
      <c r="KQV354" s="508"/>
      <c r="KQW354" s="513"/>
      <c r="KQX354" s="508"/>
      <c r="KQY354" s="513"/>
      <c r="KQZ354" s="508"/>
      <c r="KRA354" s="513"/>
      <c r="KRB354" s="508"/>
      <c r="KRC354" s="513"/>
      <c r="KRD354" s="508"/>
      <c r="KRE354" s="513"/>
      <c r="KRF354" s="508"/>
      <c r="KRG354" s="513"/>
      <c r="KRH354" s="508"/>
      <c r="KRI354" s="513"/>
      <c r="KRJ354" s="508"/>
      <c r="KRK354" s="513"/>
      <c r="KRL354" s="508"/>
      <c r="KRM354" s="513"/>
      <c r="KRN354" s="508"/>
      <c r="KRO354" s="513"/>
      <c r="KRP354" s="508"/>
      <c r="KRQ354" s="513"/>
      <c r="KRR354" s="508"/>
      <c r="KRS354" s="513"/>
      <c r="KRT354" s="508"/>
      <c r="KRU354" s="513"/>
      <c r="KRV354" s="508"/>
      <c r="KRW354" s="513"/>
      <c r="KRX354" s="508"/>
      <c r="KRY354" s="513"/>
      <c r="KRZ354" s="508"/>
      <c r="KSA354" s="513"/>
      <c r="KSB354" s="508"/>
      <c r="KSC354" s="513"/>
      <c r="KSD354" s="508"/>
      <c r="KSE354" s="513"/>
      <c r="KSF354" s="508"/>
      <c r="KSG354" s="513"/>
      <c r="KSH354" s="508"/>
      <c r="KSI354" s="513"/>
      <c r="KSJ354" s="508"/>
      <c r="KSK354" s="513"/>
      <c r="KSL354" s="508"/>
      <c r="KSM354" s="513"/>
      <c r="KSN354" s="508"/>
      <c r="KSO354" s="513"/>
      <c r="KSP354" s="508"/>
      <c r="KSQ354" s="513"/>
      <c r="KSR354" s="508"/>
      <c r="KSS354" s="513"/>
      <c r="KST354" s="508"/>
      <c r="KSU354" s="513"/>
      <c r="KSV354" s="508"/>
      <c r="KSW354" s="513"/>
      <c r="KSX354" s="508"/>
      <c r="KSY354" s="513"/>
      <c r="KSZ354" s="508"/>
      <c r="KTA354" s="513"/>
      <c r="KTB354" s="508"/>
      <c r="KTC354" s="513"/>
      <c r="KTD354" s="508"/>
      <c r="KTE354" s="513"/>
      <c r="KTF354" s="508"/>
      <c r="KTG354" s="513"/>
      <c r="KTH354" s="508"/>
      <c r="KTI354" s="513"/>
      <c r="KTJ354" s="508"/>
      <c r="KTK354" s="513"/>
      <c r="KTL354" s="508"/>
      <c r="KTM354" s="513"/>
      <c r="KTN354" s="508"/>
      <c r="KTO354" s="513"/>
      <c r="KTP354" s="508"/>
      <c r="KTQ354" s="513"/>
      <c r="KTR354" s="508"/>
      <c r="KTS354" s="513"/>
      <c r="KTT354" s="508"/>
      <c r="KTU354" s="513"/>
      <c r="KTV354" s="508"/>
      <c r="KTW354" s="513"/>
      <c r="KTX354" s="508"/>
      <c r="KTY354" s="513"/>
      <c r="KTZ354" s="508"/>
      <c r="KUA354" s="513"/>
      <c r="KUB354" s="508"/>
      <c r="KUC354" s="513"/>
      <c r="KUD354" s="508"/>
      <c r="KUE354" s="513"/>
      <c r="KUF354" s="508"/>
      <c r="KUG354" s="513"/>
      <c r="KUH354" s="508"/>
      <c r="KUI354" s="513"/>
      <c r="KUJ354" s="508"/>
      <c r="KUK354" s="513"/>
      <c r="KUL354" s="508"/>
      <c r="KUM354" s="513"/>
      <c r="KUN354" s="508"/>
      <c r="KUO354" s="513"/>
      <c r="KUP354" s="508"/>
      <c r="KUQ354" s="513"/>
      <c r="KUR354" s="508"/>
      <c r="KUS354" s="513"/>
      <c r="KUT354" s="508"/>
      <c r="KUU354" s="513"/>
      <c r="KUV354" s="508"/>
      <c r="KUW354" s="513"/>
      <c r="KUX354" s="508"/>
      <c r="KUY354" s="513"/>
      <c r="KUZ354" s="508"/>
      <c r="KVA354" s="513"/>
      <c r="KVB354" s="508"/>
      <c r="KVC354" s="513"/>
      <c r="KVD354" s="508"/>
      <c r="KVE354" s="513"/>
      <c r="KVF354" s="508"/>
      <c r="KVG354" s="513"/>
      <c r="KVH354" s="508"/>
      <c r="KVI354" s="513"/>
      <c r="KVJ354" s="508"/>
      <c r="KVK354" s="513"/>
      <c r="KVL354" s="508"/>
      <c r="KVM354" s="513"/>
      <c r="KVN354" s="508"/>
      <c r="KVO354" s="513"/>
      <c r="KVP354" s="508"/>
      <c r="KVQ354" s="513"/>
      <c r="KVR354" s="508"/>
      <c r="KVS354" s="513"/>
      <c r="KVT354" s="508"/>
      <c r="KVU354" s="513"/>
      <c r="KVV354" s="508"/>
      <c r="KVW354" s="513"/>
      <c r="KVX354" s="508"/>
      <c r="KVY354" s="513"/>
      <c r="KVZ354" s="508"/>
      <c r="KWA354" s="513"/>
      <c r="KWB354" s="508"/>
      <c r="KWC354" s="513"/>
      <c r="KWD354" s="508"/>
      <c r="KWE354" s="513"/>
      <c r="KWF354" s="508"/>
      <c r="KWG354" s="513"/>
      <c r="KWH354" s="508"/>
      <c r="KWI354" s="513"/>
      <c r="KWJ354" s="508"/>
      <c r="KWK354" s="513"/>
      <c r="KWL354" s="508"/>
      <c r="KWM354" s="513"/>
      <c r="KWN354" s="508"/>
      <c r="KWO354" s="513"/>
      <c r="KWP354" s="508"/>
      <c r="KWQ354" s="513"/>
      <c r="KWR354" s="508"/>
      <c r="KWS354" s="513"/>
      <c r="KWT354" s="508"/>
      <c r="KWU354" s="513"/>
      <c r="KWV354" s="508"/>
      <c r="KWW354" s="513"/>
      <c r="KWX354" s="508"/>
      <c r="KWY354" s="513"/>
      <c r="KWZ354" s="508"/>
      <c r="KXA354" s="513"/>
      <c r="KXB354" s="508"/>
      <c r="KXC354" s="513"/>
      <c r="KXD354" s="508"/>
      <c r="KXE354" s="513"/>
      <c r="KXF354" s="508"/>
      <c r="KXG354" s="513"/>
      <c r="KXH354" s="508"/>
      <c r="KXI354" s="513"/>
      <c r="KXJ354" s="508"/>
      <c r="KXK354" s="513"/>
      <c r="KXL354" s="508"/>
      <c r="KXM354" s="513"/>
      <c r="KXN354" s="508"/>
      <c r="KXO354" s="513"/>
      <c r="KXP354" s="508"/>
      <c r="KXQ354" s="513"/>
      <c r="KXR354" s="508"/>
      <c r="KXS354" s="513"/>
      <c r="KXT354" s="508"/>
      <c r="KXU354" s="513"/>
      <c r="KXV354" s="508"/>
      <c r="KXW354" s="513"/>
      <c r="KXX354" s="508"/>
      <c r="KXY354" s="513"/>
      <c r="KXZ354" s="508"/>
      <c r="KYA354" s="513"/>
      <c r="KYB354" s="508"/>
      <c r="KYC354" s="513"/>
      <c r="KYD354" s="508"/>
      <c r="KYE354" s="513"/>
      <c r="KYF354" s="508"/>
      <c r="KYG354" s="513"/>
      <c r="KYH354" s="508"/>
      <c r="KYI354" s="513"/>
      <c r="KYJ354" s="508"/>
      <c r="KYK354" s="513"/>
      <c r="KYL354" s="508"/>
      <c r="KYM354" s="513"/>
      <c r="KYN354" s="508"/>
      <c r="KYO354" s="513"/>
      <c r="KYP354" s="508"/>
      <c r="KYQ354" s="513"/>
      <c r="KYR354" s="508"/>
      <c r="KYS354" s="513"/>
      <c r="KYT354" s="508"/>
      <c r="KYU354" s="513"/>
      <c r="KYV354" s="508"/>
      <c r="KYW354" s="513"/>
      <c r="KYX354" s="508"/>
      <c r="KYY354" s="513"/>
      <c r="KYZ354" s="508"/>
      <c r="KZA354" s="513"/>
      <c r="KZB354" s="508"/>
      <c r="KZC354" s="513"/>
      <c r="KZD354" s="508"/>
      <c r="KZE354" s="513"/>
      <c r="KZF354" s="508"/>
      <c r="KZG354" s="513"/>
      <c r="KZH354" s="508"/>
      <c r="KZI354" s="513"/>
      <c r="KZJ354" s="508"/>
      <c r="KZK354" s="513"/>
      <c r="KZL354" s="508"/>
      <c r="KZM354" s="513"/>
      <c r="KZN354" s="508"/>
      <c r="KZO354" s="513"/>
      <c r="KZP354" s="508"/>
      <c r="KZQ354" s="513"/>
      <c r="KZR354" s="508"/>
      <c r="KZS354" s="513"/>
      <c r="KZT354" s="508"/>
      <c r="KZU354" s="513"/>
      <c r="KZV354" s="508"/>
      <c r="KZW354" s="513"/>
      <c r="KZX354" s="508"/>
      <c r="KZY354" s="513"/>
      <c r="KZZ354" s="508"/>
      <c r="LAA354" s="513"/>
      <c r="LAB354" s="508"/>
      <c r="LAC354" s="513"/>
      <c r="LAD354" s="508"/>
      <c r="LAE354" s="513"/>
      <c r="LAF354" s="508"/>
      <c r="LAG354" s="513"/>
      <c r="LAH354" s="508"/>
      <c r="LAI354" s="513"/>
      <c r="LAJ354" s="508"/>
      <c r="LAK354" s="513"/>
      <c r="LAL354" s="508"/>
      <c r="LAM354" s="513"/>
      <c r="LAN354" s="508"/>
      <c r="LAO354" s="513"/>
      <c r="LAP354" s="508"/>
      <c r="LAQ354" s="513"/>
      <c r="LAR354" s="508"/>
      <c r="LAS354" s="513"/>
      <c r="LAT354" s="508"/>
      <c r="LAU354" s="513"/>
      <c r="LAV354" s="508"/>
      <c r="LAW354" s="513"/>
      <c r="LAX354" s="508"/>
      <c r="LAY354" s="513"/>
      <c r="LAZ354" s="508"/>
      <c r="LBA354" s="513"/>
      <c r="LBB354" s="508"/>
      <c r="LBC354" s="513"/>
      <c r="LBD354" s="508"/>
      <c r="LBE354" s="513"/>
      <c r="LBF354" s="508"/>
      <c r="LBG354" s="513"/>
      <c r="LBH354" s="508"/>
      <c r="LBI354" s="513"/>
      <c r="LBJ354" s="508"/>
      <c r="LBK354" s="513"/>
      <c r="LBL354" s="508"/>
      <c r="LBM354" s="513"/>
      <c r="LBN354" s="508"/>
      <c r="LBO354" s="513"/>
      <c r="LBP354" s="508"/>
      <c r="LBQ354" s="513"/>
      <c r="LBR354" s="508"/>
      <c r="LBS354" s="513"/>
      <c r="LBT354" s="508"/>
      <c r="LBU354" s="513"/>
      <c r="LBV354" s="508"/>
      <c r="LBW354" s="513"/>
      <c r="LBX354" s="508"/>
      <c r="LBY354" s="513"/>
      <c r="LBZ354" s="508"/>
      <c r="LCA354" s="513"/>
      <c r="LCB354" s="508"/>
      <c r="LCC354" s="513"/>
      <c r="LCD354" s="508"/>
      <c r="LCE354" s="513"/>
      <c r="LCF354" s="508"/>
      <c r="LCG354" s="513"/>
      <c r="LCH354" s="508"/>
      <c r="LCI354" s="513"/>
      <c r="LCJ354" s="508"/>
      <c r="LCK354" s="513"/>
      <c r="LCL354" s="508"/>
      <c r="LCM354" s="513"/>
      <c r="LCN354" s="508"/>
      <c r="LCO354" s="513"/>
      <c r="LCP354" s="508"/>
      <c r="LCQ354" s="513"/>
      <c r="LCR354" s="508"/>
      <c r="LCS354" s="513"/>
      <c r="LCT354" s="508"/>
      <c r="LCU354" s="513"/>
      <c r="LCV354" s="508"/>
      <c r="LCW354" s="513"/>
      <c r="LCX354" s="508"/>
      <c r="LCY354" s="513"/>
      <c r="LCZ354" s="508"/>
      <c r="LDA354" s="513"/>
      <c r="LDB354" s="508"/>
      <c r="LDC354" s="513"/>
      <c r="LDD354" s="508"/>
      <c r="LDE354" s="513"/>
      <c r="LDF354" s="508"/>
      <c r="LDG354" s="513"/>
      <c r="LDH354" s="508"/>
      <c r="LDI354" s="513"/>
      <c r="LDJ354" s="508"/>
      <c r="LDK354" s="513"/>
      <c r="LDL354" s="508"/>
      <c r="LDM354" s="513"/>
      <c r="LDN354" s="508"/>
      <c r="LDO354" s="513"/>
      <c r="LDP354" s="508"/>
      <c r="LDQ354" s="513"/>
      <c r="LDR354" s="508"/>
      <c r="LDS354" s="513"/>
      <c r="LDT354" s="508"/>
      <c r="LDU354" s="513"/>
      <c r="LDV354" s="508"/>
      <c r="LDW354" s="513"/>
      <c r="LDX354" s="508"/>
      <c r="LDY354" s="513"/>
      <c r="LDZ354" s="508"/>
      <c r="LEA354" s="513"/>
      <c r="LEB354" s="508"/>
      <c r="LEC354" s="513"/>
      <c r="LED354" s="508"/>
      <c r="LEE354" s="513"/>
      <c r="LEF354" s="508"/>
      <c r="LEG354" s="513"/>
      <c r="LEH354" s="508"/>
      <c r="LEI354" s="513"/>
      <c r="LEJ354" s="508"/>
      <c r="LEK354" s="513"/>
      <c r="LEL354" s="508"/>
      <c r="LEM354" s="513"/>
      <c r="LEN354" s="508"/>
      <c r="LEO354" s="513"/>
      <c r="LEP354" s="508"/>
      <c r="LEQ354" s="513"/>
      <c r="LER354" s="508"/>
      <c r="LES354" s="513"/>
      <c r="LET354" s="508"/>
      <c r="LEU354" s="513"/>
      <c r="LEV354" s="508"/>
      <c r="LEW354" s="513"/>
      <c r="LEX354" s="508"/>
      <c r="LEY354" s="513"/>
      <c r="LEZ354" s="508"/>
      <c r="LFA354" s="513"/>
      <c r="LFB354" s="508"/>
      <c r="LFC354" s="513"/>
      <c r="LFD354" s="508"/>
      <c r="LFE354" s="513"/>
      <c r="LFF354" s="508"/>
      <c r="LFG354" s="513"/>
      <c r="LFH354" s="508"/>
      <c r="LFI354" s="513"/>
      <c r="LFJ354" s="508"/>
      <c r="LFK354" s="513"/>
      <c r="LFL354" s="508"/>
      <c r="LFM354" s="513"/>
      <c r="LFN354" s="508"/>
      <c r="LFO354" s="513"/>
      <c r="LFP354" s="508"/>
      <c r="LFQ354" s="513"/>
      <c r="LFR354" s="508"/>
      <c r="LFS354" s="513"/>
      <c r="LFT354" s="508"/>
      <c r="LFU354" s="513"/>
      <c r="LFV354" s="508"/>
      <c r="LFW354" s="513"/>
      <c r="LFX354" s="508"/>
      <c r="LFY354" s="513"/>
      <c r="LFZ354" s="508"/>
      <c r="LGA354" s="513"/>
      <c r="LGB354" s="508"/>
      <c r="LGC354" s="513"/>
      <c r="LGD354" s="508"/>
      <c r="LGE354" s="513"/>
      <c r="LGF354" s="508"/>
      <c r="LGG354" s="513"/>
      <c r="LGH354" s="508"/>
      <c r="LGI354" s="513"/>
      <c r="LGJ354" s="508"/>
      <c r="LGK354" s="513"/>
      <c r="LGL354" s="508"/>
      <c r="LGM354" s="513"/>
      <c r="LGN354" s="508"/>
      <c r="LGO354" s="513"/>
      <c r="LGP354" s="508"/>
      <c r="LGQ354" s="513"/>
      <c r="LGR354" s="508"/>
      <c r="LGS354" s="513"/>
      <c r="LGT354" s="508"/>
      <c r="LGU354" s="513"/>
      <c r="LGV354" s="508"/>
      <c r="LGW354" s="513"/>
      <c r="LGX354" s="508"/>
      <c r="LGY354" s="513"/>
      <c r="LGZ354" s="508"/>
      <c r="LHA354" s="513"/>
      <c r="LHB354" s="508"/>
      <c r="LHC354" s="513"/>
      <c r="LHD354" s="508"/>
      <c r="LHE354" s="513"/>
      <c r="LHF354" s="508"/>
      <c r="LHG354" s="513"/>
      <c r="LHH354" s="508"/>
      <c r="LHI354" s="513"/>
      <c r="LHJ354" s="508"/>
      <c r="LHK354" s="513"/>
      <c r="LHL354" s="508"/>
      <c r="LHM354" s="513"/>
      <c r="LHN354" s="508"/>
      <c r="LHO354" s="513"/>
      <c r="LHP354" s="508"/>
      <c r="LHQ354" s="513"/>
      <c r="LHR354" s="508"/>
      <c r="LHS354" s="513"/>
      <c r="LHT354" s="508"/>
      <c r="LHU354" s="513"/>
      <c r="LHV354" s="508"/>
      <c r="LHW354" s="513"/>
      <c r="LHX354" s="508"/>
      <c r="LHY354" s="513"/>
      <c r="LHZ354" s="508"/>
      <c r="LIA354" s="513"/>
      <c r="LIB354" s="508"/>
      <c r="LIC354" s="513"/>
      <c r="LID354" s="508"/>
      <c r="LIE354" s="513"/>
      <c r="LIF354" s="508"/>
      <c r="LIG354" s="513"/>
      <c r="LIH354" s="508"/>
      <c r="LII354" s="513"/>
      <c r="LIJ354" s="508"/>
      <c r="LIK354" s="513"/>
      <c r="LIL354" s="508"/>
      <c r="LIM354" s="513"/>
      <c r="LIN354" s="508"/>
      <c r="LIO354" s="513"/>
      <c r="LIP354" s="508"/>
      <c r="LIQ354" s="513"/>
      <c r="LIR354" s="508"/>
      <c r="LIS354" s="513"/>
      <c r="LIT354" s="508"/>
      <c r="LIU354" s="513"/>
      <c r="LIV354" s="508"/>
      <c r="LIW354" s="513"/>
      <c r="LIX354" s="508"/>
      <c r="LIY354" s="513"/>
      <c r="LIZ354" s="508"/>
      <c r="LJA354" s="513"/>
      <c r="LJB354" s="508"/>
      <c r="LJC354" s="513"/>
      <c r="LJD354" s="508"/>
      <c r="LJE354" s="513"/>
      <c r="LJF354" s="508"/>
      <c r="LJG354" s="513"/>
      <c r="LJH354" s="508"/>
      <c r="LJI354" s="513"/>
      <c r="LJJ354" s="508"/>
      <c r="LJK354" s="513"/>
      <c r="LJL354" s="508"/>
      <c r="LJM354" s="513"/>
      <c r="LJN354" s="508"/>
      <c r="LJO354" s="513"/>
      <c r="LJP354" s="508"/>
      <c r="LJQ354" s="513"/>
      <c r="LJR354" s="508"/>
      <c r="LJS354" s="513"/>
      <c r="LJT354" s="508"/>
      <c r="LJU354" s="513"/>
      <c r="LJV354" s="508"/>
      <c r="LJW354" s="513"/>
      <c r="LJX354" s="508"/>
      <c r="LJY354" s="513"/>
      <c r="LJZ354" s="508"/>
      <c r="LKA354" s="513"/>
      <c r="LKB354" s="508"/>
      <c r="LKC354" s="513"/>
      <c r="LKD354" s="508"/>
      <c r="LKE354" s="513"/>
      <c r="LKF354" s="508"/>
      <c r="LKG354" s="513"/>
      <c r="LKH354" s="508"/>
      <c r="LKI354" s="513"/>
      <c r="LKJ354" s="508"/>
      <c r="LKK354" s="513"/>
      <c r="LKL354" s="508"/>
      <c r="LKM354" s="513"/>
      <c r="LKN354" s="508"/>
      <c r="LKO354" s="513"/>
      <c r="LKP354" s="508"/>
      <c r="LKQ354" s="513"/>
      <c r="LKR354" s="508"/>
      <c r="LKS354" s="513"/>
      <c r="LKT354" s="508"/>
      <c r="LKU354" s="513"/>
      <c r="LKV354" s="508"/>
      <c r="LKW354" s="513"/>
      <c r="LKX354" s="508"/>
      <c r="LKY354" s="513"/>
      <c r="LKZ354" s="508"/>
      <c r="LLA354" s="513"/>
      <c r="LLB354" s="508"/>
      <c r="LLC354" s="513"/>
      <c r="LLD354" s="508"/>
      <c r="LLE354" s="513"/>
      <c r="LLF354" s="508"/>
      <c r="LLG354" s="513"/>
      <c r="LLH354" s="508"/>
      <c r="LLI354" s="513"/>
      <c r="LLJ354" s="508"/>
      <c r="LLK354" s="513"/>
      <c r="LLL354" s="508"/>
      <c r="LLM354" s="513"/>
      <c r="LLN354" s="508"/>
      <c r="LLO354" s="513"/>
      <c r="LLP354" s="508"/>
      <c r="LLQ354" s="513"/>
      <c r="LLR354" s="508"/>
      <c r="LLS354" s="513"/>
      <c r="LLT354" s="508"/>
      <c r="LLU354" s="513"/>
      <c r="LLV354" s="508"/>
      <c r="LLW354" s="513"/>
      <c r="LLX354" s="508"/>
      <c r="LLY354" s="513"/>
      <c r="LLZ354" s="508"/>
      <c r="LMA354" s="513"/>
      <c r="LMB354" s="508"/>
      <c r="LMC354" s="513"/>
      <c r="LMD354" s="508"/>
      <c r="LME354" s="513"/>
      <c r="LMF354" s="508"/>
      <c r="LMG354" s="513"/>
      <c r="LMH354" s="508"/>
      <c r="LMI354" s="513"/>
      <c r="LMJ354" s="508"/>
      <c r="LMK354" s="513"/>
      <c r="LML354" s="508"/>
      <c r="LMM354" s="513"/>
      <c r="LMN354" s="508"/>
      <c r="LMO354" s="513"/>
      <c r="LMP354" s="508"/>
      <c r="LMQ354" s="513"/>
      <c r="LMR354" s="508"/>
      <c r="LMS354" s="513"/>
      <c r="LMT354" s="508"/>
      <c r="LMU354" s="513"/>
      <c r="LMV354" s="508"/>
      <c r="LMW354" s="513"/>
      <c r="LMX354" s="508"/>
      <c r="LMY354" s="513"/>
      <c r="LMZ354" s="508"/>
      <c r="LNA354" s="513"/>
      <c r="LNB354" s="508"/>
      <c r="LNC354" s="513"/>
      <c r="LND354" s="508"/>
      <c r="LNE354" s="513"/>
      <c r="LNF354" s="508"/>
      <c r="LNG354" s="513"/>
      <c r="LNH354" s="508"/>
      <c r="LNI354" s="513"/>
      <c r="LNJ354" s="508"/>
      <c r="LNK354" s="513"/>
      <c r="LNL354" s="508"/>
      <c r="LNM354" s="513"/>
      <c r="LNN354" s="508"/>
      <c r="LNO354" s="513"/>
      <c r="LNP354" s="508"/>
      <c r="LNQ354" s="513"/>
      <c r="LNR354" s="508"/>
      <c r="LNS354" s="513"/>
      <c r="LNT354" s="508"/>
      <c r="LNU354" s="513"/>
      <c r="LNV354" s="508"/>
      <c r="LNW354" s="513"/>
      <c r="LNX354" s="508"/>
      <c r="LNY354" s="513"/>
      <c r="LNZ354" s="508"/>
      <c r="LOA354" s="513"/>
      <c r="LOB354" s="508"/>
      <c r="LOC354" s="513"/>
      <c r="LOD354" s="508"/>
      <c r="LOE354" s="513"/>
      <c r="LOF354" s="508"/>
      <c r="LOG354" s="513"/>
      <c r="LOH354" s="508"/>
      <c r="LOI354" s="513"/>
      <c r="LOJ354" s="508"/>
      <c r="LOK354" s="513"/>
      <c r="LOL354" s="508"/>
      <c r="LOM354" s="513"/>
      <c r="LON354" s="508"/>
      <c r="LOO354" s="513"/>
      <c r="LOP354" s="508"/>
      <c r="LOQ354" s="513"/>
      <c r="LOR354" s="508"/>
      <c r="LOS354" s="513"/>
      <c r="LOT354" s="508"/>
      <c r="LOU354" s="513"/>
      <c r="LOV354" s="508"/>
      <c r="LOW354" s="513"/>
      <c r="LOX354" s="508"/>
      <c r="LOY354" s="513"/>
      <c r="LOZ354" s="508"/>
      <c r="LPA354" s="513"/>
      <c r="LPB354" s="508"/>
      <c r="LPC354" s="513"/>
      <c r="LPD354" s="508"/>
      <c r="LPE354" s="513"/>
      <c r="LPF354" s="508"/>
      <c r="LPG354" s="513"/>
      <c r="LPH354" s="508"/>
      <c r="LPI354" s="513"/>
      <c r="LPJ354" s="508"/>
      <c r="LPK354" s="513"/>
      <c r="LPL354" s="508"/>
      <c r="LPM354" s="513"/>
      <c r="LPN354" s="508"/>
      <c r="LPO354" s="513"/>
      <c r="LPP354" s="508"/>
      <c r="LPQ354" s="513"/>
      <c r="LPR354" s="508"/>
      <c r="LPS354" s="513"/>
      <c r="LPT354" s="508"/>
      <c r="LPU354" s="513"/>
      <c r="LPV354" s="508"/>
      <c r="LPW354" s="513"/>
      <c r="LPX354" s="508"/>
      <c r="LPY354" s="513"/>
      <c r="LPZ354" s="508"/>
      <c r="LQA354" s="513"/>
      <c r="LQB354" s="508"/>
      <c r="LQC354" s="513"/>
      <c r="LQD354" s="508"/>
      <c r="LQE354" s="513"/>
      <c r="LQF354" s="508"/>
      <c r="LQG354" s="513"/>
      <c r="LQH354" s="508"/>
      <c r="LQI354" s="513"/>
      <c r="LQJ354" s="508"/>
      <c r="LQK354" s="513"/>
      <c r="LQL354" s="508"/>
      <c r="LQM354" s="513"/>
      <c r="LQN354" s="508"/>
      <c r="LQO354" s="513"/>
      <c r="LQP354" s="508"/>
      <c r="LQQ354" s="513"/>
      <c r="LQR354" s="508"/>
      <c r="LQS354" s="513"/>
      <c r="LQT354" s="508"/>
      <c r="LQU354" s="513"/>
      <c r="LQV354" s="508"/>
      <c r="LQW354" s="513"/>
      <c r="LQX354" s="508"/>
      <c r="LQY354" s="513"/>
      <c r="LQZ354" s="508"/>
      <c r="LRA354" s="513"/>
      <c r="LRB354" s="508"/>
      <c r="LRC354" s="513"/>
      <c r="LRD354" s="508"/>
      <c r="LRE354" s="513"/>
      <c r="LRF354" s="508"/>
      <c r="LRG354" s="513"/>
      <c r="LRH354" s="508"/>
      <c r="LRI354" s="513"/>
      <c r="LRJ354" s="508"/>
      <c r="LRK354" s="513"/>
      <c r="LRL354" s="508"/>
      <c r="LRM354" s="513"/>
      <c r="LRN354" s="508"/>
      <c r="LRO354" s="513"/>
      <c r="LRP354" s="508"/>
      <c r="LRQ354" s="513"/>
      <c r="LRR354" s="508"/>
      <c r="LRS354" s="513"/>
      <c r="LRT354" s="508"/>
      <c r="LRU354" s="513"/>
      <c r="LRV354" s="508"/>
      <c r="LRW354" s="513"/>
      <c r="LRX354" s="508"/>
      <c r="LRY354" s="513"/>
      <c r="LRZ354" s="508"/>
      <c r="LSA354" s="513"/>
      <c r="LSB354" s="508"/>
      <c r="LSC354" s="513"/>
      <c r="LSD354" s="508"/>
      <c r="LSE354" s="513"/>
      <c r="LSF354" s="508"/>
      <c r="LSG354" s="513"/>
      <c r="LSH354" s="508"/>
      <c r="LSI354" s="513"/>
      <c r="LSJ354" s="508"/>
      <c r="LSK354" s="513"/>
      <c r="LSL354" s="508"/>
      <c r="LSM354" s="513"/>
      <c r="LSN354" s="508"/>
      <c r="LSO354" s="513"/>
      <c r="LSP354" s="508"/>
      <c r="LSQ354" s="513"/>
      <c r="LSR354" s="508"/>
      <c r="LSS354" s="513"/>
      <c r="LST354" s="508"/>
      <c r="LSU354" s="513"/>
      <c r="LSV354" s="508"/>
      <c r="LSW354" s="513"/>
      <c r="LSX354" s="508"/>
      <c r="LSY354" s="513"/>
      <c r="LSZ354" s="508"/>
      <c r="LTA354" s="513"/>
      <c r="LTB354" s="508"/>
      <c r="LTC354" s="513"/>
      <c r="LTD354" s="508"/>
      <c r="LTE354" s="513"/>
      <c r="LTF354" s="508"/>
      <c r="LTG354" s="513"/>
      <c r="LTH354" s="508"/>
      <c r="LTI354" s="513"/>
      <c r="LTJ354" s="508"/>
      <c r="LTK354" s="513"/>
      <c r="LTL354" s="508"/>
      <c r="LTM354" s="513"/>
      <c r="LTN354" s="508"/>
      <c r="LTO354" s="513"/>
      <c r="LTP354" s="508"/>
      <c r="LTQ354" s="513"/>
      <c r="LTR354" s="508"/>
      <c r="LTS354" s="513"/>
      <c r="LTT354" s="508"/>
      <c r="LTU354" s="513"/>
      <c r="LTV354" s="508"/>
      <c r="LTW354" s="513"/>
      <c r="LTX354" s="508"/>
      <c r="LTY354" s="513"/>
      <c r="LTZ354" s="508"/>
      <c r="LUA354" s="513"/>
      <c r="LUB354" s="508"/>
      <c r="LUC354" s="513"/>
      <c r="LUD354" s="508"/>
      <c r="LUE354" s="513"/>
      <c r="LUF354" s="508"/>
      <c r="LUG354" s="513"/>
      <c r="LUH354" s="508"/>
      <c r="LUI354" s="513"/>
      <c r="LUJ354" s="508"/>
      <c r="LUK354" s="513"/>
      <c r="LUL354" s="508"/>
      <c r="LUM354" s="513"/>
      <c r="LUN354" s="508"/>
      <c r="LUO354" s="513"/>
      <c r="LUP354" s="508"/>
      <c r="LUQ354" s="513"/>
      <c r="LUR354" s="508"/>
      <c r="LUS354" s="513"/>
      <c r="LUT354" s="508"/>
      <c r="LUU354" s="513"/>
      <c r="LUV354" s="508"/>
      <c r="LUW354" s="513"/>
      <c r="LUX354" s="508"/>
      <c r="LUY354" s="513"/>
      <c r="LUZ354" s="508"/>
      <c r="LVA354" s="513"/>
      <c r="LVB354" s="508"/>
      <c r="LVC354" s="513"/>
      <c r="LVD354" s="508"/>
      <c r="LVE354" s="513"/>
      <c r="LVF354" s="508"/>
      <c r="LVG354" s="513"/>
      <c r="LVH354" s="508"/>
      <c r="LVI354" s="513"/>
      <c r="LVJ354" s="508"/>
      <c r="LVK354" s="513"/>
      <c r="LVL354" s="508"/>
      <c r="LVM354" s="513"/>
      <c r="LVN354" s="508"/>
      <c r="LVO354" s="513"/>
      <c r="LVP354" s="508"/>
      <c r="LVQ354" s="513"/>
      <c r="LVR354" s="508"/>
      <c r="LVS354" s="513"/>
      <c r="LVT354" s="508"/>
      <c r="LVU354" s="513"/>
      <c r="LVV354" s="508"/>
      <c r="LVW354" s="513"/>
      <c r="LVX354" s="508"/>
      <c r="LVY354" s="513"/>
      <c r="LVZ354" s="508"/>
      <c r="LWA354" s="513"/>
      <c r="LWB354" s="508"/>
      <c r="LWC354" s="513"/>
      <c r="LWD354" s="508"/>
      <c r="LWE354" s="513"/>
      <c r="LWF354" s="508"/>
      <c r="LWG354" s="513"/>
      <c r="LWH354" s="508"/>
      <c r="LWI354" s="513"/>
      <c r="LWJ354" s="508"/>
      <c r="LWK354" s="513"/>
      <c r="LWL354" s="508"/>
      <c r="LWM354" s="513"/>
      <c r="LWN354" s="508"/>
      <c r="LWO354" s="513"/>
      <c r="LWP354" s="508"/>
      <c r="LWQ354" s="513"/>
      <c r="LWR354" s="508"/>
      <c r="LWS354" s="513"/>
      <c r="LWT354" s="508"/>
      <c r="LWU354" s="513"/>
      <c r="LWV354" s="508"/>
      <c r="LWW354" s="513"/>
      <c r="LWX354" s="508"/>
      <c r="LWY354" s="513"/>
      <c r="LWZ354" s="508"/>
      <c r="LXA354" s="513"/>
      <c r="LXB354" s="508"/>
      <c r="LXC354" s="513"/>
      <c r="LXD354" s="508"/>
      <c r="LXE354" s="513"/>
      <c r="LXF354" s="508"/>
      <c r="LXG354" s="513"/>
      <c r="LXH354" s="508"/>
      <c r="LXI354" s="513"/>
      <c r="LXJ354" s="508"/>
      <c r="LXK354" s="513"/>
      <c r="LXL354" s="508"/>
      <c r="LXM354" s="513"/>
      <c r="LXN354" s="508"/>
      <c r="LXO354" s="513"/>
      <c r="LXP354" s="508"/>
      <c r="LXQ354" s="513"/>
      <c r="LXR354" s="508"/>
      <c r="LXS354" s="513"/>
      <c r="LXT354" s="508"/>
      <c r="LXU354" s="513"/>
      <c r="LXV354" s="508"/>
      <c r="LXW354" s="513"/>
      <c r="LXX354" s="508"/>
      <c r="LXY354" s="513"/>
      <c r="LXZ354" s="508"/>
      <c r="LYA354" s="513"/>
      <c r="LYB354" s="508"/>
      <c r="LYC354" s="513"/>
      <c r="LYD354" s="508"/>
      <c r="LYE354" s="513"/>
      <c r="LYF354" s="508"/>
      <c r="LYG354" s="513"/>
      <c r="LYH354" s="508"/>
      <c r="LYI354" s="513"/>
      <c r="LYJ354" s="508"/>
      <c r="LYK354" s="513"/>
      <c r="LYL354" s="508"/>
      <c r="LYM354" s="513"/>
      <c r="LYN354" s="508"/>
      <c r="LYO354" s="513"/>
      <c r="LYP354" s="508"/>
      <c r="LYQ354" s="513"/>
      <c r="LYR354" s="508"/>
      <c r="LYS354" s="513"/>
      <c r="LYT354" s="508"/>
      <c r="LYU354" s="513"/>
      <c r="LYV354" s="508"/>
      <c r="LYW354" s="513"/>
      <c r="LYX354" s="508"/>
      <c r="LYY354" s="513"/>
      <c r="LYZ354" s="508"/>
      <c r="LZA354" s="513"/>
      <c r="LZB354" s="508"/>
      <c r="LZC354" s="513"/>
      <c r="LZD354" s="508"/>
      <c r="LZE354" s="513"/>
      <c r="LZF354" s="508"/>
      <c r="LZG354" s="513"/>
      <c r="LZH354" s="508"/>
      <c r="LZI354" s="513"/>
      <c r="LZJ354" s="508"/>
      <c r="LZK354" s="513"/>
      <c r="LZL354" s="508"/>
      <c r="LZM354" s="513"/>
      <c r="LZN354" s="508"/>
      <c r="LZO354" s="513"/>
      <c r="LZP354" s="508"/>
      <c r="LZQ354" s="513"/>
      <c r="LZR354" s="508"/>
      <c r="LZS354" s="513"/>
      <c r="LZT354" s="508"/>
      <c r="LZU354" s="513"/>
      <c r="LZV354" s="508"/>
      <c r="LZW354" s="513"/>
      <c r="LZX354" s="508"/>
      <c r="LZY354" s="513"/>
      <c r="LZZ354" s="508"/>
      <c r="MAA354" s="513"/>
      <c r="MAB354" s="508"/>
      <c r="MAC354" s="513"/>
      <c r="MAD354" s="508"/>
      <c r="MAE354" s="513"/>
      <c r="MAF354" s="508"/>
      <c r="MAG354" s="513"/>
      <c r="MAH354" s="508"/>
      <c r="MAI354" s="513"/>
      <c r="MAJ354" s="508"/>
      <c r="MAK354" s="513"/>
      <c r="MAL354" s="508"/>
      <c r="MAM354" s="513"/>
      <c r="MAN354" s="508"/>
      <c r="MAO354" s="513"/>
      <c r="MAP354" s="508"/>
      <c r="MAQ354" s="513"/>
      <c r="MAR354" s="508"/>
      <c r="MAS354" s="513"/>
      <c r="MAT354" s="508"/>
      <c r="MAU354" s="513"/>
      <c r="MAV354" s="508"/>
      <c r="MAW354" s="513"/>
      <c r="MAX354" s="508"/>
      <c r="MAY354" s="513"/>
      <c r="MAZ354" s="508"/>
      <c r="MBA354" s="513"/>
      <c r="MBB354" s="508"/>
      <c r="MBC354" s="513"/>
      <c r="MBD354" s="508"/>
      <c r="MBE354" s="513"/>
      <c r="MBF354" s="508"/>
      <c r="MBG354" s="513"/>
      <c r="MBH354" s="508"/>
      <c r="MBI354" s="513"/>
      <c r="MBJ354" s="508"/>
      <c r="MBK354" s="513"/>
      <c r="MBL354" s="508"/>
      <c r="MBM354" s="513"/>
      <c r="MBN354" s="508"/>
      <c r="MBO354" s="513"/>
      <c r="MBP354" s="508"/>
      <c r="MBQ354" s="513"/>
      <c r="MBR354" s="508"/>
      <c r="MBS354" s="513"/>
      <c r="MBT354" s="508"/>
      <c r="MBU354" s="513"/>
      <c r="MBV354" s="508"/>
      <c r="MBW354" s="513"/>
      <c r="MBX354" s="508"/>
      <c r="MBY354" s="513"/>
      <c r="MBZ354" s="508"/>
      <c r="MCA354" s="513"/>
      <c r="MCB354" s="508"/>
      <c r="MCC354" s="513"/>
      <c r="MCD354" s="508"/>
      <c r="MCE354" s="513"/>
      <c r="MCF354" s="508"/>
      <c r="MCG354" s="513"/>
      <c r="MCH354" s="508"/>
      <c r="MCI354" s="513"/>
      <c r="MCJ354" s="508"/>
      <c r="MCK354" s="513"/>
      <c r="MCL354" s="508"/>
      <c r="MCM354" s="513"/>
      <c r="MCN354" s="508"/>
      <c r="MCO354" s="513"/>
      <c r="MCP354" s="508"/>
      <c r="MCQ354" s="513"/>
      <c r="MCR354" s="508"/>
      <c r="MCS354" s="513"/>
      <c r="MCT354" s="508"/>
      <c r="MCU354" s="513"/>
      <c r="MCV354" s="508"/>
      <c r="MCW354" s="513"/>
      <c r="MCX354" s="508"/>
      <c r="MCY354" s="513"/>
      <c r="MCZ354" s="508"/>
      <c r="MDA354" s="513"/>
      <c r="MDB354" s="508"/>
      <c r="MDC354" s="513"/>
      <c r="MDD354" s="508"/>
      <c r="MDE354" s="513"/>
      <c r="MDF354" s="508"/>
      <c r="MDG354" s="513"/>
      <c r="MDH354" s="508"/>
      <c r="MDI354" s="513"/>
      <c r="MDJ354" s="508"/>
      <c r="MDK354" s="513"/>
      <c r="MDL354" s="508"/>
      <c r="MDM354" s="513"/>
      <c r="MDN354" s="508"/>
      <c r="MDO354" s="513"/>
      <c r="MDP354" s="508"/>
      <c r="MDQ354" s="513"/>
      <c r="MDR354" s="508"/>
      <c r="MDS354" s="513"/>
      <c r="MDT354" s="508"/>
      <c r="MDU354" s="513"/>
      <c r="MDV354" s="508"/>
      <c r="MDW354" s="513"/>
      <c r="MDX354" s="508"/>
      <c r="MDY354" s="513"/>
      <c r="MDZ354" s="508"/>
      <c r="MEA354" s="513"/>
      <c r="MEB354" s="508"/>
      <c r="MEC354" s="513"/>
      <c r="MED354" s="508"/>
      <c r="MEE354" s="513"/>
      <c r="MEF354" s="508"/>
      <c r="MEG354" s="513"/>
      <c r="MEH354" s="508"/>
      <c r="MEI354" s="513"/>
      <c r="MEJ354" s="508"/>
      <c r="MEK354" s="513"/>
      <c r="MEL354" s="508"/>
      <c r="MEM354" s="513"/>
      <c r="MEN354" s="508"/>
      <c r="MEO354" s="513"/>
      <c r="MEP354" s="508"/>
      <c r="MEQ354" s="513"/>
      <c r="MER354" s="508"/>
      <c r="MES354" s="513"/>
      <c r="MET354" s="508"/>
      <c r="MEU354" s="513"/>
      <c r="MEV354" s="508"/>
      <c r="MEW354" s="513"/>
      <c r="MEX354" s="508"/>
      <c r="MEY354" s="513"/>
      <c r="MEZ354" s="508"/>
      <c r="MFA354" s="513"/>
      <c r="MFB354" s="508"/>
      <c r="MFC354" s="513"/>
      <c r="MFD354" s="508"/>
      <c r="MFE354" s="513"/>
      <c r="MFF354" s="508"/>
      <c r="MFG354" s="513"/>
      <c r="MFH354" s="508"/>
      <c r="MFI354" s="513"/>
      <c r="MFJ354" s="508"/>
      <c r="MFK354" s="513"/>
      <c r="MFL354" s="508"/>
      <c r="MFM354" s="513"/>
      <c r="MFN354" s="508"/>
      <c r="MFO354" s="513"/>
      <c r="MFP354" s="508"/>
      <c r="MFQ354" s="513"/>
      <c r="MFR354" s="508"/>
      <c r="MFS354" s="513"/>
      <c r="MFT354" s="508"/>
      <c r="MFU354" s="513"/>
      <c r="MFV354" s="508"/>
      <c r="MFW354" s="513"/>
      <c r="MFX354" s="508"/>
      <c r="MFY354" s="513"/>
      <c r="MFZ354" s="508"/>
      <c r="MGA354" s="513"/>
      <c r="MGB354" s="508"/>
      <c r="MGC354" s="513"/>
      <c r="MGD354" s="508"/>
      <c r="MGE354" s="513"/>
      <c r="MGF354" s="508"/>
      <c r="MGG354" s="513"/>
      <c r="MGH354" s="508"/>
      <c r="MGI354" s="513"/>
      <c r="MGJ354" s="508"/>
      <c r="MGK354" s="513"/>
      <c r="MGL354" s="508"/>
      <c r="MGM354" s="513"/>
      <c r="MGN354" s="508"/>
      <c r="MGO354" s="513"/>
      <c r="MGP354" s="508"/>
      <c r="MGQ354" s="513"/>
      <c r="MGR354" s="508"/>
      <c r="MGS354" s="513"/>
      <c r="MGT354" s="508"/>
      <c r="MGU354" s="513"/>
      <c r="MGV354" s="508"/>
      <c r="MGW354" s="513"/>
      <c r="MGX354" s="508"/>
      <c r="MGY354" s="513"/>
      <c r="MGZ354" s="508"/>
      <c r="MHA354" s="513"/>
      <c r="MHB354" s="508"/>
      <c r="MHC354" s="513"/>
      <c r="MHD354" s="508"/>
      <c r="MHE354" s="513"/>
      <c r="MHF354" s="508"/>
      <c r="MHG354" s="513"/>
      <c r="MHH354" s="508"/>
      <c r="MHI354" s="513"/>
      <c r="MHJ354" s="508"/>
      <c r="MHK354" s="513"/>
      <c r="MHL354" s="508"/>
      <c r="MHM354" s="513"/>
      <c r="MHN354" s="508"/>
      <c r="MHO354" s="513"/>
      <c r="MHP354" s="508"/>
      <c r="MHQ354" s="513"/>
      <c r="MHR354" s="508"/>
      <c r="MHS354" s="513"/>
      <c r="MHT354" s="508"/>
      <c r="MHU354" s="513"/>
      <c r="MHV354" s="508"/>
      <c r="MHW354" s="513"/>
      <c r="MHX354" s="508"/>
      <c r="MHY354" s="513"/>
      <c r="MHZ354" s="508"/>
      <c r="MIA354" s="513"/>
      <c r="MIB354" s="508"/>
      <c r="MIC354" s="513"/>
      <c r="MID354" s="508"/>
      <c r="MIE354" s="513"/>
      <c r="MIF354" s="508"/>
      <c r="MIG354" s="513"/>
      <c r="MIH354" s="508"/>
      <c r="MII354" s="513"/>
      <c r="MIJ354" s="508"/>
      <c r="MIK354" s="513"/>
      <c r="MIL354" s="508"/>
      <c r="MIM354" s="513"/>
      <c r="MIN354" s="508"/>
      <c r="MIO354" s="513"/>
      <c r="MIP354" s="508"/>
      <c r="MIQ354" s="513"/>
      <c r="MIR354" s="508"/>
      <c r="MIS354" s="513"/>
      <c r="MIT354" s="508"/>
      <c r="MIU354" s="513"/>
      <c r="MIV354" s="508"/>
      <c r="MIW354" s="513"/>
      <c r="MIX354" s="508"/>
      <c r="MIY354" s="513"/>
      <c r="MIZ354" s="508"/>
      <c r="MJA354" s="513"/>
      <c r="MJB354" s="508"/>
      <c r="MJC354" s="513"/>
      <c r="MJD354" s="508"/>
      <c r="MJE354" s="513"/>
      <c r="MJF354" s="508"/>
      <c r="MJG354" s="513"/>
      <c r="MJH354" s="508"/>
      <c r="MJI354" s="513"/>
      <c r="MJJ354" s="508"/>
      <c r="MJK354" s="513"/>
      <c r="MJL354" s="508"/>
      <c r="MJM354" s="513"/>
      <c r="MJN354" s="508"/>
      <c r="MJO354" s="513"/>
      <c r="MJP354" s="508"/>
      <c r="MJQ354" s="513"/>
      <c r="MJR354" s="508"/>
      <c r="MJS354" s="513"/>
      <c r="MJT354" s="508"/>
      <c r="MJU354" s="513"/>
      <c r="MJV354" s="508"/>
      <c r="MJW354" s="513"/>
      <c r="MJX354" s="508"/>
      <c r="MJY354" s="513"/>
      <c r="MJZ354" s="508"/>
      <c r="MKA354" s="513"/>
      <c r="MKB354" s="508"/>
      <c r="MKC354" s="513"/>
      <c r="MKD354" s="508"/>
      <c r="MKE354" s="513"/>
      <c r="MKF354" s="508"/>
      <c r="MKG354" s="513"/>
      <c r="MKH354" s="508"/>
      <c r="MKI354" s="513"/>
      <c r="MKJ354" s="508"/>
      <c r="MKK354" s="513"/>
      <c r="MKL354" s="508"/>
      <c r="MKM354" s="513"/>
      <c r="MKN354" s="508"/>
      <c r="MKO354" s="513"/>
      <c r="MKP354" s="508"/>
      <c r="MKQ354" s="513"/>
      <c r="MKR354" s="508"/>
      <c r="MKS354" s="513"/>
      <c r="MKT354" s="508"/>
      <c r="MKU354" s="513"/>
      <c r="MKV354" s="508"/>
      <c r="MKW354" s="513"/>
      <c r="MKX354" s="508"/>
      <c r="MKY354" s="513"/>
      <c r="MKZ354" s="508"/>
      <c r="MLA354" s="513"/>
      <c r="MLB354" s="508"/>
      <c r="MLC354" s="513"/>
      <c r="MLD354" s="508"/>
      <c r="MLE354" s="513"/>
      <c r="MLF354" s="508"/>
      <c r="MLG354" s="513"/>
      <c r="MLH354" s="508"/>
      <c r="MLI354" s="513"/>
      <c r="MLJ354" s="508"/>
      <c r="MLK354" s="513"/>
      <c r="MLL354" s="508"/>
      <c r="MLM354" s="513"/>
      <c r="MLN354" s="508"/>
      <c r="MLO354" s="513"/>
      <c r="MLP354" s="508"/>
      <c r="MLQ354" s="513"/>
      <c r="MLR354" s="508"/>
      <c r="MLS354" s="513"/>
      <c r="MLT354" s="508"/>
      <c r="MLU354" s="513"/>
      <c r="MLV354" s="508"/>
      <c r="MLW354" s="513"/>
      <c r="MLX354" s="508"/>
      <c r="MLY354" s="513"/>
      <c r="MLZ354" s="508"/>
      <c r="MMA354" s="513"/>
      <c r="MMB354" s="508"/>
      <c r="MMC354" s="513"/>
      <c r="MMD354" s="508"/>
      <c r="MME354" s="513"/>
      <c r="MMF354" s="508"/>
      <c r="MMG354" s="513"/>
      <c r="MMH354" s="508"/>
      <c r="MMI354" s="513"/>
      <c r="MMJ354" s="508"/>
      <c r="MMK354" s="513"/>
      <c r="MML354" s="508"/>
      <c r="MMM354" s="513"/>
      <c r="MMN354" s="508"/>
      <c r="MMO354" s="513"/>
      <c r="MMP354" s="508"/>
      <c r="MMQ354" s="513"/>
      <c r="MMR354" s="508"/>
      <c r="MMS354" s="513"/>
      <c r="MMT354" s="508"/>
      <c r="MMU354" s="513"/>
      <c r="MMV354" s="508"/>
      <c r="MMW354" s="513"/>
      <c r="MMX354" s="508"/>
      <c r="MMY354" s="513"/>
      <c r="MMZ354" s="508"/>
      <c r="MNA354" s="513"/>
      <c r="MNB354" s="508"/>
      <c r="MNC354" s="513"/>
      <c r="MND354" s="508"/>
      <c r="MNE354" s="513"/>
      <c r="MNF354" s="508"/>
      <c r="MNG354" s="513"/>
      <c r="MNH354" s="508"/>
      <c r="MNI354" s="513"/>
      <c r="MNJ354" s="508"/>
      <c r="MNK354" s="513"/>
      <c r="MNL354" s="508"/>
      <c r="MNM354" s="513"/>
      <c r="MNN354" s="508"/>
      <c r="MNO354" s="513"/>
      <c r="MNP354" s="508"/>
      <c r="MNQ354" s="513"/>
      <c r="MNR354" s="508"/>
      <c r="MNS354" s="513"/>
      <c r="MNT354" s="508"/>
      <c r="MNU354" s="513"/>
      <c r="MNV354" s="508"/>
      <c r="MNW354" s="513"/>
      <c r="MNX354" s="508"/>
      <c r="MNY354" s="513"/>
      <c r="MNZ354" s="508"/>
      <c r="MOA354" s="513"/>
      <c r="MOB354" s="508"/>
      <c r="MOC354" s="513"/>
      <c r="MOD354" s="508"/>
      <c r="MOE354" s="513"/>
      <c r="MOF354" s="508"/>
      <c r="MOG354" s="513"/>
      <c r="MOH354" s="508"/>
      <c r="MOI354" s="513"/>
      <c r="MOJ354" s="508"/>
      <c r="MOK354" s="513"/>
      <c r="MOL354" s="508"/>
      <c r="MOM354" s="513"/>
      <c r="MON354" s="508"/>
      <c r="MOO354" s="513"/>
      <c r="MOP354" s="508"/>
      <c r="MOQ354" s="513"/>
      <c r="MOR354" s="508"/>
      <c r="MOS354" s="513"/>
      <c r="MOT354" s="508"/>
      <c r="MOU354" s="513"/>
      <c r="MOV354" s="508"/>
      <c r="MOW354" s="513"/>
      <c r="MOX354" s="508"/>
      <c r="MOY354" s="513"/>
      <c r="MOZ354" s="508"/>
      <c r="MPA354" s="513"/>
      <c r="MPB354" s="508"/>
      <c r="MPC354" s="513"/>
      <c r="MPD354" s="508"/>
      <c r="MPE354" s="513"/>
      <c r="MPF354" s="508"/>
      <c r="MPG354" s="513"/>
      <c r="MPH354" s="508"/>
      <c r="MPI354" s="513"/>
      <c r="MPJ354" s="508"/>
      <c r="MPK354" s="513"/>
      <c r="MPL354" s="508"/>
      <c r="MPM354" s="513"/>
      <c r="MPN354" s="508"/>
      <c r="MPO354" s="513"/>
      <c r="MPP354" s="508"/>
      <c r="MPQ354" s="513"/>
      <c r="MPR354" s="508"/>
      <c r="MPS354" s="513"/>
      <c r="MPT354" s="508"/>
      <c r="MPU354" s="513"/>
      <c r="MPV354" s="508"/>
      <c r="MPW354" s="513"/>
      <c r="MPX354" s="508"/>
      <c r="MPY354" s="513"/>
      <c r="MPZ354" s="508"/>
      <c r="MQA354" s="513"/>
      <c r="MQB354" s="508"/>
      <c r="MQC354" s="513"/>
      <c r="MQD354" s="508"/>
      <c r="MQE354" s="513"/>
      <c r="MQF354" s="508"/>
      <c r="MQG354" s="513"/>
      <c r="MQH354" s="508"/>
      <c r="MQI354" s="513"/>
      <c r="MQJ354" s="508"/>
      <c r="MQK354" s="513"/>
      <c r="MQL354" s="508"/>
      <c r="MQM354" s="513"/>
      <c r="MQN354" s="508"/>
      <c r="MQO354" s="513"/>
      <c r="MQP354" s="508"/>
      <c r="MQQ354" s="513"/>
      <c r="MQR354" s="508"/>
      <c r="MQS354" s="513"/>
      <c r="MQT354" s="508"/>
      <c r="MQU354" s="513"/>
      <c r="MQV354" s="508"/>
      <c r="MQW354" s="513"/>
      <c r="MQX354" s="508"/>
      <c r="MQY354" s="513"/>
      <c r="MQZ354" s="508"/>
      <c r="MRA354" s="513"/>
      <c r="MRB354" s="508"/>
      <c r="MRC354" s="513"/>
      <c r="MRD354" s="508"/>
      <c r="MRE354" s="513"/>
      <c r="MRF354" s="508"/>
      <c r="MRG354" s="513"/>
      <c r="MRH354" s="508"/>
      <c r="MRI354" s="513"/>
      <c r="MRJ354" s="508"/>
      <c r="MRK354" s="513"/>
      <c r="MRL354" s="508"/>
      <c r="MRM354" s="513"/>
      <c r="MRN354" s="508"/>
      <c r="MRO354" s="513"/>
      <c r="MRP354" s="508"/>
      <c r="MRQ354" s="513"/>
      <c r="MRR354" s="508"/>
      <c r="MRS354" s="513"/>
      <c r="MRT354" s="508"/>
      <c r="MRU354" s="513"/>
      <c r="MRV354" s="508"/>
      <c r="MRW354" s="513"/>
      <c r="MRX354" s="508"/>
      <c r="MRY354" s="513"/>
      <c r="MRZ354" s="508"/>
      <c r="MSA354" s="513"/>
      <c r="MSB354" s="508"/>
      <c r="MSC354" s="513"/>
      <c r="MSD354" s="508"/>
      <c r="MSE354" s="513"/>
      <c r="MSF354" s="508"/>
      <c r="MSG354" s="513"/>
      <c r="MSH354" s="508"/>
      <c r="MSI354" s="513"/>
      <c r="MSJ354" s="508"/>
      <c r="MSK354" s="513"/>
      <c r="MSL354" s="508"/>
      <c r="MSM354" s="513"/>
      <c r="MSN354" s="508"/>
      <c r="MSO354" s="513"/>
      <c r="MSP354" s="508"/>
      <c r="MSQ354" s="513"/>
      <c r="MSR354" s="508"/>
      <c r="MSS354" s="513"/>
      <c r="MST354" s="508"/>
      <c r="MSU354" s="513"/>
      <c r="MSV354" s="508"/>
      <c r="MSW354" s="513"/>
      <c r="MSX354" s="508"/>
      <c r="MSY354" s="513"/>
      <c r="MSZ354" s="508"/>
      <c r="MTA354" s="513"/>
      <c r="MTB354" s="508"/>
      <c r="MTC354" s="513"/>
      <c r="MTD354" s="508"/>
      <c r="MTE354" s="513"/>
      <c r="MTF354" s="508"/>
      <c r="MTG354" s="513"/>
      <c r="MTH354" s="508"/>
      <c r="MTI354" s="513"/>
      <c r="MTJ354" s="508"/>
      <c r="MTK354" s="513"/>
      <c r="MTL354" s="508"/>
      <c r="MTM354" s="513"/>
      <c r="MTN354" s="508"/>
      <c r="MTO354" s="513"/>
      <c r="MTP354" s="508"/>
      <c r="MTQ354" s="513"/>
      <c r="MTR354" s="508"/>
      <c r="MTS354" s="513"/>
      <c r="MTT354" s="508"/>
      <c r="MTU354" s="513"/>
      <c r="MTV354" s="508"/>
      <c r="MTW354" s="513"/>
      <c r="MTX354" s="508"/>
      <c r="MTY354" s="513"/>
      <c r="MTZ354" s="508"/>
      <c r="MUA354" s="513"/>
      <c r="MUB354" s="508"/>
      <c r="MUC354" s="513"/>
      <c r="MUD354" s="508"/>
      <c r="MUE354" s="513"/>
      <c r="MUF354" s="508"/>
      <c r="MUG354" s="513"/>
      <c r="MUH354" s="508"/>
      <c r="MUI354" s="513"/>
      <c r="MUJ354" s="508"/>
      <c r="MUK354" s="513"/>
      <c r="MUL354" s="508"/>
      <c r="MUM354" s="513"/>
      <c r="MUN354" s="508"/>
      <c r="MUO354" s="513"/>
      <c r="MUP354" s="508"/>
      <c r="MUQ354" s="513"/>
      <c r="MUR354" s="508"/>
      <c r="MUS354" s="513"/>
      <c r="MUT354" s="508"/>
      <c r="MUU354" s="513"/>
      <c r="MUV354" s="508"/>
      <c r="MUW354" s="513"/>
      <c r="MUX354" s="508"/>
      <c r="MUY354" s="513"/>
      <c r="MUZ354" s="508"/>
      <c r="MVA354" s="513"/>
      <c r="MVB354" s="508"/>
      <c r="MVC354" s="513"/>
      <c r="MVD354" s="508"/>
      <c r="MVE354" s="513"/>
      <c r="MVF354" s="508"/>
      <c r="MVG354" s="513"/>
      <c r="MVH354" s="508"/>
      <c r="MVI354" s="513"/>
      <c r="MVJ354" s="508"/>
      <c r="MVK354" s="513"/>
      <c r="MVL354" s="508"/>
      <c r="MVM354" s="513"/>
      <c r="MVN354" s="508"/>
      <c r="MVO354" s="513"/>
      <c r="MVP354" s="508"/>
      <c r="MVQ354" s="513"/>
      <c r="MVR354" s="508"/>
      <c r="MVS354" s="513"/>
      <c r="MVT354" s="508"/>
      <c r="MVU354" s="513"/>
      <c r="MVV354" s="508"/>
      <c r="MVW354" s="513"/>
      <c r="MVX354" s="508"/>
      <c r="MVY354" s="513"/>
      <c r="MVZ354" s="508"/>
      <c r="MWA354" s="513"/>
      <c r="MWB354" s="508"/>
      <c r="MWC354" s="513"/>
      <c r="MWD354" s="508"/>
      <c r="MWE354" s="513"/>
      <c r="MWF354" s="508"/>
      <c r="MWG354" s="513"/>
      <c r="MWH354" s="508"/>
      <c r="MWI354" s="513"/>
      <c r="MWJ354" s="508"/>
      <c r="MWK354" s="513"/>
      <c r="MWL354" s="508"/>
      <c r="MWM354" s="513"/>
      <c r="MWN354" s="508"/>
      <c r="MWO354" s="513"/>
      <c r="MWP354" s="508"/>
      <c r="MWQ354" s="513"/>
      <c r="MWR354" s="508"/>
      <c r="MWS354" s="513"/>
      <c r="MWT354" s="508"/>
      <c r="MWU354" s="513"/>
      <c r="MWV354" s="508"/>
      <c r="MWW354" s="513"/>
      <c r="MWX354" s="508"/>
      <c r="MWY354" s="513"/>
      <c r="MWZ354" s="508"/>
      <c r="MXA354" s="513"/>
      <c r="MXB354" s="508"/>
      <c r="MXC354" s="513"/>
      <c r="MXD354" s="508"/>
      <c r="MXE354" s="513"/>
      <c r="MXF354" s="508"/>
      <c r="MXG354" s="513"/>
      <c r="MXH354" s="508"/>
      <c r="MXI354" s="513"/>
      <c r="MXJ354" s="508"/>
      <c r="MXK354" s="513"/>
      <c r="MXL354" s="508"/>
      <c r="MXM354" s="513"/>
      <c r="MXN354" s="508"/>
      <c r="MXO354" s="513"/>
      <c r="MXP354" s="508"/>
      <c r="MXQ354" s="513"/>
      <c r="MXR354" s="508"/>
      <c r="MXS354" s="513"/>
      <c r="MXT354" s="508"/>
      <c r="MXU354" s="513"/>
      <c r="MXV354" s="508"/>
      <c r="MXW354" s="513"/>
      <c r="MXX354" s="508"/>
      <c r="MXY354" s="513"/>
      <c r="MXZ354" s="508"/>
      <c r="MYA354" s="513"/>
      <c r="MYB354" s="508"/>
      <c r="MYC354" s="513"/>
      <c r="MYD354" s="508"/>
      <c r="MYE354" s="513"/>
      <c r="MYF354" s="508"/>
      <c r="MYG354" s="513"/>
      <c r="MYH354" s="508"/>
      <c r="MYI354" s="513"/>
      <c r="MYJ354" s="508"/>
      <c r="MYK354" s="513"/>
      <c r="MYL354" s="508"/>
      <c r="MYM354" s="513"/>
      <c r="MYN354" s="508"/>
      <c r="MYO354" s="513"/>
      <c r="MYP354" s="508"/>
      <c r="MYQ354" s="513"/>
      <c r="MYR354" s="508"/>
      <c r="MYS354" s="513"/>
      <c r="MYT354" s="508"/>
      <c r="MYU354" s="513"/>
      <c r="MYV354" s="508"/>
      <c r="MYW354" s="513"/>
      <c r="MYX354" s="508"/>
      <c r="MYY354" s="513"/>
      <c r="MYZ354" s="508"/>
      <c r="MZA354" s="513"/>
      <c r="MZB354" s="508"/>
      <c r="MZC354" s="513"/>
      <c r="MZD354" s="508"/>
      <c r="MZE354" s="513"/>
      <c r="MZF354" s="508"/>
      <c r="MZG354" s="513"/>
      <c r="MZH354" s="508"/>
      <c r="MZI354" s="513"/>
      <c r="MZJ354" s="508"/>
      <c r="MZK354" s="513"/>
      <c r="MZL354" s="508"/>
      <c r="MZM354" s="513"/>
      <c r="MZN354" s="508"/>
      <c r="MZO354" s="513"/>
      <c r="MZP354" s="508"/>
      <c r="MZQ354" s="513"/>
      <c r="MZR354" s="508"/>
      <c r="MZS354" s="513"/>
      <c r="MZT354" s="508"/>
      <c r="MZU354" s="513"/>
      <c r="MZV354" s="508"/>
      <c r="MZW354" s="513"/>
      <c r="MZX354" s="508"/>
      <c r="MZY354" s="513"/>
      <c r="MZZ354" s="508"/>
      <c r="NAA354" s="513"/>
      <c r="NAB354" s="508"/>
      <c r="NAC354" s="513"/>
      <c r="NAD354" s="508"/>
      <c r="NAE354" s="513"/>
      <c r="NAF354" s="508"/>
      <c r="NAG354" s="513"/>
      <c r="NAH354" s="508"/>
      <c r="NAI354" s="513"/>
      <c r="NAJ354" s="508"/>
      <c r="NAK354" s="513"/>
      <c r="NAL354" s="508"/>
      <c r="NAM354" s="513"/>
      <c r="NAN354" s="508"/>
      <c r="NAO354" s="513"/>
      <c r="NAP354" s="508"/>
      <c r="NAQ354" s="513"/>
      <c r="NAR354" s="508"/>
      <c r="NAS354" s="513"/>
      <c r="NAT354" s="508"/>
      <c r="NAU354" s="513"/>
      <c r="NAV354" s="508"/>
      <c r="NAW354" s="513"/>
      <c r="NAX354" s="508"/>
      <c r="NAY354" s="513"/>
      <c r="NAZ354" s="508"/>
      <c r="NBA354" s="513"/>
      <c r="NBB354" s="508"/>
      <c r="NBC354" s="513"/>
      <c r="NBD354" s="508"/>
      <c r="NBE354" s="513"/>
      <c r="NBF354" s="508"/>
      <c r="NBG354" s="513"/>
      <c r="NBH354" s="508"/>
      <c r="NBI354" s="513"/>
      <c r="NBJ354" s="508"/>
      <c r="NBK354" s="513"/>
      <c r="NBL354" s="508"/>
      <c r="NBM354" s="513"/>
      <c r="NBN354" s="508"/>
      <c r="NBO354" s="513"/>
      <c r="NBP354" s="508"/>
      <c r="NBQ354" s="513"/>
      <c r="NBR354" s="508"/>
      <c r="NBS354" s="513"/>
      <c r="NBT354" s="508"/>
      <c r="NBU354" s="513"/>
      <c r="NBV354" s="508"/>
      <c r="NBW354" s="513"/>
      <c r="NBX354" s="508"/>
      <c r="NBY354" s="513"/>
      <c r="NBZ354" s="508"/>
      <c r="NCA354" s="513"/>
      <c r="NCB354" s="508"/>
      <c r="NCC354" s="513"/>
      <c r="NCD354" s="508"/>
      <c r="NCE354" s="513"/>
      <c r="NCF354" s="508"/>
      <c r="NCG354" s="513"/>
      <c r="NCH354" s="508"/>
      <c r="NCI354" s="513"/>
      <c r="NCJ354" s="508"/>
      <c r="NCK354" s="513"/>
      <c r="NCL354" s="508"/>
      <c r="NCM354" s="513"/>
      <c r="NCN354" s="508"/>
      <c r="NCO354" s="513"/>
      <c r="NCP354" s="508"/>
      <c r="NCQ354" s="513"/>
      <c r="NCR354" s="508"/>
      <c r="NCS354" s="513"/>
      <c r="NCT354" s="508"/>
      <c r="NCU354" s="513"/>
      <c r="NCV354" s="508"/>
      <c r="NCW354" s="513"/>
      <c r="NCX354" s="508"/>
      <c r="NCY354" s="513"/>
      <c r="NCZ354" s="508"/>
      <c r="NDA354" s="513"/>
      <c r="NDB354" s="508"/>
      <c r="NDC354" s="513"/>
      <c r="NDD354" s="508"/>
      <c r="NDE354" s="513"/>
      <c r="NDF354" s="508"/>
      <c r="NDG354" s="513"/>
      <c r="NDH354" s="508"/>
      <c r="NDI354" s="513"/>
      <c r="NDJ354" s="508"/>
      <c r="NDK354" s="513"/>
      <c r="NDL354" s="508"/>
      <c r="NDM354" s="513"/>
      <c r="NDN354" s="508"/>
      <c r="NDO354" s="513"/>
      <c r="NDP354" s="508"/>
      <c r="NDQ354" s="513"/>
      <c r="NDR354" s="508"/>
      <c r="NDS354" s="513"/>
      <c r="NDT354" s="508"/>
      <c r="NDU354" s="513"/>
      <c r="NDV354" s="508"/>
      <c r="NDW354" s="513"/>
      <c r="NDX354" s="508"/>
      <c r="NDY354" s="513"/>
      <c r="NDZ354" s="508"/>
      <c r="NEA354" s="513"/>
      <c r="NEB354" s="508"/>
      <c r="NEC354" s="513"/>
      <c r="NED354" s="508"/>
      <c r="NEE354" s="513"/>
      <c r="NEF354" s="508"/>
      <c r="NEG354" s="513"/>
      <c r="NEH354" s="508"/>
      <c r="NEI354" s="513"/>
      <c r="NEJ354" s="508"/>
      <c r="NEK354" s="513"/>
      <c r="NEL354" s="508"/>
      <c r="NEM354" s="513"/>
      <c r="NEN354" s="508"/>
      <c r="NEO354" s="513"/>
      <c r="NEP354" s="508"/>
      <c r="NEQ354" s="513"/>
      <c r="NER354" s="508"/>
      <c r="NES354" s="513"/>
      <c r="NET354" s="508"/>
      <c r="NEU354" s="513"/>
      <c r="NEV354" s="508"/>
      <c r="NEW354" s="513"/>
      <c r="NEX354" s="508"/>
      <c r="NEY354" s="513"/>
      <c r="NEZ354" s="508"/>
      <c r="NFA354" s="513"/>
      <c r="NFB354" s="508"/>
      <c r="NFC354" s="513"/>
      <c r="NFD354" s="508"/>
      <c r="NFE354" s="513"/>
      <c r="NFF354" s="508"/>
      <c r="NFG354" s="513"/>
      <c r="NFH354" s="508"/>
      <c r="NFI354" s="513"/>
      <c r="NFJ354" s="508"/>
      <c r="NFK354" s="513"/>
      <c r="NFL354" s="508"/>
      <c r="NFM354" s="513"/>
      <c r="NFN354" s="508"/>
      <c r="NFO354" s="513"/>
      <c r="NFP354" s="508"/>
      <c r="NFQ354" s="513"/>
      <c r="NFR354" s="508"/>
      <c r="NFS354" s="513"/>
      <c r="NFT354" s="508"/>
      <c r="NFU354" s="513"/>
      <c r="NFV354" s="508"/>
      <c r="NFW354" s="513"/>
      <c r="NFX354" s="508"/>
      <c r="NFY354" s="513"/>
      <c r="NFZ354" s="508"/>
      <c r="NGA354" s="513"/>
      <c r="NGB354" s="508"/>
      <c r="NGC354" s="513"/>
      <c r="NGD354" s="508"/>
      <c r="NGE354" s="513"/>
      <c r="NGF354" s="508"/>
      <c r="NGG354" s="513"/>
      <c r="NGH354" s="508"/>
      <c r="NGI354" s="513"/>
      <c r="NGJ354" s="508"/>
      <c r="NGK354" s="513"/>
      <c r="NGL354" s="508"/>
      <c r="NGM354" s="513"/>
      <c r="NGN354" s="508"/>
      <c r="NGO354" s="513"/>
      <c r="NGP354" s="508"/>
      <c r="NGQ354" s="513"/>
      <c r="NGR354" s="508"/>
      <c r="NGS354" s="513"/>
      <c r="NGT354" s="508"/>
      <c r="NGU354" s="513"/>
      <c r="NGV354" s="508"/>
      <c r="NGW354" s="513"/>
      <c r="NGX354" s="508"/>
      <c r="NGY354" s="513"/>
      <c r="NGZ354" s="508"/>
      <c r="NHA354" s="513"/>
      <c r="NHB354" s="508"/>
      <c r="NHC354" s="513"/>
      <c r="NHD354" s="508"/>
      <c r="NHE354" s="513"/>
      <c r="NHF354" s="508"/>
      <c r="NHG354" s="513"/>
      <c r="NHH354" s="508"/>
      <c r="NHI354" s="513"/>
      <c r="NHJ354" s="508"/>
      <c r="NHK354" s="513"/>
      <c r="NHL354" s="508"/>
      <c r="NHM354" s="513"/>
      <c r="NHN354" s="508"/>
      <c r="NHO354" s="513"/>
      <c r="NHP354" s="508"/>
      <c r="NHQ354" s="513"/>
      <c r="NHR354" s="508"/>
      <c r="NHS354" s="513"/>
      <c r="NHT354" s="508"/>
      <c r="NHU354" s="513"/>
      <c r="NHV354" s="508"/>
      <c r="NHW354" s="513"/>
      <c r="NHX354" s="508"/>
      <c r="NHY354" s="513"/>
      <c r="NHZ354" s="508"/>
      <c r="NIA354" s="513"/>
      <c r="NIB354" s="508"/>
      <c r="NIC354" s="513"/>
      <c r="NID354" s="508"/>
      <c r="NIE354" s="513"/>
      <c r="NIF354" s="508"/>
      <c r="NIG354" s="513"/>
      <c r="NIH354" s="508"/>
      <c r="NII354" s="513"/>
      <c r="NIJ354" s="508"/>
      <c r="NIK354" s="513"/>
      <c r="NIL354" s="508"/>
      <c r="NIM354" s="513"/>
      <c r="NIN354" s="508"/>
      <c r="NIO354" s="513"/>
      <c r="NIP354" s="508"/>
      <c r="NIQ354" s="513"/>
      <c r="NIR354" s="508"/>
      <c r="NIS354" s="513"/>
      <c r="NIT354" s="508"/>
      <c r="NIU354" s="513"/>
      <c r="NIV354" s="508"/>
      <c r="NIW354" s="513"/>
      <c r="NIX354" s="508"/>
      <c r="NIY354" s="513"/>
      <c r="NIZ354" s="508"/>
      <c r="NJA354" s="513"/>
      <c r="NJB354" s="508"/>
      <c r="NJC354" s="513"/>
      <c r="NJD354" s="508"/>
      <c r="NJE354" s="513"/>
      <c r="NJF354" s="508"/>
      <c r="NJG354" s="513"/>
      <c r="NJH354" s="508"/>
      <c r="NJI354" s="513"/>
      <c r="NJJ354" s="508"/>
      <c r="NJK354" s="513"/>
      <c r="NJL354" s="508"/>
      <c r="NJM354" s="513"/>
      <c r="NJN354" s="508"/>
      <c r="NJO354" s="513"/>
      <c r="NJP354" s="508"/>
      <c r="NJQ354" s="513"/>
      <c r="NJR354" s="508"/>
      <c r="NJS354" s="513"/>
      <c r="NJT354" s="508"/>
      <c r="NJU354" s="513"/>
      <c r="NJV354" s="508"/>
      <c r="NJW354" s="513"/>
      <c r="NJX354" s="508"/>
      <c r="NJY354" s="513"/>
      <c r="NJZ354" s="508"/>
      <c r="NKA354" s="513"/>
      <c r="NKB354" s="508"/>
      <c r="NKC354" s="513"/>
      <c r="NKD354" s="508"/>
      <c r="NKE354" s="513"/>
      <c r="NKF354" s="508"/>
      <c r="NKG354" s="513"/>
      <c r="NKH354" s="508"/>
      <c r="NKI354" s="513"/>
      <c r="NKJ354" s="508"/>
      <c r="NKK354" s="513"/>
      <c r="NKL354" s="508"/>
      <c r="NKM354" s="513"/>
      <c r="NKN354" s="508"/>
      <c r="NKO354" s="513"/>
      <c r="NKP354" s="508"/>
      <c r="NKQ354" s="513"/>
      <c r="NKR354" s="508"/>
      <c r="NKS354" s="513"/>
      <c r="NKT354" s="508"/>
      <c r="NKU354" s="513"/>
      <c r="NKV354" s="508"/>
      <c r="NKW354" s="513"/>
      <c r="NKX354" s="508"/>
      <c r="NKY354" s="513"/>
      <c r="NKZ354" s="508"/>
      <c r="NLA354" s="513"/>
      <c r="NLB354" s="508"/>
      <c r="NLC354" s="513"/>
      <c r="NLD354" s="508"/>
      <c r="NLE354" s="513"/>
      <c r="NLF354" s="508"/>
      <c r="NLG354" s="513"/>
      <c r="NLH354" s="508"/>
      <c r="NLI354" s="513"/>
      <c r="NLJ354" s="508"/>
      <c r="NLK354" s="513"/>
      <c r="NLL354" s="508"/>
      <c r="NLM354" s="513"/>
      <c r="NLN354" s="508"/>
      <c r="NLO354" s="513"/>
      <c r="NLP354" s="508"/>
      <c r="NLQ354" s="513"/>
      <c r="NLR354" s="508"/>
      <c r="NLS354" s="513"/>
      <c r="NLT354" s="508"/>
      <c r="NLU354" s="513"/>
      <c r="NLV354" s="508"/>
      <c r="NLW354" s="513"/>
      <c r="NLX354" s="508"/>
      <c r="NLY354" s="513"/>
      <c r="NLZ354" s="508"/>
      <c r="NMA354" s="513"/>
      <c r="NMB354" s="508"/>
      <c r="NMC354" s="513"/>
      <c r="NMD354" s="508"/>
      <c r="NME354" s="513"/>
      <c r="NMF354" s="508"/>
      <c r="NMG354" s="513"/>
      <c r="NMH354" s="508"/>
      <c r="NMI354" s="513"/>
      <c r="NMJ354" s="508"/>
      <c r="NMK354" s="513"/>
      <c r="NML354" s="508"/>
      <c r="NMM354" s="513"/>
      <c r="NMN354" s="508"/>
      <c r="NMO354" s="513"/>
      <c r="NMP354" s="508"/>
      <c r="NMQ354" s="513"/>
      <c r="NMR354" s="508"/>
      <c r="NMS354" s="513"/>
      <c r="NMT354" s="508"/>
      <c r="NMU354" s="513"/>
      <c r="NMV354" s="508"/>
      <c r="NMW354" s="513"/>
      <c r="NMX354" s="508"/>
      <c r="NMY354" s="513"/>
      <c r="NMZ354" s="508"/>
      <c r="NNA354" s="513"/>
      <c r="NNB354" s="508"/>
      <c r="NNC354" s="513"/>
      <c r="NND354" s="508"/>
      <c r="NNE354" s="513"/>
      <c r="NNF354" s="508"/>
      <c r="NNG354" s="513"/>
      <c r="NNH354" s="508"/>
      <c r="NNI354" s="513"/>
      <c r="NNJ354" s="508"/>
      <c r="NNK354" s="513"/>
      <c r="NNL354" s="508"/>
      <c r="NNM354" s="513"/>
      <c r="NNN354" s="508"/>
      <c r="NNO354" s="513"/>
      <c r="NNP354" s="508"/>
      <c r="NNQ354" s="513"/>
      <c r="NNR354" s="508"/>
      <c r="NNS354" s="513"/>
      <c r="NNT354" s="508"/>
      <c r="NNU354" s="513"/>
      <c r="NNV354" s="508"/>
      <c r="NNW354" s="513"/>
      <c r="NNX354" s="508"/>
      <c r="NNY354" s="513"/>
      <c r="NNZ354" s="508"/>
      <c r="NOA354" s="513"/>
      <c r="NOB354" s="508"/>
      <c r="NOC354" s="513"/>
      <c r="NOD354" s="508"/>
      <c r="NOE354" s="513"/>
      <c r="NOF354" s="508"/>
      <c r="NOG354" s="513"/>
      <c r="NOH354" s="508"/>
      <c r="NOI354" s="513"/>
      <c r="NOJ354" s="508"/>
      <c r="NOK354" s="513"/>
      <c r="NOL354" s="508"/>
      <c r="NOM354" s="513"/>
      <c r="NON354" s="508"/>
      <c r="NOO354" s="513"/>
      <c r="NOP354" s="508"/>
      <c r="NOQ354" s="513"/>
      <c r="NOR354" s="508"/>
      <c r="NOS354" s="513"/>
      <c r="NOT354" s="508"/>
      <c r="NOU354" s="513"/>
      <c r="NOV354" s="508"/>
      <c r="NOW354" s="513"/>
      <c r="NOX354" s="508"/>
      <c r="NOY354" s="513"/>
      <c r="NOZ354" s="508"/>
      <c r="NPA354" s="513"/>
      <c r="NPB354" s="508"/>
      <c r="NPC354" s="513"/>
      <c r="NPD354" s="508"/>
      <c r="NPE354" s="513"/>
      <c r="NPF354" s="508"/>
      <c r="NPG354" s="513"/>
      <c r="NPH354" s="508"/>
      <c r="NPI354" s="513"/>
      <c r="NPJ354" s="508"/>
      <c r="NPK354" s="513"/>
      <c r="NPL354" s="508"/>
      <c r="NPM354" s="513"/>
      <c r="NPN354" s="508"/>
      <c r="NPO354" s="513"/>
      <c r="NPP354" s="508"/>
      <c r="NPQ354" s="513"/>
      <c r="NPR354" s="508"/>
      <c r="NPS354" s="513"/>
      <c r="NPT354" s="508"/>
      <c r="NPU354" s="513"/>
      <c r="NPV354" s="508"/>
      <c r="NPW354" s="513"/>
      <c r="NPX354" s="508"/>
      <c r="NPY354" s="513"/>
      <c r="NPZ354" s="508"/>
      <c r="NQA354" s="513"/>
      <c r="NQB354" s="508"/>
      <c r="NQC354" s="513"/>
      <c r="NQD354" s="508"/>
      <c r="NQE354" s="513"/>
      <c r="NQF354" s="508"/>
      <c r="NQG354" s="513"/>
      <c r="NQH354" s="508"/>
      <c r="NQI354" s="513"/>
      <c r="NQJ354" s="508"/>
      <c r="NQK354" s="513"/>
      <c r="NQL354" s="508"/>
      <c r="NQM354" s="513"/>
      <c r="NQN354" s="508"/>
      <c r="NQO354" s="513"/>
      <c r="NQP354" s="508"/>
      <c r="NQQ354" s="513"/>
      <c r="NQR354" s="508"/>
      <c r="NQS354" s="513"/>
      <c r="NQT354" s="508"/>
      <c r="NQU354" s="513"/>
      <c r="NQV354" s="508"/>
      <c r="NQW354" s="513"/>
      <c r="NQX354" s="508"/>
      <c r="NQY354" s="513"/>
      <c r="NQZ354" s="508"/>
      <c r="NRA354" s="513"/>
      <c r="NRB354" s="508"/>
      <c r="NRC354" s="513"/>
      <c r="NRD354" s="508"/>
      <c r="NRE354" s="513"/>
      <c r="NRF354" s="508"/>
      <c r="NRG354" s="513"/>
      <c r="NRH354" s="508"/>
      <c r="NRI354" s="513"/>
      <c r="NRJ354" s="508"/>
      <c r="NRK354" s="513"/>
      <c r="NRL354" s="508"/>
      <c r="NRM354" s="513"/>
      <c r="NRN354" s="508"/>
      <c r="NRO354" s="513"/>
      <c r="NRP354" s="508"/>
      <c r="NRQ354" s="513"/>
      <c r="NRR354" s="508"/>
      <c r="NRS354" s="513"/>
      <c r="NRT354" s="508"/>
      <c r="NRU354" s="513"/>
      <c r="NRV354" s="508"/>
      <c r="NRW354" s="513"/>
      <c r="NRX354" s="508"/>
      <c r="NRY354" s="513"/>
      <c r="NRZ354" s="508"/>
      <c r="NSA354" s="513"/>
      <c r="NSB354" s="508"/>
      <c r="NSC354" s="513"/>
      <c r="NSD354" s="508"/>
      <c r="NSE354" s="513"/>
      <c r="NSF354" s="508"/>
      <c r="NSG354" s="513"/>
      <c r="NSH354" s="508"/>
      <c r="NSI354" s="513"/>
      <c r="NSJ354" s="508"/>
      <c r="NSK354" s="513"/>
      <c r="NSL354" s="508"/>
      <c r="NSM354" s="513"/>
      <c r="NSN354" s="508"/>
      <c r="NSO354" s="513"/>
      <c r="NSP354" s="508"/>
      <c r="NSQ354" s="513"/>
      <c r="NSR354" s="508"/>
      <c r="NSS354" s="513"/>
      <c r="NST354" s="508"/>
      <c r="NSU354" s="513"/>
      <c r="NSV354" s="508"/>
      <c r="NSW354" s="513"/>
      <c r="NSX354" s="508"/>
      <c r="NSY354" s="513"/>
      <c r="NSZ354" s="508"/>
      <c r="NTA354" s="513"/>
      <c r="NTB354" s="508"/>
      <c r="NTC354" s="513"/>
      <c r="NTD354" s="508"/>
      <c r="NTE354" s="513"/>
      <c r="NTF354" s="508"/>
      <c r="NTG354" s="513"/>
      <c r="NTH354" s="508"/>
      <c r="NTI354" s="513"/>
      <c r="NTJ354" s="508"/>
      <c r="NTK354" s="513"/>
      <c r="NTL354" s="508"/>
      <c r="NTM354" s="513"/>
      <c r="NTN354" s="508"/>
      <c r="NTO354" s="513"/>
      <c r="NTP354" s="508"/>
      <c r="NTQ354" s="513"/>
      <c r="NTR354" s="508"/>
      <c r="NTS354" s="513"/>
      <c r="NTT354" s="508"/>
      <c r="NTU354" s="513"/>
      <c r="NTV354" s="508"/>
      <c r="NTW354" s="513"/>
      <c r="NTX354" s="508"/>
      <c r="NTY354" s="513"/>
      <c r="NTZ354" s="508"/>
      <c r="NUA354" s="513"/>
      <c r="NUB354" s="508"/>
      <c r="NUC354" s="513"/>
      <c r="NUD354" s="508"/>
      <c r="NUE354" s="513"/>
      <c r="NUF354" s="508"/>
      <c r="NUG354" s="513"/>
      <c r="NUH354" s="508"/>
      <c r="NUI354" s="513"/>
      <c r="NUJ354" s="508"/>
      <c r="NUK354" s="513"/>
      <c r="NUL354" s="508"/>
      <c r="NUM354" s="513"/>
      <c r="NUN354" s="508"/>
      <c r="NUO354" s="513"/>
      <c r="NUP354" s="508"/>
      <c r="NUQ354" s="513"/>
      <c r="NUR354" s="508"/>
      <c r="NUS354" s="513"/>
      <c r="NUT354" s="508"/>
      <c r="NUU354" s="513"/>
      <c r="NUV354" s="508"/>
      <c r="NUW354" s="513"/>
      <c r="NUX354" s="508"/>
      <c r="NUY354" s="513"/>
      <c r="NUZ354" s="508"/>
      <c r="NVA354" s="513"/>
      <c r="NVB354" s="508"/>
      <c r="NVC354" s="513"/>
      <c r="NVD354" s="508"/>
      <c r="NVE354" s="513"/>
      <c r="NVF354" s="508"/>
      <c r="NVG354" s="513"/>
      <c r="NVH354" s="508"/>
      <c r="NVI354" s="513"/>
      <c r="NVJ354" s="508"/>
      <c r="NVK354" s="513"/>
      <c r="NVL354" s="508"/>
      <c r="NVM354" s="513"/>
      <c r="NVN354" s="508"/>
      <c r="NVO354" s="513"/>
      <c r="NVP354" s="508"/>
      <c r="NVQ354" s="513"/>
      <c r="NVR354" s="508"/>
      <c r="NVS354" s="513"/>
      <c r="NVT354" s="508"/>
      <c r="NVU354" s="513"/>
      <c r="NVV354" s="508"/>
      <c r="NVW354" s="513"/>
      <c r="NVX354" s="508"/>
      <c r="NVY354" s="513"/>
      <c r="NVZ354" s="508"/>
      <c r="NWA354" s="513"/>
      <c r="NWB354" s="508"/>
      <c r="NWC354" s="513"/>
      <c r="NWD354" s="508"/>
      <c r="NWE354" s="513"/>
      <c r="NWF354" s="508"/>
      <c r="NWG354" s="513"/>
      <c r="NWH354" s="508"/>
      <c r="NWI354" s="513"/>
      <c r="NWJ354" s="508"/>
      <c r="NWK354" s="513"/>
      <c r="NWL354" s="508"/>
      <c r="NWM354" s="513"/>
      <c r="NWN354" s="508"/>
      <c r="NWO354" s="513"/>
      <c r="NWP354" s="508"/>
      <c r="NWQ354" s="513"/>
      <c r="NWR354" s="508"/>
      <c r="NWS354" s="513"/>
      <c r="NWT354" s="508"/>
      <c r="NWU354" s="513"/>
      <c r="NWV354" s="508"/>
      <c r="NWW354" s="513"/>
      <c r="NWX354" s="508"/>
      <c r="NWY354" s="513"/>
      <c r="NWZ354" s="508"/>
      <c r="NXA354" s="513"/>
      <c r="NXB354" s="508"/>
      <c r="NXC354" s="513"/>
      <c r="NXD354" s="508"/>
      <c r="NXE354" s="513"/>
      <c r="NXF354" s="508"/>
      <c r="NXG354" s="513"/>
      <c r="NXH354" s="508"/>
      <c r="NXI354" s="513"/>
      <c r="NXJ354" s="508"/>
      <c r="NXK354" s="513"/>
      <c r="NXL354" s="508"/>
      <c r="NXM354" s="513"/>
      <c r="NXN354" s="508"/>
      <c r="NXO354" s="513"/>
      <c r="NXP354" s="508"/>
      <c r="NXQ354" s="513"/>
      <c r="NXR354" s="508"/>
      <c r="NXS354" s="513"/>
      <c r="NXT354" s="508"/>
      <c r="NXU354" s="513"/>
      <c r="NXV354" s="508"/>
      <c r="NXW354" s="513"/>
      <c r="NXX354" s="508"/>
      <c r="NXY354" s="513"/>
      <c r="NXZ354" s="508"/>
      <c r="NYA354" s="513"/>
      <c r="NYB354" s="508"/>
      <c r="NYC354" s="513"/>
      <c r="NYD354" s="508"/>
      <c r="NYE354" s="513"/>
      <c r="NYF354" s="508"/>
      <c r="NYG354" s="513"/>
      <c r="NYH354" s="508"/>
      <c r="NYI354" s="513"/>
      <c r="NYJ354" s="508"/>
      <c r="NYK354" s="513"/>
      <c r="NYL354" s="508"/>
      <c r="NYM354" s="513"/>
      <c r="NYN354" s="508"/>
      <c r="NYO354" s="513"/>
      <c r="NYP354" s="508"/>
      <c r="NYQ354" s="513"/>
      <c r="NYR354" s="508"/>
      <c r="NYS354" s="513"/>
      <c r="NYT354" s="508"/>
      <c r="NYU354" s="513"/>
      <c r="NYV354" s="508"/>
      <c r="NYW354" s="513"/>
      <c r="NYX354" s="508"/>
      <c r="NYY354" s="513"/>
      <c r="NYZ354" s="508"/>
      <c r="NZA354" s="513"/>
      <c r="NZB354" s="508"/>
      <c r="NZC354" s="513"/>
      <c r="NZD354" s="508"/>
      <c r="NZE354" s="513"/>
      <c r="NZF354" s="508"/>
      <c r="NZG354" s="513"/>
      <c r="NZH354" s="508"/>
      <c r="NZI354" s="513"/>
      <c r="NZJ354" s="508"/>
      <c r="NZK354" s="513"/>
      <c r="NZL354" s="508"/>
      <c r="NZM354" s="513"/>
      <c r="NZN354" s="508"/>
      <c r="NZO354" s="513"/>
      <c r="NZP354" s="508"/>
      <c r="NZQ354" s="513"/>
      <c r="NZR354" s="508"/>
      <c r="NZS354" s="513"/>
      <c r="NZT354" s="508"/>
      <c r="NZU354" s="513"/>
      <c r="NZV354" s="508"/>
      <c r="NZW354" s="513"/>
      <c r="NZX354" s="508"/>
      <c r="NZY354" s="513"/>
      <c r="NZZ354" s="508"/>
      <c r="OAA354" s="513"/>
      <c r="OAB354" s="508"/>
      <c r="OAC354" s="513"/>
      <c r="OAD354" s="508"/>
      <c r="OAE354" s="513"/>
      <c r="OAF354" s="508"/>
      <c r="OAG354" s="513"/>
      <c r="OAH354" s="508"/>
      <c r="OAI354" s="513"/>
      <c r="OAJ354" s="508"/>
      <c r="OAK354" s="513"/>
      <c r="OAL354" s="508"/>
      <c r="OAM354" s="513"/>
      <c r="OAN354" s="508"/>
      <c r="OAO354" s="513"/>
      <c r="OAP354" s="508"/>
      <c r="OAQ354" s="513"/>
      <c r="OAR354" s="508"/>
      <c r="OAS354" s="513"/>
      <c r="OAT354" s="508"/>
      <c r="OAU354" s="513"/>
      <c r="OAV354" s="508"/>
      <c r="OAW354" s="513"/>
      <c r="OAX354" s="508"/>
      <c r="OAY354" s="513"/>
      <c r="OAZ354" s="508"/>
      <c r="OBA354" s="513"/>
      <c r="OBB354" s="508"/>
      <c r="OBC354" s="513"/>
      <c r="OBD354" s="508"/>
      <c r="OBE354" s="513"/>
      <c r="OBF354" s="508"/>
      <c r="OBG354" s="513"/>
      <c r="OBH354" s="508"/>
      <c r="OBI354" s="513"/>
      <c r="OBJ354" s="508"/>
      <c r="OBK354" s="513"/>
      <c r="OBL354" s="508"/>
      <c r="OBM354" s="513"/>
      <c r="OBN354" s="508"/>
      <c r="OBO354" s="513"/>
      <c r="OBP354" s="508"/>
      <c r="OBQ354" s="513"/>
      <c r="OBR354" s="508"/>
      <c r="OBS354" s="513"/>
      <c r="OBT354" s="508"/>
      <c r="OBU354" s="513"/>
      <c r="OBV354" s="508"/>
      <c r="OBW354" s="513"/>
      <c r="OBX354" s="508"/>
      <c r="OBY354" s="513"/>
      <c r="OBZ354" s="508"/>
      <c r="OCA354" s="513"/>
      <c r="OCB354" s="508"/>
      <c r="OCC354" s="513"/>
      <c r="OCD354" s="508"/>
      <c r="OCE354" s="513"/>
      <c r="OCF354" s="508"/>
      <c r="OCG354" s="513"/>
      <c r="OCH354" s="508"/>
      <c r="OCI354" s="513"/>
      <c r="OCJ354" s="508"/>
      <c r="OCK354" s="513"/>
      <c r="OCL354" s="508"/>
      <c r="OCM354" s="513"/>
      <c r="OCN354" s="508"/>
      <c r="OCO354" s="513"/>
      <c r="OCP354" s="508"/>
      <c r="OCQ354" s="513"/>
      <c r="OCR354" s="508"/>
      <c r="OCS354" s="513"/>
      <c r="OCT354" s="508"/>
      <c r="OCU354" s="513"/>
      <c r="OCV354" s="508"/>
      <c r="OCW354" s="513"/>
      <c r="OCX354" s="508"/>
      <c r="OCY354" s="513"/>
      <c r="OCZ354" s="508"/>
      <c r="ODA354" s="513"/>
      <c r="ODB354" s="508"/>
      <c r="ODC354" s="513"/>
      <c r="ODD354" s="508"/>
      <c r="ODE354" s="513"/>
      <c r="ODF354" s="508"/>
      <c r="ODG354" s="513"/>
      <c r="ODH354" s="508"/>
      <c r="ODI354" s="513"/>
      <c r="ODJ354" s="508"/>
      <c r="ODK354" s="513"/>
      <c r="ODL354" s="508"/>
      <c r="ODM354" s="513"/>
      <c r="ODN354" s="508"/>
      <c r="ODO354" s="513"/>
      <c r="ODP354" s="508"/>
      <c r="ODQ354" s="513"/>
      <c r="ODR354" s="508"/>
      <c r="ODS354" s="513"/>
      <c r="ODT354" s="508"/>
      <c r="ODU354" s="513"/>
      <c r="ODV354" s="508"/>
      <c r="ODW354" s="513"/>
      <c r="ODX354" s="508"/>
      <c r="ODY354" s="513"/>
      <c r="ODZ354" s="508"/>
      <c r="OEA354" s="513"/>
      <c r="OEB354" s="508"/>
      <c r="OEC354" s="513"/>
      <c r="OED354" s="508"/>
      <c r="OEE354" s="513"/>
      <c r="OEF354" s="508"/>
      <c r="OEG354" s="513"/>
      <c r="OEH354" s="508"/>
      <c r="OEI354" s="513"/>
      <c r="OEJ354" s="508"/>
      <c r="OEK354" s="513"/>
      <c r="OEL354" s="508"/>
      <c r="OEM354" s="513"/>
      <c r="OEN354" s="508"/>
      <c r="OEO354" s="513"/>
      <c r="OEP354" s="508"/>
      <c r="OEQ354" s="513"/>
      <c r="OER354" s="508"/>
      <c r="OES354" s="513"/>
      <c r="OET354" s="508"/>
      <c r="OEU354" s="513"/>
      <c r="OEV354" s="508"/>
      <c r="OEW354" s="513"/>
      <c r="OEX354" s="508"/>
      <c r="OEY354" s="513"/>
      <c r="OEZ354" s="508"/>
      <c r="OFA354" s="513"/>
      <c r="OFB354" s="508"/>
      <c r="OFC354" s="513"/>
      <c r="OFD354" s="508"/>
      <c r="OFE354" s="513"/>
      <c r="OFF354" s="508"/>
      <c r="OFG354" s="513"/>
      <c r="OFH354" s="508"/>
      <c r="OFI354" s="513"/>
      <c r="OFJ354" s="508"/>
      <c r="OFK354" s="513"/>
      <c r="OFL354" s="508"/>
      <c r="OFM354" s="513"/>
      <c r="OFN354" s="508"/>
      <c r="OFO354" s="513"/>
      <c r="OFP354" s="508"/>
      <c r="OFQ354" s="513"/>
      <c r="OFR354" s="508"/>
      <c r="OFS354" s="513"/>
      <c r="OFT354" s="508"/>
      <c r="OFU354" s="513"/>
      <c r="OFV354" s="508"/>
      <c r="OFW354" s="513"/>
      <c r="OFX354" s="508"/>
      <c r="OFY354" s="513"/>
      <c r="OFZ354" s="508"/>
      <c r="OGA354" s="513"/>
      <c r="OGB354" s="508"/>
      <c r="OGC354" s="513"/>
      <c r="OGD354" s="508"/>
      <c r="OGE354" s="513"/>
      <c r="OGF354" s="508"/>
      <c r="OGG354" s="513"/>
      <c r="OGH354" s="508"/>
      <c r="OGI354" s="513"/>
      <c r="OGJ354" s="508"/>
      <c r="OGK354" s="513"/>
      <c r="OGL354" s="508"/>
      <c r="OGM354" s="513"/>
      <c r="OGN354" s="508"/>
      <c r="OGO354" s="513"/>
      <c r="OGP354" s="508"/>
      <c r="OGQ354" s="513"/>
      <c r="OGR354" s="508"/>
      <c r="OGS354" s="513"/>
      <c r="OGT354" s="508"/>
      <c r="OGU354" s="513"/>
      <c r="OGV354" s="508"/>
      <c r="OGW354" s="513"/>
      <c r="OGX354" s="508"/>
      <c r="OGY354" s="513"/>
      <c r="OGZ354" s="508"/>
      <c r="OHA354" s="513"/>
      <c r="OHB354" s="508"/>
      <c r="OHC354" s="513"/>
      <c r="OHD354" s="508"/>
      <c r="OHE354" s="513"/>
      <c r="OHF354" s="508"/>
      <c r="OHG354" s="513"/>
      <c r="OHH354" s="508"/>
      <c r="OHI354" s="513"/>
      <c r="OHJ354" s="508"/>
      <c r="OHK354" s="513"/>
      <c r="OHL354" s="508"/>
      <c r="OHM354" s="513"/>
      <c r="OHN354" s="508"/>
      <c r="OHO354" s="513"/>
      <c r="OHP354" s="508"/>
      <c r="OHQ354" s="513"/>
      <c r="OHR354" s="508"/>
      <c r="OHS354" s="513"/>
      <c r="OHT354" s="508"/>
      <c r="OHU354" s="513"/>
      <c r="OHV354" s="508"/>
      <c r="OHW354" s="513"/>
      <c r="OHX354" s="508"/>
      <c r="OHY354" s="513"/>
      <c r="OHZ354" s="508"/>
      <c r="OIA354" s="513"/>
      <c r="OIB354" s="508"/>
      <c r="OIC354" s="513"/>
      <c r="OID354" s="508"/>
      <c r="OIE354" s="513"/>
      <c r="OIF354" s="508"/>
      <c r="OIG354" s="513"/>
      <c r="OIH354" s="508"/>
      <c r="OII354" s="513"/>
      <c r="OIJ354" s="508"/>
      <c r="OIK354" s="513"/>
      <c r="OIL354" s="508"/>
      <c r="OIM354" s="513"/>
      <c r="OIN354" s="508"/>
      <c r="OIO354" s="513"/>
      <c r="OIP354" s="508"/>
      <c r="OIQ354" s="513"/>
      <c r="OIR354" s="508"/>
      <c r="OIS354" s="513"/>
      <c r="OIT354" s="508"/>
      <c r="OIU354" s="513"/>
      <c r="OIV354" s="508"/>
      <c r="OIW354" s="513"/>
      <c r="OIX354" s="508"/>
      <c r="OIY354" s="513"/>
      <c r="OIZ354" s="508"/>
      <c r="OJA354" s="513"/>
      <c r="OJB354" s="508"/>
      <c r="OJC354" s="513"/>
      <c r="OJD354" s="508"/>
      <c r="OJE354" s="513"/>
      <c r="OJF354" s="508"/>
      <c r="OJG354" s="513"/>
      <c r="OJH354" s="508"/>
      <c r="OJI354" s="513"/>
      <c r="OJJ354" s="508"/>
      <c r="OJK354" s="513"/>
      <c r="OJL354" s="508"/>
      <c r="OJM354" s="513"/>
      <c r="OJN354" s="508"/>
      <c r="OJO354" s="513"/>
      <c r="OJP354" s="508"/>
      <c r="OJQ354" s="513"/>
      <c r="OJR354" s="508"/>
      <c r="OJS354" s="513"/>
      <c r="OJT354" s="508"/>
      <c r="OJU354" s="513"/>
      <c r="OJV354" s="508"/>
      <c r="OJW354" s="513"/>
      <c r="OJX354" s="508"/>
      <c r="OJY354" s="513"/>
      <c r="OJZ354" s="508"/>
      <c r="OKA354" s="513"/>
      <c r="OKB354" s="508"/>
      <c r="OKC354" s="513"/>
      <c r="OKD354" s="508"/>
      <c r="OKE354" s="513"/>
      <c r="OKF354" s="508"/>
      <c r="OKG354" s="513"/>
      <c r="OKH354" s="508"/>
      <c r="OKI354" s="513"/>
      <c r="OKJ354" s="508"/>
      <c r="OKK354" s="513"/>
      <c r="OKL354" s="508"/>
      <c r="OKM354" s="513"/>
      <c r="OKN354" s="508"/>
      <c r="OKO354" s="513"/>
      <c r="OKP354" s="508"/>
      <c r="OKQ354" s="513"/>
      <c r="OKR354" s="508"/>
      <c r="OKS354" s="513"/>
      <c r="OKT354" s="508"/>
      <c r="OKU354" s="513"/>
      <c r="OKV354" s="508"/>
      <c r="OKW354" s="513"/>
      <c r="OKX354" s="508"/>
      <c r="OKY354" s="513"/>
      <c r="OKZ354" s="508"/>
      <c r="OLA354" s="513"/>
      <c r="OLB354" s="508"/>
      <c r="OLC354" s="513"/>
      <c r="OLD354" s="508"/>
      <c r="OLE354" s="513"/>
      <c r="OLF354" s="508"/>
      <c r="OLG354" s="513"/>
      <c r="OLH354" s="508"/>
      <c r="OLI354" s="513"/>
      <c r="OLJ354" s="508"/>
      <c r="OLK354" s="513"/>
      <c r="OLL354" s="508"/>
      <c r="OLM354" s="513"/>
      <c r="OLN354" s="508"/>
      <c r="OLO354" s="513"/>
      <c r="OLP354" s="508"/>
      <c r="OLQ354" s="513"/>
      <c r="OLR354" s="508"/>
      <c r="OLS354" s="513"/>
      <c r="OLT354" s="508"/>
      <c r="OLU354" s="513"/>
      <c r="OLV354" s="508"/>
      <c r="OLW354" s="513"/>
      <c r="OLX354" s="508"/>
      <c r="OLY354" s="513"/>
      <c r="OLZ354" s="508"/>
      <c r="OMA354" s="513"/>
      <c r="OMB354" s="508"/>
      <c r="OMC354" s="513"/>
      <c r="OMD354" s="508"/>
      <c r="OME354" s="513"/>
      <c r="OMF354" s="508"/>
      <c r="OMG354" s="513"/>
      <c r="OMH354" s="508"/>
      <c r="OMI354" s="513"/>
      <c r="OMJ354" s="508"/>
      <c r="OMK354" s="513"/>
      <c r="OML354" s="508"/>
      <c r="OMM354" s="513"/>
      <c r="OMN354" s="508"/>
      <c r="OMO354" s="513"/>
      <c r="OMP354" s="508"/>
      <c r="OMQ354" s="513"/>
      <c r="OMR354" s="508"/>
      <c r="OMS354" s="513"/>
      <c r="OMT354" s="508"/>
      <c r="OMU354" s="513"/>
      <c r="OMV354" s="508"/>
      <c r="OMW354" s="513"/>
      <c r="OMX354" s="508"/>
      <c r="OMY354" s="513"/>
      <c r="OMZ354" s="508"/>
      <c r="ONA354" s="513"/>
      <c r="ONB354" s="508"/>
      <c r="ONC354" s="513"/>
      <c r="OND354" s="508"/>
      <c r="ONE354" s="513"/>
      <c r="ONF354" s="508"/>
      <c r="ONG354" s="513"/>
      <c r="ONH354" s="508"/>
      <c r="ONI354" s="513"/>
      <c r="ONJ354" s="508"/>
      <c r="ONK354" s="513"/>
      <c r="ONL354" s="508"/>
      <c r="ONM354" s="513"/>
      <c r="ONN354" s="508"/>
      <c r="ONO354" s="513"/>
      <c r="ONP354" s="508"/>
      <c r="ONQ354" s="513"/>
      <c r="ONR354" s="508"/>
      <c r="ONS354" s="513"/>
      <c r="ONT354" s="508"/>
      <c r="ONU354" s="513"/>
      <c r="ONV354" s="508"/>
      <c r="ONW354" s="513"/>
      <c r="ONX354" s="508"/>
      <c r="ONY354" s="513"/>
      <c r="ONZ354" s="508"/>
      <c r="OOA354" s="513"/>
      <c r="OOB354" s="508"/>
      <c r="OOC354" s="513"/>
      <c r="OOD354" s="508"/>
      <c r="OOE354" s="513"/>
      <c r="OOF354" s="508"/>
      <c r="OOG354" s="513"/>
      <c r="OOH354" s="508"/>
      <c r="OOI354" s="513"/>
      <c r="OOJ354" s="508"/>
      <c r="OOK354" s="513"/>
      <c r="OOL354" s="508"/>
      <c r="OOM354" s="513"/>
      <c r="OON354" s="508"/>
      <c r="OOO354" s="513"/>
      <c r="OOP354" s="508"/>
      <c r="OOQ354" s="513"/>
      <c r="OOR354" s="508"/>
      <c r="OOS354" s="513"/>
      <c r="OOT354" s="508"/>
      <c r="OOU354" s="513"/>
      <c r="OOV354" s="508"/>
      <c r="OOW354" s="513"/>
      <c r="OOX354" s="508"/>
      <c r="OOY354" s="513"/>
      <c r="OOZ354" s="508"/>
      <c r="OPA354" s="513"/>
      <c r="OPB354" s="508"/>
      <c r="OPC354" s="513"/>
      <c r="OPD354" s="508"/>
      <c r="OPE354" s="513"/>
      <c r="OPF354" s="508"/>
      <c r="OPG354" s="513"/>
      <c r="OPH354" s="508"/>
      <c r="OPI354" s="513"/>
      <c r="OPJ354" s="508"/>
      <c r="OPK354" s="513"/>
      <c r="OPL354" s="508"/>
      <c r="OPM354" s="513"/>
      <c r="OPN354" s="508"/>
      <c r="OPO354" s="513"/>
      <c r="OPP354" s="508"/>
      <c r="OPQ354" s="513"/>
      <c r="OPR354" s="508"/>
      <c r="OPS354" s="513"/>
      <c r="OPT354" s="508"/>
      <c r="OPU354" s="513"/>
      <c r="OPV354" s="508"/>
      <c r="OPW354" s="513"/>
      <c r="OPX354" s="508"/>
      <c r="OPY354" s="513"/>
      <c r="OPZ354" s="508"/>
      <c r="OQA354" s="513"/>
      <c r="OQB354" s="508"/>
      <c r="OQC354" s="513"/>
      <c r="OQD354" s="508"/>
      <c r="OQE354" s="513"/>
      <c r="OQF354" s="508"/>
      <c r="OQG354" s="513"/>
      <c r="OQH354" s="508"/>
      <c r="OQI354" s="513"/>
      <c r="OQJ354" s="508"/>
      <c r="OQK354" s="513"/>
      <c r="OQL354" s="508"/>
      <c r="OQM354" s="513"/>
      <c r="OQN354" s="508"/>
      <c r="OQO354" s="513"/>
      <c r="OQP354" s="508"/>
      <c r="OQQ354" s="513"/>
      <c r="OQR354" s="508"/>
      <c r="OQS354" s="513"/>
      <c r="OQT354" s="508"/>
      <c r="OQU354" s="513"/>
      <c r="OQV354" s="508"/>
      <c r="OQW354" s="513"/>
      <c r="OQX354" s="508"/>
      <c r="OQY354" s="513"/>
      <c r="OQZ354" s="508"/>
      <c r="ORA354" s="513"/>
      <c r="ORB354" s="508"/>
      <c r="ORC354" s="513"/>
      <c r="ORD354" s="508"/>
      <c r="ORE354" s="513"/>
      <c r="ORF354" s="508"/>
      <c r="ORG354" s="513"/>
      <c r="ORH354" s="508"/>
      <c r="ORI354" s="513"/>
      <c r="ORJ354" s="508"/>
      <c r="ORK354" s="513"/>
      <c r="ORL354" s="508"/>
      <c r="ORM354" s="513"/>
      <c r="ORN354" s="508"/>
      <c r="ORO354" s="513"/>
      <c r="ORP354" s="508"/>
      <c r="ORQ354" s="513"/>
      <c r="ORR354" s="508"/>
      <c r="ORS354" s="513"/>
      <c r="ORT354" s="508"/>
      <c r="ORU354" s="513"/>
      <c r="ORV354" s="508"/>
      <c r="ORW354" s="513"/>
      <c r="ORX354" s="508"/>
      <c r="ORY354" s="513"/>
      <c r="ORZ354" s="508"/>
      <c r="OSA354" s="513"/>
      <c r="OSB354" s="508"/>
      <c r="OSC354" s="513"/>
      <c r="OSD354" s="508"/>
      <c r="OSE354" s="513"/>
      <c r="OSF354" s="508"/>
      <c r="OSG354" s="513"/>
      <c r="OSH354" s="508"/>
      <c r="OSI354" s="513"/>
      <c r="OSJ354" s="508"/>
      <c r="OSK354" s="513"/>
      <c r="OSL354" s="508"/>
      <c r="OSM354" s="513"/>
      <c r="OSN354" s="508"/>
      <c r="OSO354" s="513"/>
      <c r="OSP354" s="508"/>
      <c r="OSQ354" s="513"/>
      <c r="OSR354" s="508"/>
      <c r="OSS354" s="513"/>
      <c r="OST354" s="508"/>
      <c r="OSU354" s="513"/>
      <c r="OSV354" s="508"/>
      <c r="OSW354" s="513"/>
      <c r="OSX354" s="508"/>
      <c r="OSY354" s="513"/>
      <c r="OSZ354" s="508"/>
      <c r="OTA354" s="513"/>
      <c r="OTB354" s="508"/>
      <c r="OTC354" s="513"/>
      <c r="OTD354" s="508"/>
      <c r="OTE354" s="513"/>
      <c r="OTF354" s="508"/>
      <c r="OTG354" s="513"/>
      <c r="OTH354" s="508"/>
      <c r="OTI354" s="513"/>
      <c r="OTJ354" s="508"/>
      <c r="OTK354" s="513"/>
      <c r="OTL354" s="508"/>
      <c r="OTM354" s="513"/>
      <c r="OTN354" s="508"/>
      <c r="OTO354" s="513"/>
      <c r="OTP354" s="508"/>
      <c r="OTQ354" s="513"/>
      <c r="OTR354" s="508"/>
      <c r="OTS354" s="513"/>
      <c r="OTT354" s="508"/>
      <c r="OTU354" s="513"/>
      <c r="OTV354" s="508"/>
      <c r="OTW354" s="513"/>
      <c r="OTX354" s="508"/>
      <c r="OTY354" s="513"/>
      <c r="OTZ354" s="508"/>
      <c r="OUA354" s="513"/>
      <c r="OUB354" s="508"/>
      <c r="OUC354" s="513"/>
      <c r="OUD354" s="508"/>
      <c r="OUE354" s="513"/>
      <c r="OUF354" s="508"/>
      <c r="OUG354" s="513"/>
      <c r="OUH354" s="508"/>
      <c r="OUI354" s="513"/>
      <c r="OUJ354" s="508"/>
      <c r="OUK354" s="513"/>
      <c r="OUL354" s="508"/>
      <c r="OUM354" s="513"/>
      <c r="OUN354" s="508"/>
      <c r="OUO354" s="513"/>
      <c r="OUP354" s="508"/>
      <c r="OUQ354" s="513"/>
      <c r="OUR354" s="508"/>
      <c r="OUS354" s="513"/>
      <c r="OUT354" s="508"/>
      <c r="OUU354" s="513"/>
      <c r="OUV354" s="508"/>
      <c r="OUW354" s="513"/>
      <c r="OUX354" s="508"/>
      <c r="OUY354" s="513"/>
      <c r="OUZ354" s="508"/>
      <c r="OVA354" s="513"/>
      <c r="OVB354" s="508"/>
      <c r="OVC354" s="513"/>
      <c r="OVD354" s="508"/>
      <c r="OVE354" s="513"/>
      <c r="OVF354" s="508"/>
      <c r="OVG354" s="513"/>
      <c r="OVH354" s="508"/>
      <c r="OVI354" s="513"/>
      <c r="OVJ354" s="508"/>
      <c r="OVK354" s="513"/>
      <c r="OVL354" s="508"/>
      <c r="OVM354" s="513"/>
      <c r="OVN354" s="508"/>
      <c r="OVO354" s="513"/>
      <c r="OVP354" s="508"/>
      <c r="OVQ354" s="513"/>
      <c r="OVR354" s="508"/>
      <c r="OVS354" s="513"/>
      <c r="OVT354" s="508"/>
      <c r="OVU354" s="513"/>
      <c r="OVV354" s="508"/>
      <c r="OVW354" s="513"/>
      <c r="OVX354" s="508"/>
      <c r="OVY354" s="513"/>
      <c r="OVZ354" s="508"/>
      <c r="OWA354" s="513"/>
      <c r="OWB354" s="508"/>
      <c r="OWC354" s="513"/>
      <c r="OWD354" s="508"/>
      <c r="OWE354" s="513"/>
      <c r="OWF354" s="508"/>
      <c r="OWG354" s="513"/>
      <c r="OWH354" s="508"/>
      <c r="OWI354" s="513"/>
      <c r="OWJ354" s="508"/>
      <c r="OWK354" s="513"/>
      <c r="OWL354" s="508"/>
      <c r="OWM354" s="513"/>
      <c r="OWN354" s="508"/>
      <c r="OWO354" s="513"/>
      <c r="OWP354" s="508"/>
      <c r="OWQ354" s="513"/>
      <c r="OWR354" s="508"/>
      <c r="OWS354" s="513"/>
      <c r="OWT354" s="508"/>
      <c r="OWU354" s="513"/>
      <c r="OWV354" s="508"/>
      <c r="OWW354" s="513"/>
      <c r="OWX354" s="508"/>
      <c r="OWY354" s="513"/>
      <c r="OWZ354" s="508"/>
      <c r="OXA354" s="513"/>
      <c r="OXB354" s="508"/>
      <c r="OXC354" s="513"/>
      <c r="OXD354" s="508"/>
      <c r="OXE354" s="513"/>
      <c r="OXF354" s="508"/>
      <c r="OXG354" s="513"/>
      <c r="OXH354" s="508"/>
      <c r="OXI354" s="513"/>
      <c r="OXJ354" s="508"/>
      <c r="OXK354" s="513"/>
      <c r="OXL354" s="508"/>
      <c r="OXM354" s="513"/>
      <c r="OXN354" s="508"/>
      <c r="OXO354" s="513"/>
      <c r="OXP354" s="508"/>
      <c r="OXQ354" s="513"/>
      <c r="OXR354" s="508"/>
      <c r="OXS354" s="513"/>
      <c r="OXT354" s="508"/>
      <c r="OXU354" s="513"/>
      <c r="OXV354" s="508"/>
      <c r="OXW354" s="513"/>
      <c r="OXX354" s="508"/>
      <c r="OXY354" s="513"/>
      <c r="OXZ354" s="508"/>
      <c r="OYA354" s="513"/>
      <c r="OYB354" s="508"/>
      <c r="OYC354" s="513"/>
      <c r="OYD354" s="508"/>
      <c r="OYE354" s="513"/>
      <c r="OYF354" s="508"/>
      <c r="OYG354" s="513"/>
      <c r="OYH354" s="508"/>
      <c r="OYI354" s="513"/>
      <c r="OYJ354" s="508"/>
      <c r="OYK354" s="513"/>
      <c r="OYL354" s="508"/>
      <c r="OYM354" s="513"/>
      <c r="OYN354" s="508"/>
      <c r="OYO354" s="513"/>
      <c r="OYP354" s="508"/>
      <c r="OYQ354" s="513"/>
      <c r="OYR354" s="508"/>
      <c r="OYS354" s="513"/>
      <c r="OYT354" s="508"/>
      <c r="OYU354" s="513"/>
      <c r="OYV354" s="508"/>
      <c r="OYW354" s="513"/>
      <c r="OYX354" s="508"/>
      <c r="OYY354" s="513"/>
      <c r="OYZ354" s="508"/>
      <c r="OZA354" s="513"/>
      <c r="OZB354" s="508"/>
      <c r="OZC354" s="513"/>
      <c r="OZD354" s="508"/>
      <c r="OZE354" s="513"/>
      <c r="OZF354" s="508"/>
      <c r="OZG354" s="513"/>
      <c r="OZH354" s="508"/>
      <c r="OZI354" s="513"/>
      <c r="OZJ354" s="508"/>
      <c r="OZK354" s="513"/>
      <c r="OZL354" s="508"/>
      <c r="OZM354" s="513"/>
      <c r="OZN354" s="508"/>
      <c r="OZO354" s="513"/>
      <c r="OZP354" s="508"/>
      <c r="OZQ354" s="513"/>
      <c r="OZR354" s="508"/>
      <c r="OZS354" s="513"/>
      <c r="OZT354" s="508"/>
      <c r="OZU354" s="513"/>
      <c r="OZV354" s="508"/>
      <c r="OZW354" s="513"/>
      <c r="OZX354" s="508"/>
      <c r="OZY354" s="513"/>
      <c r="OZZ354" s="508"/>
      <c r="PAA354" s="513"/>
      <c r="PAB354" s="508"/>
      <c r="PAC354" s="513"/>
      <c r="PAD354" s="508"/>
      <c r="PAE354" s="513"/>
      <c r="PAF354" s="508"/>
      <c r="PAG354" s="513"/>
      <c r="PAH354" s="508"/>
      <c r="PAI354" s="513"/>
      <c r="PAJ354" s="508"/>
      <c r="PAK354" s="513"/>
      <c r="PAL354" s="508"/>
      <c r="PAM354" s="513"/>
      <c r="PAN354" s="508"/>
      <c r="PAO354" s="513"/>
      <c r="PAP354" s="508"/>
      <c r="PAQ354" s="513"/>
      <c r="PAR354" s="508"/>
      <c r="PAS354" s="513"/>
      <c r="PAT354" s="508"/>
      <c r="PAU354" s="513"/>
      <c r="PAV354" s="508"/>
      <c r="PAW354" s="513"/>
      <c r="PAX354" s="508"/>
      <c r="PAY354" s="513"/>
      <c r="PAZ354" s="508"/>
      <c r="PBA354" s="513"/>
      <c r="PBB354" s="508"/>
      <c r="PBC354" s="513"/>
      <c r="PBD354" s="508"/>
      <c r="PBE354" s="513"/>
      <c r="PBF354" s="508"/>
      <c r="PBG354" s="513"/>
      <c r="PBH354" s="508"/>
      <c r="PBI354" s="513"/>
      <c r="PBJ354" s="508"/>
      <c r="PBK354" s="513"/>
      <c r="PBL354" s="508"/>
      <c r="PBM354" s="513"/>
      <c r="PBN354" s="508"/>
      <c r="PBO354" s="513"/>
      <c r="PBP354" s="508"/>
      <c r="PBQ354" s="513"/>
      <c r="PBR354" s="508"/>
      <c r="PBS354" s="513"/>
      <c r="PBT354" s="508"/>
      <c r="PBU354" s="513"/>
      <c r="PBV354" s="508"/>
      <c r="PBW354" s="513"/>
      <c r="PBX354" s="508"/>
      <c r="PBY354" s="513"/>
      <c r="PBZ354" s="508"/>
      <c r="PCA354" s="513"/>
      <c r="PCB354" s="508"/>
      <c r="PCC354" s="513"/>
      <c r="PCD354" s="508"/>
      <c r="PCE354" s="513"/>
      <c r="PCF354" s="508"/>
      <c r="PCG354" s="513"/>
      <c r="PCH354" s="508"/>
      <c r="PCI354" s="513"/>
      <c r="PCJ354" s="508"/>
      <c r="PCK354" s="513"/>
      <c r="PCL354" s="508"/>
      <c r="PCM354" s="513"/>
      <c r="PCN354" s="508"/>
      <c r="PCO354" s="513"/>
      <c r="PCP354" s="508"/>
      <c r="PCQ354" s="513"/>
      <c r="PCR354" s="508"/>
      <c r="PCS354" s="513"/>
      <c r="PCT354" s="508"/>
      <c r="PCU354" s="513"/>
      <c r="PCV354" s="508"/>
      <c r="PCW354" s="513"/>
      <c r="PCX354" s="508"/>
      <c r="PCY354" s="513"/>
      <c r="PCZ354" s="508"/>
      <c r="PDA354" s="513"/>
      <c r="PDB354" s="508"/>
      <c r="PDC354" s="513"/>
      <c r="PDD354" s="508"/>
      <c r="PDE354" s="513"/>
      <c r="PDF354" s="508"/>
      <c r="PDG354" s="513"/>
      <c r="PDH354" s="508"/>
      <c r="PDI354" s="513"/>
      <c r="PDJ354" s="508"/>
      <c r="PDK354" s="513"/>
      <c r="PDL354" s="508"/>
      <c r="PDM354" s="513"/>
      <c r="PDN354" s="508"/>
      <c r="PDO354" s="513"/>
      <c r="PDP354" s="508"/>
      <c r="PDQ354" s="513"/>
      <c r="PDR354" s="508"/>
      <c r="PDS354" s="513"/>
      <c r="PDT354" s="508"/>
      <c r="PDU354" s="513"/>
      <c r="PDV354" s="508"/>
      <c r="PDW354" s="513"/>
      <c r="PDX354" s="508"/>
      <c r="PDY354" s="513"/>
      <c r="PDZ354" s="508"/>
      <c r="PEA354" s="513"/>
      <c r="PEB354" s="508"/>
      <c r="PEC354" s="513"/>
      <c r="PED354" s="508"/>
      <c r="PEE354" s="513"/>
      <c r="PEF354" s="508"/>
      <c r="PEG354" s="513"/>
      <c r="PEH354" s="508"/>
      <c r="PEI354" s="513"/>
      <c r="PEJ354" s="508"/>
      <c r="PEK354" s="513"/>
      <c r="PEL354" s="508"/>
      <c r="PEM354" s="513"/>
      <c r="PEN354" s="508"/>
      <c r="PEO354" s="513"/>
      <c r="PEP354" s="508"/>
      <c r="PEQ354" s="513"/>
      <c r="PER354" s="508"/>
      <c r="PES354" s="513"/>
      <c r="PET354" s="508"/>
      <c r="PEU354" s="513"/>
      <c r="PEV354" s="508"/>
      <c r="PEW354" s="513"/>
      <c r="PEX354" s="508"/>
      <c r="PEY354" s="513"/>
      <c r="PEZ354" s="508"/>
      <c r="PFA354" s="513"/>
      <c r="PFB354" s="508"/>
      <c r="PFC354" s="513"/>
      <c r="PFD354" s="508"/>
      <c r="PFE354" s="513"/>
      <c r="PFF354" s="508"/>
      <c r="PFG354" s="513"/>
      <c r="PFH354" s="508"/>
      <c r="PFI354" s="513"/>
      <c r="PFJ354" s="508"/>
      <c r="PFK354" s="513"/>
      <c r="PFL354" s="508"/>
      <c r="PFM354" s="513"/>
      <c r="PFN354" s="508"/>
      <c r="PFO354" s="513"/>
      <c r="PFP354" s="508"/>
      <c r="PFQ354" s="513"/>
      <c r="PFR354" s="508"/>
      <c r="PFS354" s="513"/>
      <c r="PFT354" s="508"/>
      <c r="PFU354" s="513"/>
      <c r="PFV354" s="508"/>
      <c r="PFW354" s="513"/>
      <c r="PFX354" s="508"/>
      <c r="PFY354" s="513"/>
      <c r="PFZ354" s="508"/>
      <c r="PGA354" s="513"/>
      <c r="PGB354" s="508"/>
      <c r="PGC354" s="513"/>
      <c r="PGD354" s="508"/>
      <c r="PGE354" s="513"/>
      <c r="PGF354" s="508"/>
      <c r="PGG354" s="513"/>
      <c r="PGH354" s="508"/>
      <c r="PGI354" s="513"/>
      <c r="PGJ354" s="508"/>
      <c r="PGK354" s="513"/>
      <c r="PGL354" s="508"/>
      <c r="PGM354" s="513"/>
      <c r="PGN354" s="508"/>
      <c r="PGO354" s="513"/>
      <c r="PGP354" s="508"/>
      <c r="PGQ354" s="513"/>
      <c r="PGR354" s="508"/>
      <c r="PGS354" s="513"/>
      <c r="PGT354" s="508"/>
      <c r="PGU354" s="513"/>
      <c r="PGV354" s="508"/>
      <c r="PGW354" s="513"/>
      <c r="PGX354" s="508"/>
      <c r="PGY354" s="513"/>
      <c r="PGZ354" s="508"/>
      <c r="PHA354" s="513"/>
      <c r="PHB354" s="508"/>
      <c r="PHC354" s="513"/>
      <c r="PHD354" s="508"/>
      <c r="PHE354" s="513"/>
      <c r="PHF354" s="508"/>
      <c r="PHG354" s="513"/>
      <c r="PHH354" s="508"/>
      <c r="PHI354" s="513"/>
      <c r="PHJ354" s="508"/>
      <c r="PHK354" s="513"/>
      <c r="PHL354" s="508"/>
      <c r="PHM354" s="513"/>
      <c r="PHN354" s="508"/>
      <c r="PHO354" s="513"/>
      <c r="PHP354" s="508"/>
      <c r="PHQ354" s="513"/>
      <c r="PHR354" s="508"/>
      <c r="PHS354" s="513"/>
      <c r="PHT354" s="508"/>
      <c r="PHU354" s="513"/>
      <c r="PHV354" s="508"/>
      <c r="PHW354" s="513"/>
      <c r="PHX354" s="508"/>
      <c r="PHY354" s="513"/>
      <c r="PHZ354" s="508"/>
      <c r="PIA354" s="513"/>
      <c r="PIB354" s="508"/>
      <c r="PIC354" s="513"/>
      <c r="PID354" s="508"/>
      <c r="PIE354" s="513"/>
      <c r="PIF354" s="508"/>
      <c r="PIG354" s="513"/>
      <c r="PIH354" s="508"/>
      <c r="PII354" s="513"/>
      <c r="PIJ354" s="508"/>
      <c r="PIK354" s="513"/>
      <c r="PIL354" s="508"/>
      <c r="PIM354" s="513"/>
      <c r="PIN354" s="508"/>
      <c r="PIO354" s="513"/>
      <c r="PIP354" s="508"/>
      <c r="PIQ354" s="513"/>
      <c r="PIR354" s="508"/>
      <c r="PIS354" s="513"/>
      <c r="PIT354" s="508"/>
      <c r="PIU354" s="513"/>
      <c r="PIV354" s="508"/>
      <c r="PIW354" s="513"/>
      <c r="PIX354" s="508"/>
      <c r="PIY354" s="513"/>
      <c r="PIZ354" s="508"/>
      <c r="PJA354" s="513"/>
      <c r="PJB354" s="508"/>
      <c r="PJC354" s="513"/>
      <c r="PJD354" s="508"/>
      <c r="PJE354" s="513"/>
      <c r="PJF354" s="508"/>
      <c r="PJG354" s="513"/>
      <c r="PJH354" s="508"/>
      <c r="PJI354" s="513"/>
      <c r="PJJ354" s="508"/>
      <c r="PJK354" s="513"/>
      <c r="PJL354" s="508"/>
      <c r="PJM354" s="513"/>
      <c r="PJN354" s="508"/>
      <c r="PJO354" s="513"/>
      <c r="PJP354" s="508"/>
      <c r="PJQ354" s="513"/>
      <c r="PJR354" s="508"/>
      <c r="PJS354" s="513"/>
      <c r="PJT354" s="508"/>
      <c r="PJU354" s="513"/>
      <c r="PJV354" s="508"/>
      <c r="PJW354" s="513"/>
      <c r="PJX354" s="508"/>
      <c r="PJY354" s="513"/>
      <c r="PJZ354" s="508"/>
      <c r="PKA354" s="513"/>
      <c r="PKB354" s="508"/>
      <c r="PKC354" s="513"/>
      <c r="PKD354" s="508"/>
      <c r="PKE354" s="513"/>
      <c r="PKF354" s="508"/>
      <c r="PKG354" s="513"/>
      <c r="PKH354" s="508"/>
      <c r="PKI354" s="513"/>
      <c r="PKJ354" s="508"/>
      <c r="PKK354" s="513"/>
      <c r="PKL354" s="508"/>
      <c r="PKM354" s="513"/>
      <c r="PKN354" s="508"/>
      <c r="PKO354" s="513"/>
      <c r="PKP354" s="508"/>
      <c r="PKQ354" s="513"/>
      <c r="PKR354" s="508"/>
      <c r="PKS354" s="513"/>
      <c r="PKT354" s="508"/>
      <c r="PKU354" s="513"/>
      <c r="PKV354" s="508"/>
      <c r="PKW354" s="513"/>
      <c r="PKX354" s="508"/>
      <c r="PKY354" s="513"/>
      <c r="PKZ354" s="508"/>
      <c r="PLA354" s="513"/>
      <c r="PLB354" s="508"/>
      <c r="PLC354" s="513"/>
      <c r="PLD354" s="508"/>
      <c r="PLE354" s="513"/>
      <c r="PLF354" s="508"/>
      <c r="PLG354" s="513"/>
      <c r="PLH354" s="508"/>
      <c r="PLI354" s="513"/>
      <c r="PLJ354" s="508"/>
      <c r="PLK354" s="513"/>
      <c r="PLL354" s="508"/>
      <c r="PLM354" s="513"/>
      <c r="PLN354" s="508"/>
      <c r="PLO354" s="513"/>
      <c r="PLP354" s="508"/>
      <c r="PLQ354" s="513"/>
      <c r="PLR354" s="508"/>
      <c r="PLS354" s="513"/>
      <c r="PLT354" s="508"/>
      <c r="PLU354" s="513"/>
      <c r="PLV354" s="508"/>
      <c r="PLW354" s="513"/>
      <c r="PLX354" s="508"/>
      <c r="PLY354" s="513"/>
      <c r="PLZ354" s="508"/>
      <c r="PMA354" s="513"/>
      <c r="PMB354" s="508"/>
      <c r="PMC354" s="513"/>
      <c r="PMD354" s="508"/>
      <c r="PME354" s="513"/>
      <c r="PMF354" s="508"/>
      <c r="PMG354" s="513"/>
      <c r="PMH354" s="508"/>
      <c r="PMI354" s="513"/>
      <c r="PMJ354" s="508"/>
      <c r="PMK354" s="513"/>
      <c r="PML354" s="508"/>
      <c r="PMM354" s="513"/>
      <c r="PMN354" s="508"/>
      <c r="PMO354" s="513"/>
      <c r="PMP354" s="508"/>
      <c r="PMQ354" s="513"/>
      <c r="PMR354" s="508"/>
      <c r="PMS354" s="513"/>
      <c r="PMT354" s="508"/>
      <c r="PMU354" s="513"/>
      <c r="PMV354" s="508"/>
      <c r="PMW354" s="513"/>
      <c r="PMX354" s="508"/>
      <c r="PMY354" s="513"/>
      <c r="PMZ354" s="508"/>
      <c r="PNA354" s="513"/>
      <c r="PNB354" s="508"/>
      <c r="PNC354" s="513"/>
      <c r="PND354" s="508"/>
      <c r="PNE354" s="513"/>
      <c r="PNF354" s="508"/>
      <c r="PNG354" s="513"/>
      <c r="PNH354" s="508"/>
      <c r="PNI354" s="513"/>
      <c r="PNJ354" s="508"/>
      <c r="PNK354" s="513"/>
      <c r="PNL354" s="508"/>
      <c r="PNM354" s="513"/>
      <c r="PNN354" s="508"/>
      <c r="PNO354" s="513"/>
      <c r="PNP354" s="508"/>
      <c r="PNQ354" s="513"/>
      <c r="PNR354" s="508"/>
      <c r="PNS354" s="513"/>
      <c r="PNT354" s="508"/>
      <c r="PNU354" s="513"/>
      <c r="PNV354" s="508"/>
      <c r="PNW354" s="513"/>
      <c r="PNX354" s="508"/>
      <c r="PNY354" s="513"/>
      <c r="PNZ354" s="508"/>
      <c r="POA354" s="513"/>
      <c r="POB354" s="508"/>
      <c r="POC354" s="513"/>
      <c r="POD354" s="508"/>
      <c r="POE354" s="513"/>
      <c r="POF354" s="508"/>
      <c r="POG354" s="513"/>
      <c r="POH354" s="508"/>
      <c r="POI354" s="513"/>
      <c r="POJ354" s="508"/>
      <c r="POK354" s="513"/>
      <c r="POL354" s="508"/>
      <c r="POM354" s="513"/>
      <c r="PON354" s="508"/>
      <c r="POO354" s="513"/>
      <c r="POP354" s="508"/>
      <c r="POQ354" s="513"/>
      <c r="POR354" s="508"/>
      <c r="POS354" s="513"/>
      <c r="POT354" s="508"/>
      <c r="POU354" s="513"/>
      <c r="POV354" s="508"/>
      <c r="POW354" s="513"/>
      <c r="POX354" s="508"/>
      <c r="POY354" s="513"/>
      <c r="POZ354" s="508"/>
      <c r="PPA354" s="513"/>
      <c r="PPB354" s="508"/>
      <c r="PPC354" s="513"/>
      <c r="PPD354" s="508"/>
      <c r="PPE354" s="513"/>
      <c r="PPF354" s="508"/>
      <c r="PPG354" s="513"/>
      <c r="PPH354" s="508"/>
      <c r="PPI354" s="513"/>
      <c r="PPJ354" s="508"/>
      <c r="PPK354" s="513"/>
      <c r="PPL354" s="508"/>
      <c r="PPM354" s="513"/>
      <c r="PPN354" s="508"/>
      <c r="PPO354" s="513"/>
      <c r="PPP354" s="508"/>
      <c r="PPQ354" s="513"/>
      <c r="PPR354" s="508"/>
      <c r="PPS354" s="513"/>
      <c r="PPT354" s="508"/>
      <c r="PPU354" s="513"/>
      <c r="PPV354" s="508"/>
      <c r="PPW354" s="513"/>
      <c r="PPX354" s="508"/>
      <c r="PPY354" s="513"/>
      <c r="PPZ354" s="508"/>
      <c r="PQA354" s="513"/>
      <c r="PQB354" s="508"/>
      <c r="PQC354" s="513"/>
      <c r="PQD354" s="508"/>
      <c r="PQE354" s="513"/>
      <c r="PQF354" s="508"/>
      <c r="PQG354" s="513"/>
      <c r="PQH354" s="508"/>
      <c r="PQI354" s="513"/>
      <c r="PQJ354" s="508"/>
      <c r="PQK354" s="513"/>
      <c r="PQL354" s="508"/>
      <c r="PQM354" s="513"/>
      <c r="PQN354" s="508"/>
      <c r="PQO354" s="513"/>
      <c r="PQP354" s="508"/>
      <c r="PQQ354" s="513"/>
      <c r="PQR354" s="508"/>
      <c r="PQS354" s="513"/>
      <c r="PQT354" s="508"/>
      <c r="PQU354" s="513"/>
      <c r="PQV354" s="508"/>
      <c r="PQW354" s="513"/>
      <c r="PQX354" s="508"/>
      <c r="PQY354" s="513"/>
      <c r="PQZ354" s="508"/>
      <c r="PRA354" s="513"/>
      <c r="PRB354" s="508"/>
      <c r="PRC354" s="513"/>
      <c r="PRD354" s="508"/>
      <c r="PRE354" s="513"/>
      <c r="PRF354" s="508"/>
      <c r="PRG354" s="513"/>
      <c r="PRH354" s="508"/>
      <c r="PRI354" s="513"/>
      <c r="PRJ354" s="508"/>
      <c r="PRK354" s="513"/>
      <c r="PRL354" s="508"/>
      <c r="PRM354" s="513"/>
      <c r="PRN354" s="508"/>
      <c r="PRO354" s="513"/>
      <c r="PRP354" s="508"/>
      <c r="PRQ354" s="513"/>
      <c r="PRR354" s="508"/>
      <c r="PRS354" s="513"/>
      <c r="PRT354" s="508"/>
      <c r="PRU354" s="513"/>
      <c r="PRV354" s="508"/>
      <c r="PRW354" s="513"/>
      <c r="PRX354" s="508"/>
      <c r="PRY354" s="513"/>
      <c r="PRZ354" s="508"/>
      <c r="PSA354" s="513"/>
      <c r="PSB354" s="508"/>
      <c r="PSC354" s="513"/>
      <c r="PSD354" s="508"/>
      <c r="PSE354" s="513"/>
      <c r="PSF354" s="508"/>
      <c r="PSG354" s="513"/>
      <c r="PSH354" s="508"/>
      <c r="PSI354" s="513"/>
      <c r="PSJ354" s="508"/>
      <c r="PSK354" s="513"/>
      <c r="PSL354" s="508"/>
      <c r="PSM354" s="513"/>
      <c r="PSN354" s="508"/>
      <c r="PSO354" s="513"/>
      <c r="PSP354" s="508"/>
      <c r="PSQ354" s="513"/>
      <c r="PSR354" s="508"/>
      <c r="PSS354" s="513"/>
      <c r="PST354" s="508"/>
      <c r="PSU354" s="513"/>
      <c r="PSV354" s="508"/>
      <c r="PSW354" s="513"/>
      <c r="PSX354" s="508"/>
      <c r="PSY354" s="513"/>
      <c r="PSZ354" s="508"/>
      <c r="PTA354" s="513"/>
      <c r="PTB354" s="508"/>
      <c r="PTC354" s="513"/>
      <c r="PTD354" s="508"/>
      <c r="PTE354" s="513"/>
      <c r="PTF354" s="508"/>
      <c r="PTG354" s="513"/>
      <c r="PTH354" s="508"/>
      <c r="PTI354" s="513"/>
      <c r="PTJ354" s="508"/>
      <c r="PTK354" s="513"/>
      <c r="PTL354" s="508"/>
      <c r="PTM354" s="513"/>
      <c r="PTN354" s="508"/>
      <c r="PTO354" s="513"/>
      <c r="PTP354" s="508"/>
      <c r="PTQ354" s="513"/>
      <c r="PTR354" s="508"/>
      <c r="PTS354" s="513"/>
      <c r="PTT354" s="508"/>
      <c r="PTU354" s="513"/>
      <c r="PTV354" s="508"/>
      <c r="PTW354" s="513"/>
      <c r="PTX354" s="508"/>
      <c r="PTY354" s="513"/>
      <c r="PTZ354" s="508"/>
      <c r="PUA354" s="513"/>
      <c r="PUB354" s="508"/>
      <c r="PUC354" s="513"/>
      <c r="PUD354" s="508"/>
      <c r="PUE354" s="513"/>
      <c r="PUF354" s="508"/>
      <c r="PUG354" s="513"/>
      <c r="PUH354" s="508"/>
      <c r="PUI354" s="513"/>
      <c r="PUJ354" s="508"/>
      <c r="PUK354" s="513"/>
      <c r="PUL354" s="508"/>
      <c r="PUM354" s="513"/>
      <c r="PUN354" s="508"/>
      <c r="PUO354" s="513"/>
      <c r="PUP354" s="508"/>
      <c r="PUQ354" s="513"/>
      <c r="PUR354" s="508"/>
      <c r="PUS354" s="513"/>
      <c r="PUT354" s="508"/>
      <c r="PUU354" s="513"/>
      <c r="PUV354" s="508"/>
      <c r="PUW354" s="513"/>
      <c r="PUX354" s="508"/>
      <c r="PUY354" s="513"/>
      <c r="PUZ354" s="508"/>
      <c r="PVA354" s="513"/>
      <c r="PVB354" s="508"/>
      <c r="PVC354" s="513"/>
      <c r="PVD354" s="508"/>
      <c r="PVE354" s="513"/>
      <c r="PVF354" s="508"/>
      <c r="PVG354" s="513"/>
      <c r="PVH354" s="508"/>
      <c r="PVI354" s="513"/>
      <c r="PVJ354" s="508"/>
      <c r="PVK354" s="513"/>
      <c r="PVL354" s="508"/>
      <c r="PVM354" s="513"/>
      <c r="PVN354" s="508"/>
      <c r="PVO354" s="513"/>
      <c r="PVP354" s="508"/>
      <c r="PVQ354" s="513"/>
      <c r="PVR354" s="508"/>
      <c r="PVS354" s="513"/>
      <c r="PVT354" s="508"/>
      <c r="PVU354" s="513"/>
      <c r="PVV354" s="508"/>
      <c r="PVW354" s="513"/>
      <c r="PVX354" s="508"/>
      <c r="PVY354" s="513"/>
      <c r="PVZ354" s="508"/>
      <c r="PWA354" s="513"/>
      <c r="PWB354" s="508"/>
      <c r="PWC354" s="513"/>
      <c r="PWD354" s="508"/>
      <c r="PWE354" s="513"/>
      <c r="PWF354" s="508"/>
      <c r="PWG354" s="513"/>
      <c r="PWH354" s="508"/>
      <c r="PWI354" s="513"/>
      <c r="PWJ354" s="508"/>
      <c r="PWK354" s="513"/>
      <c r="PWL354" s="508"/>
      <c r="PWM354" s="513"/>
      <c r="PWN354" s="508"/>
      <c r="PWO354" s="513"/>
      <c r="PWP354" s="508"/>
      <c r="PWQ354" s="513"/>
      <c r="PWR354" s="508"/>
      <c r="PWS354" s="513"/>
      <c r="PWT354" s="508"/>
      <c r="PWU354" s="513"/>
      <c r="PWV354" s="508"/>
      <c r="PWW354" s="513"/>
      <c r="PWX354" s="508"/>
      <c r="PWY354" s="513"/>
      <c r="PWZ354" s="508"/>
      <c r="PXA354" s="513"/>
      <c r="PXB354" s="508"/>
      <c r="PXC354" s="513"/>
      <c r="PXD354" s="508"/>
      <c r="PXE354" s="513"/>
      <c r="PXF354" s="508"/>
      <c r="PXG354" s="513"/>
      <c r="PXH354" s="508"/>
      <c r="PXI354" s="513"/>
      <c r="PXJ354" s="508"/>
      <c r="PXK354" s="513"/>
      <c r="PXL354" s="508"/>
      <c r="PXM354" s="513"/>
      <c r="PXN354" s="508"/>
      <c r="PXO354" s="513"/>
      <c r="PXP354" s="508"/>
      <c r="PXQ354" s="513"/>
      <c r="PXR354" s="508"/>
      <c r="PXS354" s="513"/>
      <c r="PXT354" s="508"/>
      <c r="PXU354" s="513"/>
      <c r="PXV354" s="508"/>
      <c r="PXW354" s="513"/>
      <c r="PXX354" s="508"/>
      <c r="PXY354" s="513"/>
      <c r="PXZ354" s="508"/>
      <c r="PYA354" s="513"/>
      <c r="PYB354" s="508"/>
      <c r="PYC354" s="513"/>
      <c r="PYD354" s="508"/>
      <c r="PYE354" s="513"/>
      <c r="PYF354" s="508"/>
      <c r="PYG354" s="513"/>
      <c r="PYH354" s="508"/>
      <c r="PYI354" s="513"/>
      <c r="PYJ354" s="508"/>
      <c r="PYK354" s="513"/>
      <c r="PYL354" s="508"/>
      <c r="PYM354" s="513"/>
      <c r="PYN354" s="508"/>
      <c r="PYO354" s="513"/>
      <c r="PYP354" s="508"/>
      <c r="PYQ354" s="513"/>
      <c r="PYR354" s="508"/>
      <c r="PYS354" s="513"/>
      <c r="PYT354" s="508"/>
      <c r="PYU354" s="513"/>
      <c r="PYV354" s="508"/>
      <c r="PYW354" s="513"/>
      <c r="PYX354" s="508"/>
      <c r="PYY354" s="513"/>
      <c r="PYZ354" s="508"/>
      <c r="PZA354" s="513"/>
      <c r="PZB354" s="508"/>
      <c r="PZC354" s="513"/>
      <c r="PZD354" s="508"/>
      <c r="PZE354" s="513"/>
      <c r="PZF354" s="508"/>
      <c r="PZG354" s="513"/>
      <c r="PZH354" s="508"/>
      <c r="PZI354" s="513"/>
      <c r="PZJ354" s="508"/>
      <c r="PZK354" s="513"/>
      <c r="PZL354" s="508"/>
      <c r="PZM354" s="513"/>
      <c r="PZN354" s="508"/>
      <c r="PZO354" s="513"/>
      <c r="PZP354" s="508"/>
      <c r="PZQ354" s="513"/>
      <c r="PZR354" s="508"/>
      <c r="PZS354" s="513"/>
      <c r="PZT354" s="508"/>
      <c r="PZU354" s="513"/>
      <c r="PZV354" s="508"/>
      <c r="PZW354" s="513"/>
      <c r="PZX354" s="508"/>
      <c r="PZY354" s="513"/>
      <c r="PZZ354" s="508"/>
      <c r="QAA354" s="513"/>
      <c r="QAB354" s="508"/>
      <c r="QAC354" s="513"/>
      <c r="QAD354" s="508"/>
      <c r="QAE354" s="513"/>
      <c r="QAF354" s="508"/>
      <c r="QAG354" s="513"/>
      <c r="QAH354" s="508"/>
      <c r="QAI354" s="513"/>
      <c r="QAJ354" s="508"/>
      <c r="QAK354" s="513"/>
      <c r="QAL354" s="508"/>
      <c r="QAM354" s="513"/>
      <c r="QAN354" s="508"/>
      <c r="QAO354" s="513"/>
      <c r="QAP354" s="508"/>
      <c r="QAQ354" s="513"/>
      <c r="QAR354" s="508"/>
      <c r="QAS354" s="513"/>
      <c r="QAT354" s="508"/>
      <c r="QAU354" s="513"/>
      <c r="QAV354" s="508"/>
      <c r="QAW354" s="513"/>
      <c r="QAX354" s="508"/>
      <c r="QAY354" s="513"/>
      <c r="QAZ354" s="508"/>
      <c r="QBA354" s="513"/>
      <c r="QBB354" s="508"/>
      <c r="QBC354" s="513"/>
      <c r="QBD354" s="508"/>
      <c r="QBE354" s="513"/>
      <c r="QBF354" s="508"/>
      <c r="QBG354" s="513"/>
      <c r="QBH354" s="508"/>
      <c r="QBI354" s="513"/>
      <c r="QBJ354" s="508"/>
      <c r="QBK354" s="513"/>
      <c r="QBL354" s="508"/>
      <c r="QBM354" s="513"/>
      <c r="QBN354" s="508"/>
      <c r="QBO354" s="513"/>
      <c r="QBP354" s="508"/>
      <c r="QBQ354" s="513"/>
      <c r="QBR354" s="508"/>
      <c r="QBS354" s="513"/>
      <c r="QBT354" s="508"/>
      <c r="QBU354" s="513"/>
      <c r="QBV354" s="508"/>
      <c r="QBW354" s="513"/>
      <c r="QBX354" s="508"/>
      <c r="QBY354" s="513"/>
      <c r="QBZ354" s="508"/>
      <c r="QCA354" s="513"/>
      <c r="QCB354" s="508"/>
      <c r="QCC354" s="513"/>
      <c r="QCD354" s="508"/>
      <c r="QCE354" s="513"/>
      <c r="QCF354" s="508"/>
      <c r="QCG354" s="513"/>
      <c r="QCH354" s="508"/>
      <c r="QCI354" s="513"/>
      <c r="QCJ354" s="508"/>
      <c r="QCK354" s="513"/>
      <c r="QCL354" s="508"/>
      <c r="QCM354" s="513"/>
      <c r="QCN354" s="508"/>
      <c r="QCO354" s="513"/>
      <c r="QCP354" s="508"/>
      <c r="QCQ354" s="513"/>
      <c r="QCR354" s="508"/>
      <c r="QCS354" s="513"/>
      <c r="QCT354" s="508"/>
      <c r="QCU354" s="513"/>
      <c r="QCV354" s="508"/>
      <c r="QCW354" s="513"/>
      <c r="QCX354" s="508"/>
      <c r="QCY354" s="513"/>
      <c r="QCZ354" s="508"/>
      <c r="QDA354" s="513"/>
      <c r="QDB354" s="508"/>
      <c r="QDC354" s="513"/>
      <c r="QDD354" s="508"/>
      <c r="QDE354" s="513"/>
      <c r="QDF354" s="508"/>
      <c r="QDG354" s="513"/>
      <c r="QDH354" s="508"/>
      <c r="QDI354" s="513"/>
      <c r="QDJ354" s="508"/>
      <c r="QDK354" s="513"/>
      <c r="QDL354" s="508"/>
      <c r="QDM354" s="513"/>
      <c r="QDN354" s="508"/>
      <c r="QDO354" s="513"/>
      <c r="QDP354" s="508"/>
      <c r="QDQ354" s="513"/>
      <c r="QDR354" s="508"/>
      <c r="QDS354" s="513"/>
      <c r="QDT354" s="508"/>
      <c r="QDU354" s="513"/>
      <c r="QDV354" s="508"/>
      <c r="QDW354" s="513"/>
      <c r="QDX354" s="508"/>
      <c r="QDY354" s="513"/>
      <c r="QDZ354" s="508"/>
      <c r="QEA354" s="513"/>
      <c r="QEB354" s="508"/>
      <c r="QEC354" s="513"/>
      <c r="QED354" s="508"/>
      <c r="QEE354" s="513"/>
      <c r="QEF354" s="508"/>
      <c r="QEG354" s="513"/>
      <c r="QEH354" s="508"/>
      <c r="QEI354" s="513"/>
      <c r="QEJ354" s="508"/>
      <c r="QEK354" s="513"/>
      <c r="QEL354" s="508"/>
      <c r="QEM354" s="513"/>
      <c r="QEN354" s="508"/>
      <c r="QEO354" s="513"/>
      <c r="QEP354" s="508"/>
      <c r="QEQ354" s="513"/>
      <c r="QER354" s="508"/>
      <c r="QES354" s="513"/>
      <c r="QET354" s="508"/>
      <c r="QEU354" s="513"/>
      <c r="QEV354" s="508"/>
      <c r="QEW354" s="513"/>
      <c r="QEX354" s="508"/>
      <c r="QEY354" s="513"/>
      <c r="QEZ354" s="508"/>
      <c r="QFA354" s="513"/>
      <c r="QFB354" s="508"/>
      <c r="QFC354" s="513"/>
      <c r="QFD354" s="508"/>
      <c r="QFE354" s="513"/>
      <c r="QFF354" s="508"/>
      <c r="QFG354" s="513"/>
      <c r="QFH354" s="508"/>
      <c r="QFI354" s="513"/>
      <c r="QFJ354" s="508"/>
      <c r="QFK354" s="513"/>
      <c r="QFL354" s="508"/>
      <c r="QFM354" s="513"/>
      <c r="QFN354" s="508"/>
      <c r="QFO354" s="513"/>
      <c r="QFP354" s="508"/>
      <c r="QFQ354" s="513"/>
      <c r="QFR354" s="508"/>
      <c r="QFS354" s="513"/>
      <c r="QFT354" s="508"/>
      <c r="QFU354" s="513"/>
      <c r="QFV354" s="508"/>
      <c r="QFW354" s="513"/>
      <c r="QFX354" s="508"/>
      <c r="QFY354" s="513"/>
      <c r="QFZ354" s="508"/>
      <c r="QGA354" s="513"/>
      <c r="QGB354" s="508"/>
      <c r="QGC354" s="513"/>
      <c r="QGD354" s="508"/>
      <c r="QGE354" s="513"/>
      <c r="QGF354" s="508"/>
      <c r="QGG354" s="513"/>
      <c r="QGH354" s="508"/>
      <c r="QGI354" s="513"/>
      <c r="QGJ354" s="508"/>
      <c r="QGK354" s="513"/>
      <c r="QGL354" s="508"/>
      <c r="QGM354" s="513"/>
      <c r="QGN354" s="508"/>
      <c r="QGO354" s="513"/>
      <c r="QGP354" s="508"/>
      <c r="QGQ354" s="513"/>
      <c r="QGR354" s="508"/>
      <c r="QGS354" s="513"/>
      <c r="QGT354" s="508"/>
      <c r="QGU354" s="513"/>
      <c r="QGV354" s="508"/>
      <c r="QGW354" s="513"/>
      <c r="QGX354" s="508"/>
      <c r="QGY354" s="513"/>
      <c r="QGZ354" s="508"/>
      <c r="QHA354" s="513"/>
      <c r="QHB354" s="508"/>
      <c r="QHC354" s="513"/>
      <c r="QHD354" s="508"/>
      <c r="QHE354" s="513"/>
      <c r="QHF354" s="508"/>
      <c r="QHG354" s="513"/>
      <c r="QHH354" s="508"/>
      <c r="QHI354" s="513"/>
      <c r="QHJ354" s="508"/>
      <c r="QHK354" s="513"/>
      <c r="QHL354" s="508"/>
      <c r="QHM354" s="513"/>
      <c r="QHN354" s="508"/>
      <c r="QHO354" s="513"/>
      <c r="QHP354" s="508"/>
      <c r="QHQ354" s="513"/>
      <c r="QHR354" s="508"/>
      <c r="QHS354" s="513"/>
      <c r="QHT354" s="508"/>
      <c r="QHU354" s="513"/>
      <c r="QHV354" s="508"/>
      <c r="QHW354" s="513"/>
      <c r="QHX354" s="508"/>
      <c r="QHY354" s="513"/>
      <c r="QHZ354" s="508"/>
      <c r="QIA354" s="513"/>
      <c r="QIB354" s="508"/>
      <c r="QIC354" s="513"/>
      <c r="QID354" s="508"/>
      <c r="QIE354" s="513"/>
      <c r="QIF354" s="508"/>
      <c r="QIG354" s="513"/>
      <c r="QIH354" s="508"/>
      <c r="QII354" s="513"/>
      <c r="QIJ354" s="508"/>
      <c r="QIK354" s="513"/>
      <c r="QIL354" s="508"/>
      <c r="QIM354" s="513"/>
      <c r="QIN354" s="508"/>
      <c r="QIO354" s="513"/>
      <c r="QIP354" s="508"/>
      <c r="QIQ354" s="513"/>
      <c r="QIR354" s="508"/>
      <c r="QIS354" s="513"/>
      <c r="QIT354" s="508"/>
      <c r="QIU354" s="513"/>
      <c r="QIV354" s="508"/>
      <c r="QIW354" s="513"/>
      <c r="QIX354" s="508"/>
      <c r="QIY354" s="513"/>
      <c r="QIZ354" s="508"/>
      <c r="QJA354" s="513"/>
      <c r="QJB354" s="508"/>
      <c r="QJC354" s="513"/>
      <c r="QJD354" s="508"/>
      <c r="QJE354" s="513"/>
      <c r="QJF354" s="508"/>
      <c r="QJG354" s="513"/>
      <c r="QJH354" s="508"/>
      <c r="QJI354" s="513"/>
      <c r="QJJ354" s="508"/>
      <c r="QJK354" s="513"/>
      <c r="QJL354" s="508"/>
      <c r="QJM354" s="513"/>
      <c r="QJN354" s="508"/>
      <c r="QJO354" s="513"/>
      <c r="QJP354" s="508"/>
      <c r="QJQ354" s="513"/>
      <c r="QJR354" s="508"/>
      <c r="QJS354" s="513"/>
      <c r="QJT354" s="508"/>
      <c r="QJU354" s="513"/>
      <c r="QJV354" s="508"/>
      <c r="QJW354" s="513"/>
      <c r="QJX354" s="508"/>
      <c r="QJY354" s="513"/>
      <c r="QJZ354" s="508"/>
      <c r="QKA354" s="513"/>
      <c r="QKB354" s="508"/>
      <c r="QKC354" s="513"/>
      <c r="QKD354" s="508"/>
      <c r="QKE354" s="513"/>
      <c r="QKF354" s="508"/>
      <c r="QKG354" s="513"/>
      <c r="QKH354" s="508"/>
      <c r="QKI354" s="513"/>
      <c r="QKJ354" s="508"/>
      <c r="QKK354" s="513"/>
      <c r="QKL354" s="508"/>
      <c r="QKM354" s="513"/>
      <c r="QKN354" s="508"/>
      <c r="QKO354" s="513"/>
      <c r="QKP354" s="508"/>
      <c r="QKQ354" s="513"/>
      <c r="QKR354" s="508"/>
      <c r="QKS354" s="513"/>
      <c r="QKT354" s="508"/>
      <c r="QKU354" s="513"/>
      <c r="QKV354" s="508"/>
      <c r="QKW354" s="513"/>
      <c r="QKX354" s="508"/>
      <c r="QKY354" s="513"/>
      <c r="QKZ354" s="508"/>
      <c r="QLA354" s="513"/>
      <c r="QLB354" s="508"/>
      <c r="QLC354" s="513"/>
      <c r="QLD354" s="508"/>
      <c r="QLE354" s="513"/>
      <c r="QLF354" s="508"/>
      <c r="QLG354" s="513"/>
      <c r="QLH354" s="508"/>
      <c r="QLI354" s="513"/>
      <c r="QLJ354" s="508"/>
      <c r="QLK354" s="513"/>
      <c r="QLL354" s="508"/>
      <c r="QLM354" s="513"/>
      <c r="QLN354" s="508"/>
      <c r="QLO354" s="513"/>
      <c r="QLP354" s="508"/>
      <c r="QLQ354" s="513"/>
      <c r="QLR354" s="508"/>
      <c r="QLS354" s="513"/>
      <c r="QLT354" s="508"/>
      <c r="QLU354" s="513"/>
      <c r="QLV354" s="508"/>
      <c r="QLW354" s="513"/>
      <c r="QLX354" s="508"/>
      <c r="QLY354" s="513"/>
      <c r="QLZ354" s="508"/>
      <c r="QMA354" s="513"/>
      <c r="QMB354" s="508"/>
      <c r="QMC354" s="513"/>
      <c r="QMD354" s="508"/>
      <c r="QME354" s="513"/>
      <c r="QMF354" s="508"/>
      <c r="QMG354" s="513"/>
      <c r="QMH354" s="508"/>
      <c r="QMI354" s="513"/>
      <c r="QMJ354" s="508"/>
      <c r="QMK354" s="513"/>
      <c r="QML354" s="508"/>
      <c r="QMM354" s="513"/>
      <c r="QMN354" s="508"/>
      <c r="QMO354" s="513"/>
      <c r="QMP354" s="508"/>
      <c r="QMQ354" s="513"/>
      <c r="QMR354" s="508"/>
      <c r="QMS354" s="513"/>
      <c r="QMT354" s="508"/>
      <c r="QMU354" s="513"/>
      <c r="QMV354" s="508"/>
      <c r="QMW354" s="513"/>
      <c r="QMX354" s="508"/>
      <c r="QMY354" s="513"/>
      <c r="QMZ354" s="508"/>
      <c r="QNA354" s="513"/>
      <c r="QNB354" s="508"/>
      <c r="QNC354" s="513"/>
      <c r="QND354" s="508"/>
      <c r="QNE354" s="513"/>
      <c r="QNF354" s="508"/>
      <c r="QNG354" s="513"/>
      <c r="QNH354" s="508"/>
      <c r="QNI354" s="513"/>
      <c r="QNJ354" s="508"/>
      <c r="QNK354" s="513"/>
      <c r="QNL354" s="508"/>
      <c r="QNM354" s="513"/>
      <c r="QNN354" s="508"/>
      <c r="QNO354" s="513"/>
      <c r="QNP354" s="508"/>
      <c r="QNQ354" s="513"/>
      <c r="QNR354" s="508"/>
      <c r="QNS354" s="513"/>
      <c r="QNT354" s="508"/>
      <c r="QNU354" s="513"/>
      <c r="QNV354" s="508"/>
      <c r="QNW354" s="513"/>
      <c r="QNX354" s="508"/>
      <c r="QNY354" s="513"/>
      <c r="QNZ354" s="508"/>
      <c r="QOA354" s="513"/>
      <c r="QOB354" s="508"/>
      <c r="QOC354" s="513"/>
      <c r="QOD354" s="508"/>
      <c r="QOE354" s="513"/>
      <c r="QOF354" s="508"/>
      <c r="QOG354" s="513"/>
      <c r="QOH354" s="508"/>
      <c r="QOI354" s="513"/>
      <c r="QOJ354" s="508"/>
      <c r="QOK354" s="513"/>
      <c r="QOL354" s="508"/>
      <c r="QOM354" s="513"/>
      <c r="QON354" s="508"/>
      <c r="QOO354" s="513"/>
      <c r="QOP354" s="508"/>
      <c r="QOQ354" s="513"/>
      <c r="QOR354" s="508"/>
      <c r="QOS354" s="513"/>
      <c r="QOT354" s="508"/>
      <c r="QOU354" s="513"/>
      <c r="QOV354" s="508"/>
      <c r="QOW354" s="513"/>
      <c r="QOX354" s="508"/>
      <c r="QOY354" s="513"/>
      <c r="QOZ354" s="508"/>
      <c r="QPA354" s="513"/>
      <c r="QPB354" s="508"/>
      <c r="QPC354" s="513"/>
      <c r="QPD354" s="508"/>
      <c r="QPE354" s="513"/>
      <c r="QPF354" s="508"/>
      <c r="QPG354" s="513"/>
      <c r="QPH354" s="508"/>
      <c r="QPI354" s="513"/>
      <c r="QPJ354" s="508"/>
      <c r="QPK354" s="513"/>
      <c r="QPL354" s="508"/>
      <c r="QPM354" s="513"/>
      <c r="QPN354" s="508"/>
      <c r="QPO354" s="513"/>
      <c r="QPP354" s="508"/>
      <c r="QPQ354" s="513"/>
      <c r="QPR354" s="508"/>
      <c r="QPS354" s="513"/>
      <c r="QPT354" s="508"/>
      <c r="QPU354" s="513"/>
      <c r="QPV354" s="508"/>
      <c r="QPW354" s="513"/>
      <c r="QPX354" s="508"/>
      <c r="QPY354" s="513"/>
      <c r="QPZ354" s="508"/>
      <c r="QQA354" s="513"/>
      <c r="QQB354" s="508"/>
      <c r="QQC354" s="513"/>
      <c r="QQD354" s="508"/>
      <c r="QQE354" s="513"/>
      <c r="QQF354" s="508"/>
      <c r="QQG354" s="513"/>
      <c r="QQH354" s="508"/>
      <c r="QQI354" s="513"/>
      <c r="QQJ354" s="508"/>
      <c r="QQK354" s="513"/>
      <c r="QQL354" s="508"/>
      <c r="QQM354" s="513"/>
      <c r="QQN354" s="508"/>
      <c r="QQO354" s="513"/>
      <c r="QQP354" s="508"/>
      <c r="QQQ354" s="513"/>
      <c r="QQR354" s="508"/>
      <c r="QQS354" s="513"/>
      <c r="QQT354" s="508"/>
      <c r="QQU354" s="513"/>
      <c r="QQV354" s="508"/>
      <c r="QQW354" s="513"/>
      <c r="QQX354" s="508"/>
      <c r="QQY354" s="513"/>
      <c r="QQZ354" s="508"/>
      <c r="QRA354" s="513"/>
      <c r="QRB354" s="508"/>
      <c r="QRC354" s="513"/>
      <c r="QRD354" s="508"/>
      <c r="QRE354" s="513"/>
      <c r="QRF354" s="508"/>
      <c r="QRG354" s="513"/>
      <c r="QRH354" s="508"/>
      <c r="QRI354" s="513"/>
      <c r="QRJ354" s="508"/>
      <c r="QRK354" s="513"/>
      <c r="QRL354" s="508"/>
      <c r="QRM354" s="513"/>
      <c r="QRN354" s="508"/>
      <c r="QRO354" s="513"/>
      <c r="QRP354" s="508"/>
      <c r="QRQ354" s="513"/>
      <c r="QRR354" s="508"/>
      <c r="QRS354" s="513"/>
      <c r="QRT354" s="508"/>
      <c r="QRU354" s="513"/>
      <c r="QRV354" s="508"/>
      <c r="QRW354" s="513"/>
      <c r="QRX354" s="508"/>
      <c r="QRY354" s="513"/>
      <c r="QRZ354" s="508"/>
      <c r="QSA354" s="513"/>
      <c r="QSB354" s="508"/>
      <c r="QSC354" s="513"/>
      <c r="QSD354" s="508"/>
      <c r="QSE354" s="513"/>
      <c r="QSF354" s="508"/>
      <c r="QSG354" s="513"/>
      <c r="QSH354" s="508"/>
      <c r="QSI354" s="513"/>
      <c r="QSJ354" s="508"/>
      <c r="QSK354" s="513"/>
      <c r="QSL354" s="508"/>
      <c r="QSM354" s="513"/>
      <c r="QSN354" s="508"/>
      <c r="QSO354" s="513"/>
      <c r="QSP354" s="508"/>
      <c r="QSQ354" s="513"/>
      <c r="QSR354" s="508"/>
      <c r="QSS354" s="513"/>
      <c r="QST354" s="508"/>
      <c r="QSU354" s="513"/>
      <c r="QSV354" s="508"/>
      <c r="QSW354" s="513"/>
      <c r="QSX354" s="508"/>
      <c r="QSY354" s="513"/>
      <c r="QSZ354" s="508"/>
      <c r="QTA354" s="513"/>
      <c r="QTB354" s="508"/>
      <c r="QTC354" s="513"/>
      <c r="QTD354" s="508"/>
      <c r="QTE354" s="513"/>
      <c r="QTF354" s="508"/>
      <c r="QTG354" s="513"/>
      <c r="QTH354" s="508"/>
      <c r="QTI354" s="513"/>
      <c r="QTJ354" s="508"/>
      <c r="QTK354" s="513"/>
      <c r="QTL354" s="508"/>
      <c r="QTM354" s="513"/>
      <c r="QTN354" s="508"/>
      <c r="QTO354" s="513"/>
      <c r="QTP354" s="508"/>
      <c r="QTQ354" s="513"/>
      <c r="QTR354" s="508"/>
      <c r="QTS354" s="513"/>
      <c r="QTT354" s="508"/>
      <c r="QTU354" s="513"/>
      <c r="QTV354" s="508"/>
      <c r="QTW354" s="513"/>
      <c r="QTX354" s="508"/>
      <c r="QTY354" s="513"/>
      <c r="QTZ354" s="508"/>
      <c r="QUA354" s="513"/>
      <c r="QUB354" s="508"/>
      <c r="QUC354" s="513"/>
      <c r="QUD354" s="508"/>
      <c r="QUE354" s="513"/>
      <c r="QUF354" s="508"/>
      <c r="QUG354" s="513"/>
      <c r="QUH354" s="508"/>
      <c r="QUI354" s="513"/>
      <c r="QUJ354" s="508"/>
      <c r="QUK354" s="513"/>
      <c r="QUL354" s="508"/>
      <c r="QUM354" s="513"/>
      <c r="QUN354" s="508"/>
      <c r="QUO354" s="513"/>
      <c r="QUP354" s="508"/>
      <c r="QUQ354" s="513"/>
      <c r="QUR354" s="508"/>
      <c r="QUS354" s="513"/>
      <c r="QUT354" s="508"/>
      <c r="QUU354" s="513"/>
      <c r="QUV354" s="508"/>
      <c r="QUW354" s="513"/>
      <c r="QUX354" s="508"/>
      <c r="QUY354" s="513"/>
      <c r="QUZ354" s="508"/>
      <c r="QVA354" s="513"/>
      <c r="QVB354" s="508"/>
      <c r="QVC354" s="513"/>
      <c r="QVD354" s="508"/>
      <c r="QVE354" s="513"/>
      <c r="QVF354" s="508"/>
      <c r="QVG354" s="513"/>
      <c r="QVH354" s="508"/>
      <c r="QVI354" s="513"/>
      <c r="QVJ354" s="508"/>
      <c r="QVK354" s="513"/>
      <c r="QVL354" s="508"/>
      <c r="QVM354" s="513"/>
      <c r="QVN354" s="508"/>
      <c r="QVO354" s="513"/>
      <c r="QVP354" s="508"/>
      <c r="QVQ354" s="513"/>
      <c r="QVR354" s="508"/>
      <c r="QVS354" s="513"/>
      <c r="QVT354" s="508"/>
      <c r="QVU354" s="513"/>
      <c r="QVV354" s="508"/>
      <c r="QVW354" s="513"/>
      <c r="QVX354" s="508"/>
      <c r="QVY354" s="513"/>
      <c r="QVZ354" s="508"/>
      <c r="QWA354" s="513"/>
      <c r="QWB354" s="508"/>
      <c r="QWC354" s="513"/>
      <c r="QWD354" s="508"/>
      <c r="QWE354" s="513"/>
      <c r="QWF354" s="508"/>
      <c r="QWG354" s="513"/>
      <c r="QWH354" s="508"/>
      <c r="QWI354" s="513"/>
      <c r="QWJ354" s="508"/>
      <c r="QWK354" s="513"/>
      <c r="QWL354" s="508"/>
      <c r="QWM354" s="513"/>
      <c r="QWN354" s="508"/>
      <c r="QWO354" s="513"/>
      <c r="QWP354" s="508"/>
      <c r="QWQ354" s="513"/>
      <c r="QWR354" s="508"/>
      <c r="QWS354" s="513"/>
      <c r="QWT354" s="508"/>
      <c r="QWU354" s="513"/>
      <c r="QWV354" s="508"/>
      <c r="QWW354" s="513"/>
      <c r="QWX354" s="508"/>
      <c r="QWY354" s="513"/>
      <c r="QWZ354" s="508"/>
      <c r="QXA354" s="513"/>
      <c r="QXB354" s="508"/>
      <c r="QXC354" s="513"/>
      <c r="QXD354" s="508"/>
      <c r="QXE354" s="513"/>
      <c r="QXF354" s="508"/>
      <c r="QXG354" s="513"/>
      <c r="QXH354" s="508"/>
      <c r="QXI354" s="513"/>
      <c r="QXJ354" s="508"/>
      <c r="QXK354" s="513"/>
      <c r="QXL354" s="508"/>
      <c r="QXM354" s="513"/>
      <c r="QXN354" s="508"/>
      <c r="QXO354" s="513"/>
      <c r="QXP354" s="508"/>
      <c r="QXQ354" s="513"/>
      <c r="QXR354" s="508"/>
      <c r="QXS354" s="513"/>
      <c r="QXT354" s="508"/>
      <c r="QXU354" s="513"/>
      <c r="QXV354" s="508"/>
      <c r="QXW354" s="513"/>
      <c r="QXX354" s="508"/>
      <c r="QXY354" s="513"/>
      <c r="QXZ354" s="508"/>
      <c r="QYA354" s="513"/>
      <c r="QYB354" s="508"/>
      <c r="QYC354" s="513"/>
      <c r="QYD354" s="508"/>
      <c r="QYE354" s="513"/>
      <c r="QYF354" s="508"/>
      <c r="QYG354" s="513"/>
      <c r="QYH354" s="508"/>
      <c r="QYI354" s="513"/>
      <c r="QYJ354" s="508"/>
      <c r="QYK354" s="513"/>
      <c r="QYL354" s="508"/>
      <c r="QYM354" s="513"/>
      <c r="QYN354" s="508"/>
      <c r="QYO354" s="513"/>
      <c r="QYP354" s="508"/>
      <c r="QYQ354" s="513"/>
      <c r="QYR354" s="508"/>
      <c r="QYS354" s="513"/>
      <c r="QYT354" s="508"/>
      <c r="QYU354" s="513"/>
      <c r="QYV354" s="508"/>
      <c r="QYW354" s="513"/>
      <c r="QYX354" s="508"/>
      <c r="QYY354" s="513"/>
      <c r="QYZ354" s="508"/>
      <c r="QZA354" s="513"/>
      <c r="QZB354" s="508"/>
      <c r="QZC354" s="513"/>
      <c r="QZD354" s="508"/>
      <c r="QZE354" s="513"/>
      <c r="QZF354" s="508"/>
      <c r="QZG354" s="513"/>
      <c r="QZH354" s="508"/>
      <c r="QZI354" s="513"/>
      <c r="QZJ354" s="508"/>
      <c r="QZK354" s="513"/>
      <c r="QZL354" s="508"/>
      <c r="QZM354" s="513"/>
      <c r="QZN354" s="508"/>
      <c r="QZO354" s="513"/>
      <c r="QZP354" s="508"/>
      <c r="QZQ354" s="513"/>
      <c r="QZR354" s="508"/>
      <c r="QZS354" s="513"/>
      <c r="QZT354" s="508"/>
      <c r="QZU354" s="513"/>
      <c r="QZV354" s="508"/>
      <c r="QZW354" s="513"/>
      <c r="QZX354" s="508"/>
      <c r="QZY354" s="513"/>
      <c r="QZZ354" s="508"/>
      <c r="RAA354" s="513"/>
      <c r="RAB354" s="508"/>
      <c r="RAC354" s="513"/>
      <c r="RAD354" s="508"/>
      <c r="RAE354" s="513"/>
      <c r="RAF354" s="508"/>
      <c r="RAG354" s="513"/>
      <c r="RAH354" s="508"/>
      <c r="RAI354" s="513"/>
      <c r="RAJ354" s="508"/>
      <c r="RAK354" s="513"/>
      <c r="RAL354" s="508"/>
      <c r="RAM354" s="513"/>
      <c r="RAN354" s="508"/>
      <c r="RAO354" s="513"/>
      <c r="RAP354" s="508"/>
      <c r="RAQ354" s="513"/>
      <c r="RAR354" s="508"/>
      <c r="RAS354" s="513"/>
      <c r="RAT354" s="508"/>
      <c r="RAU354" s="513"/>
      <c r="RAV354" s="508"/>
      <c r="RAW354" s="513"/>
      <c r="RAX354" s="508"/>
      <c r="RAY354" s="513"/>
      <c r="RAZ354" s="508"/>
      <c r="RBA354" s="513"/>
      <c r="RBB354" s="508"/>
      <c r="RBC354" s="513"/>
      <c r="RBD354" s="508"/>
      <c r="RBE354" s="513"/>
      <c r="RBF354" s="508"/>
      <c r="RBG354" s="513"/>
      <c r="RBH354" s="508"/>
      <c r="RBI354" s="513"/>
      <c r="RBJ354" s="508"/>
      <c r="RBK354" s="513"/>
      <c r="RBL354" s="508"/>
      <c r="RBM354" s="513"/>
      <c r="RBN354" s="508"/>
      <c r="RBO354" s="513"/>
      <c r="RBP354" s="508"/>
      <c r="RBQ354" s="513"/>
      <c r="RBR354" s="508"/>
      <c r="RBS354" s="513"/>
      <c r="RBT354" s="508"/>
      <c r="RBU354" s="513"/>
      <c r="RBV354" s="508"/>
      <c r="RBW354" s="513"/>
      <c r="RBX354" s="508"/>
      <c r="RBY354" s="513"/>
      <c r="RBZ354" s="508"/>
      <c r="RCA354" s="513"/>
      <c r="RCB354" s="508"/>
      <c r="RCC354" s="513"/>
      <c r="RCD354" s="508"/>
      <c r="RCE354" s="513"/>
      <c r="RCF354" s="508"/>
      <c r="RCG354" s="513"/>
      <c r="RCH354" s="508"/>
      <c r="RCI354" s="513"/>
      <c r="RCJ354" s="508"/>
      <c r="RCK354" s="513"/>
      <c r="RCL354" s="508"/>
      <c r="RCM354" s="513"/>
      <c r="RCN354" s="508"/>
      <c r="RCO354" s="513"/>
      <c r="RCP354" s="508"/>
      <c r="RCQ354" s="513"/>
      <c r="RCR354" s="508"/>
      <c r="RCS354" s="513"/>
      <c r="RCT354" s="508"/>
      <c r="RCU354" s="513"/>
      <c r="RCV354" s="508"/>
      <c r="RCW354" s="513"/>
      <c r="RCX354" s="508"/>
      <c r="RCY354" s="513"/>
      <c r="RCZ354" s="508"/>
      <c r="RDA354" s="513"/>
      <c r="RDB354" s="508"/>
      <c r="RDC354" s="513"/>
      <c r="RDD354" s="508"/>
      <c r="RDE354" s="513"/>
      <c r="RDF354" s="508"/>
      <c r="RDG354" s="513"/>
      <c r="RDH354" s="508"/>
      <c r="RDI354" s="513"/>
      <c r="RDJ354" s="508"/>
      <c r="RDK354" s="513"/>
      <c r="RDL354" s="508"/>
      <c r="RDM354" s="513"/>
      <c r="RDN354" s="508"/>
      <c r="RDO354" s="513"/>
      <c r="RDP354" s="508"/>
      <c r="RDQ354" s="513"/>
      <c r="RDR354" s="508"/>
      <c r="RDS354" s="513"/>
      <c r="RDT354" s="508"/>
      <c r="RDU354" s="513"/>
      <c r="RDV354" s="508"/>
      <c r="RDW354" s="513"/>
      <c r="RDX354" s="508"/>
      <c r="RDY354" s="513"/>
      <c r="RDZ354" s="508"/>
      <c r="REA354" s="513"/>
      <c r="REB354" s="508"/>
      <c r="REC354" s="513"/>
      <c r="RED354" s="508"/>
      <c r="REE354" s="513"/>
      <c r="REF354" s="508"/>
      <c r="REG354" s="513"/>
      <c r="REH354" s="508"/>
      <c r="REI354" s="513"/>
      <c r="REJ354" s="508"/>
      <c r="REK354" s="513"/>
      <c r="REL354" s="508"/>
      <c r="REM354" s="513"/>
      <c r="REN354" s="508"/>
      <c r="REO354" s="513"/>
      <c r="REP354" s="508"/>
      <c r="REQ354" s="513"/>
      <c r="RER354" s="508"/>
      <c r="RES354" s="513"/>
      <c r="RET354" s="508"/>
      <c r="REU354" s="513"/>
      <c r="REV354" s="508"/>
      <c r="REW354" s="513"/>
      <c r="REX354" s="508"/>
      <c r="REY354" s="513"/>
      <c r="REZ354" s="508"/>
      <c r="RFA354" s="513"/>
      <c r="RFB354" s="508"/>
      <c r="RFC354" s="513"/>
      <c r="RFD354" s="508"/>
      <c r="RFE354" s="513"/>
      <c r="RFF354" s="508"/>
      <c r="RFG354" s="513"/>
      <c r="RFH354" s="508"/>
      <c r="RFI354" s="513"/>
      <c r="RFJ354" s="508"/>
      <c r="RFK354" s="513"/>
      <c r="RFL354" s="508"/>
      <c r="RFM354" s="513"/>
      <c r="RFN354" s="508"/>
      <c r="RFO354" s="513"/>
      <c r="RFP354" s="508"/>
      <c r="RFQ354" s="513"/>
      <c r="RFR354" s="508"/>
      <c r="RFS354" s="513"/>
      <c r="RFT354" s="508"/>
      <c r="RFU354" s="513"/>
      <c r="RFV354" s="508"/>
      <c r="RFW354" s="513"/>
      <c r="RFX354" s="508"/>
      <c r="RFY354" s="513"/>
      <c r="RFZ354" s="508"/>
      <c r="RGA354" s="513"/>
      <c r="RGB354" s="508"/>
      <c r="RGC354" s="513"/>
      <c r="RGD354" s="508"/>
      <c r="RGE354" s="513"/>
      <c r="RGF354" s="508"/>
      <c r="RGG354" s="513"/>
      <c r="RGH354" s="508"/>
      <c r="RGI354" s="513"/>
      <c r="RGJ354" s="508"/>
      <c r="RGK354" s="513"/>
      <c r="RGL354" s="508"/>
      <c r="RGM354" s="513"/>
      <c r="RGN354" s="508"/>
      <c r="RGO354" s="513"/>
      <c r="RGP354" s="508"/>
      <c r="RGQ354" s="513"/>
      <c r="RGR354" s="508"/>
      <c r="RGS354" s="513"/>
      <c r="RGT354" s="508"/>
      <c r="RGU354" s="513"/>
      <c r="RGV354" s="508"/>
      <c r="RGW354" s="513"/>
      <c r="RGX354" s="508"/>
      <c r="RGY354" s="513"/>
      <c r="RGZ354" s="508"/>
      <c r="RHA354" s="513"/>
      <c r="RHB354" s="508"/>
      <c r="RHC354" s="513"/>
      <c r="RHD354" s="508"/>
      <c r="RHE354" s="513"/>
      <c r="RHF354" s="508"/>
      <c r="RHG354" s="513"/>
      <c r="RHH354" s="508"/>
      <c r="RHI354" s="513"/>
      <c r="RHJ354" s="508"/>
      <c r="RHK354" s="513"/>
      <c r="RHL354" s="508"/>
      <c r="RHM354" s="513"/>
      <c r="RHN354" s="508"/>
      <c r="RHO354" s="513"/>
      <c r="RHP354" s="508"/>
      <c r="RHQ354" s="513"/>
      <c r="RHR354" s="508"/>
      <c r="RHS354" s="513"/>
      <c r="RHT354" s="508"/>
      <c r="RHU354" s="513"/>
      <c r="RHV354" s="508"/>
      <c r="RHW354" s="513"/>
      <c r="RHX354" s="508"/>
      <c r="RHY354" s="513"/>
      <c r="RHZ354" s="508"/>
      <c r="RIA354" s="513"/>
      <c r="RIB354" s="508"/>
      <c r="RIC354" s="513"/>
      <c r="RID354" s="508"/>
      <c r="RIE354" s="513"/>
      <c r="RIF354" s="508"/>
      <c r="RIG354" s="513"/>
      <c r="RIH354" s="508"/>
      <c r="RII354" s="513"/>
      <c r="RIJ354" s="508"/>
      <c r="RIK354" s="513"/>
      <c r="RIL354" s="508"/>
      <c r="RIM354" s="513"/>
      <c r="RIN354" s="508"/>
      <c r="RIO354" s="513"/>
      <c r="RIP354" s="508"/>
      <c r="RIQ354" s="513"/>
      <c r="RIR354" s="508"/>
      <c r="RIS354" s="513"/>
      <c r="RIT354" s="508"/>
      <c r="RIU354" s="513"/>
      <c r="RIV354" s="508"/>
      <c r="RIW354" s="513"/>
      <c r="RIX354" s="508"/>
      <c r="RIY354" s="513"/>
      <c r="RIZ354" s="508"/>
      <c r="RJA354" s="513"/>
      <c r="RJB354" s="508"/>
      <c r="RJC354" s="513"/>
      <c r="RJD354" s="508"/>
      <c r="RJE354" s="513"/>
      <c r="RJF354" s="508"/>
      <c r="RJG354" s="513"/>
      <c r="RJH354" s="508"/>
      <c r="RJI354" s="513"/>
      <c r="RJJ354" s="508"/>
      <c r="RJK354" s="513"/>
      <c r="RJL354" s="508"/>
      <c r="RJM354" s="513"/>
      <c r="RJN354" s="508"/>
      <c r="RJO354" s="513"/>
      <c r="RJP354" s="508"/>
      <c r="RJQ354" s="513"/>
      <c r="RJR354" s="508"/>
      <c r="RJS354" s="513"/>
      <c r="RJT354" s="508"/>
      <c r="RJU354" s="513"/>
      <c r="RJV354" s="508"/>
      <c r="RJW354" s="513"/>
      <c r="RJX354" s="508"/>
      <c r="RJY354" s="513"/>
      <c r="RJZ354" s="508"/>
      <c r="RKA354" s="513"/>
      <c r="RKB354" s="508"/>
      <c r="RKC354" s="513"/>
      <c r="RKD354" s="508"/>
      <c r="RKE354" s="513"/>
      <c r="RKF354" s="508"/>
      <c r="RKG354" s="513"/>
      <c r="RKH354" s="508"/>
      <c r="RKI354" s="513"/>
      <c r="RKJ354" s="508"/>
      <c r="RKK354" s="513"/>
      <c r="RKL354" s="508"/>
      <c r="RKM354" s="513"/>
      <c r="RKN354" s="508"/>
      <c r="RKO354" s="513"/>
      <c r="RKP354" s="508"/>
      <c r="RKQ354" s="513"/>
      <c r="RKR354" s="508"/>
      <c r="RKS354" s="513"/>
      <c r="RKT354" s="508"/>
      <c r="RKU354" s="513"/>
      <c r="RKV354" s="508"/>
      <c r="RKW354" s="513"/>
      <c r="RKX354" s="508"/>
      <c r="RKY354" s="513"/>
      <c r="RKZ354" s="508"/>
      <c r="RLA354" s="513"/>
      <c r="RLB354" s="508"/>
      <c r="RLC354" s="513"/>
      <c r="RLD354" s="508"/>
      <c r="RLE354" s="513"/>
      <c r="RLF354" s="508"/>
      <c r="RLG354" s="513"/>
      <c r="RLH354" s="508"/>
      <c r="RLI354" s="513"/>
      <c r="RLJ354" s="508"/>
      <c r="RLK354" s="513"/>
      <c r="RLL354" s="508"/>
      <c r="RLM354" s="513"/>
      <c r="RLN354" s="508"/>
      <c r="RLO354" s="513"/>
      <c r="RLP354" s="508"/>
      <c r="RLQ354" s="513"/>
      <c r="RLR354" s="508"/>
      <c r="RLS354" s="513"/>
      <c r="RLT354" s="508"/>
      <c r="RLU354" s="513"/>
      <c r="RLV354" s="508"/>
      <c r="RLW354" s="513"/>
      <c r="RLX354" s="508"/>
      <c r="RLY354" s="513"/>
      <c r="RLZ354" s="508"/>
      <c r="RMA354" s="513"/>
      <c r="RMB354" s="508"/>
      <c r="RMC354" s="513"/>
      <c r="RMD354" s="508"/>
      <c r="RME354" s="513"/>
      <c r="RMF354" s="508"/>
      <c r="RMG354" s="513"/>
      <c r="RMH354" s="508"/>
      <c r="RMI354" s="513"/>
      <c r="RMJ354" s="508"/>
      <c r="RMK354" s="513"/>
      <c r="RML354" s="508"/>
      <c r="RMM354" s="513"/>
      <c r="RMN354" s="508"/>
      <c r="RMO354" s="513"/>
      <c r="RMP354" s="508"/>
      <c r="RMQ354" s="513"/>
      <c r="RMR354" s="508"/>
      <c r="RMS354" s="513"/>
      <c r="RMT354" s="508"/>
      <c r="RMU354" s="513"/>
      <c r="RMV354" s="508"/>
      <c r="RMW354" s="513"/>
      <c r="RMX354" s="508"/>
      <c r="RMY354" s="513"/>
      <c r="RMZ354" s="508"/>
      <c r="RNA354" s="513"/>
      <c r="RNB354" s="508"/>
      <c r="RNC354" s="513"/>
      <c r="RND354" s="508"/>
      <c r="RNE354" s="513"/>
      <c r="RNF354" s="508"/>
      <c r="RNG354" s="513"/>
      <c r="RNH354" s="508"/>
      <c r="RNI354" s="513"/>
      <c r="RNJ354" s="508"/>
      <c r="RNK354" s="513"/>
      <c r="RNL354" s="508"/>
      <c r="RNM354" s="513"/>
      <c r="RNN354" s="508"/>
      <c r="RNO354" s="513"/>
      <c r="RNP354" s="508"/>
      <c r="RNQ354" s="513"/>
      <c r="RNR354" s="508"/>
      <c r="RNS354" s="513"/>
      <c r="RNT354" s="508"/>
      <c r="RNU354" s="513"/>
      <c r="RNV354" s="508"/>
      <c r="RNW354" s="513"/>
      <c r="RNX354" s="508"/>
      <c r="RNY354" s="513"/>
      <c r="RNZ354" s="508"/>
      <c r="ROA354" s="513"/>
      <c r="ROB354" s="508"/>
      <c r="ROC354" s="513"/>
      <c r="ROD354" s="508"/>
      <c r="ROE354" s="513"/>
      <c r="ROF354" s="508"/>
      <c r="ROG354" s="513"/>
      <c r="ROH354" s="508"/>
      <c r="ROI354" s="513"/>
      <c r="ROJ354" s="508"/>
      <c r="ROK354" s="513"/>
      <c r="ROL354" s="508"/>
      <c r="ROM354" s="513"/>
      <c r="RON354" s="508"/>
      <c r="ROO354" s="513"/>
      <c r="ROP354" s="508"/>
      <c r="ROQ354" s="513"/>
      <c r="ROR354" s="508"/>
      <c r="ROS354" s="513"/>
      <c r="ROT354" s="508"/>
      <c r="ROU354" s="513"/>
      <c r="ROV354" s="508"/>
      <c r="ROW354" s="513"/>
      <c r="ROX354" s="508"/>
      <c r="ROY354" s="513"/>
      <c r="ROZ354" s="508"/>
      <c r="RPA354" s="513"/>
      <c r="RPB354" s="508"/>
      <c r="RPC354" s="513"/>
      <c r="RPD354" s="508"/>
      <c r="RPE354" s="513"/>
      <c r="RPF354" s="508"/>
      <c r="RPG354" s="513"/>
      <c r="RPH354" s="508"/>
      <c r="RPI354" s="513"/>
      <c r="RPJ354" s="508"/>
      <c r="RPK354" s="513"/>
      <c r="RPL354" s="508"/>
      <c r="RPM354" s="513"/>
      <c r="RPN354" s="508"/>
      <c r="RPO354" s="513"/>
      <c r="RPP354" s="508"/>
      <c r="RPQ354" s="513"/>
      <c r="RPR354" s="508"/>
      <c r="RPS354" s="513"/>
      <c r="RPT354" s="508"/>
      <c r="RPU354" s="513"/>
      <c r="RPV354" s="508"/>
      <c r="RPW354" s="513"/>
      <c r="RPX354" s="508"/>
      <c r="RPY354" s="513"/>
      <c r="RPZ354" s="508"/>
      <c r="RQA354" s="513"/>
      <c r="RQB354" s="508"/>
      <c r="RQC354" s="513"/>
      <c r="RQD354" s="508"/>
      <c r="RQE354" s="513"/>
      <c r="RQF354" s="508"/>
      <c r="RQG354" s="513"/>
      <c r="RQH354" s="508"/>
      <c r="RQI354" s="513"/>
      <c r="RQJ354" s="508"/>
      <c r="RQK354" s="513"/>
      <c r="RQL354" s="508"/>
      <c r="RQM354" s="513"/>
      <c r="RQN354" s="508"/>
      <c r="RQO354" s="513"/>
      <c r="RQP354" s="508"/>
      <c r="RQQ354" s="513"/>
      <c r="RQR354" s="508"/>
      <c r="RQS354" s="513"/>
      <c r="RQT354" s="508"/>
      <c r="RQU354" s="513"/>
      <c r="RQV354" s="508"/>
      <c r="RQW354" s="513"/>
      <c r="RQX354" s="508"/>
      <c r="RQY354" s="513"/>
      <c r="RQZ354" s="508"/>
      <c r="RRA354" s="513"/>
      <c r="RRB354" s="508"/>
      <c r="RRC354" s="513"/>
      <c r="RRD354" s="508"/>
      <c r="RRE354" s="513"/>
      <c r="RRF354" s="508"/>
      <c r="RRG354" s="513"/>
      <c r="RRH354" s="508"/>
      <c r="RRI354" s="513"/>
      <c r="RRJ354" s="508"/>
      <c r="RRK354" s="513"/>
      <c r="RRL354" s="508"/>
      <c r="RRM354" s="513"/>
      <c r="RRN354" s="508"/>
      <c r="RRO354" s="513"/>
      <c r="RRP354" s="508"/>
      <c r="RRQ354" s="513"/>
      <c r="RRR354" s="508"/>
      <c r="RRS354" s="513"/>
      <c r="RRT354" s="508"/>
      <c r="RRU354" s="513"/>
      <c r="RRV354" s="508"/>
      <c r="RRW354" s="513"/>
      <c r="RRX354" s="508"/>
      <c r="RRY354" s="513"/>
      <c r="RRZ354" s="508"/>
      <c r="RSA354" s="513"/>
      <c r="RSB354" s="508"/>
      <c r="RSC354" s="513"/>
      <c r="RSD354" s="508"/>
      <c r="RSE354" s="513"/>
      <c r="RSF354" s="508"/>
      <c r="RSG354" s="513"/>
      <c r="RSH354" s="508"/>
      <c r="RSI354" s="513"/>
      <c r="RSJ354" s="508"/>
      <c r="RSK354" s="513"/>
      <c r="RSL354" s="508"/>
      <c r="RSM354" s="513"/>
      <c r="RSN354" s="508"/>
      <c r="RSO354" s="513"/>
      <c r="RSP354" s="508"/>
      <c r="RSQ354" s="513"/>
      <c r="RSR354" s="508"/>
      <c r="RSS354" s="513"/>
      <c r="RST354" s="508"/>
      <c r="RSU354" s="513"/>
      <c r="RSV354" s="508"/>
      <c r="RSW354" s="513"/>
      <c r="RSX354" s="508"/>
      <c r="RSY354" s="513"/>
      <c r="RSZ354" s="508"/>
      <c r="RTA354" s="513"/>
      <c r="RTB354" s="508"/>
      <c r="RTC354" s="513"/>
      <c r="RTD354" s="508"/>
      <c r="RTE354" s="513"/>
      <c r="RTF354" s="508"/>
      <c r="RTG354" s="513"/>
      <c r="RTH354" s="508"/>
      <c r="RTI354" s="513"/>
      <c r="RTJ354" s="508"/>
      <c r="RTK354" s="513"/>
      <c r="RTL354" s="508"/>
      <c r="RTM354" s="513"/>
      <c r="RTN354" s="508"/>
      <c r="RTO354" s="513"/>
      <c r="RTP354" s="508"/>
      <c r="RTQ354" s="513"/>
      <c r="RTR354" s="508"/>
      <c r="RTS354" s="513"/>
      <c r="RTT354" s="508"/>
      <c r="RTU354" s="513"/>
      <c r="RTV354" s="508"/>
      <c r="RTW354" s="513"/>
      <c r="RTX354" s="508"/>
      <c r="RTY354" s="513"/>
      <c r="RTZ354" s="508"/>
      <c r="RUA354" s="513"/>
      <c r="RUB354" s="508"/>
      <c r="RUC354" s="513"/>
      <c r="RUD354" s="508"/>
      <c r="RUE354" s="513"/>
      <c r="RUF354" s="508"/>
      <c r="RUG354" s="513"/>
      <c r="RUH354" s="508"/>
      <c r="RUI354" s="513"/>
      <c r="RUJ354" s="508"/>
      <c r="RUK354" s="513"/>
      <c r="RUL354" s="508"/>
      <c r="RUM354" s="513"/>
      <c r="RUN354" s="508"/>
      <c r="RUO354" s="513"/>
      <c r="RUP354" s="508"/>
      <c r="RUQ354" s="513"/>
      <c r="RUR354" s="508"/>
      <c r="RUS354" s="513"/>
      <c r="RUT354" s="508"/>
      <c r="RUU354" s="513"/>
      <c r="RUV354" s="508"/>
      <c r="RUW354" s="513"/>
      <c r="RUX354" s="508"/>
      <c r="RUY354" s="513"/>
      <c r="RUZ354" s="508"/>
      <c r="RVA354" s="513"/>
      <c r="RVB354" s="508"/>
      <c r="RVC354" s="513"/>
      <c r="RVD354" s="508"/>
      <c r="RVE354" s="513"/>
      <c r="RVF354" s="508"/>
      <c r="RVG354" s="513"/>
      <c r="RVH354" s="508"/>
      <c r="RVI354" s="513"/>
      <c r="RVJ354" s="508"/>
      <c r="RVK354" s="513"/>
      <c r="RVL354" s="508"/>
      <c r="RVM354" s="513"/>
      <c r="RVN354" s="508"/>
      <c r="RVO354" s="513"/>
      <c r="RVP354" s="508"/>
      <c r="RVQ354" s="513"/>
      <c r="RVR354" s="508"/>
      <c r="RVS354" s="513"/>
      <c r="RVT354" s="508"/>
      <c r="RVU354" s="513"/>
      <c r="RVV354" s="508"/>
      <c r="RVW354" s="513"/>
      <c r="RVX354" s="508"/>
      <c r="RVY354" s="513"/>
      <c r="RVZ354" s="508"/>
      <c r="RWA354" s="513"/>
      <c r="RWB354" s="508"/>
      <c r="RWC354" s="513"/>
      <c r="RWD354" s="508"/>
      <c r="RWE354" s="513"/>
      <c r="RWF354" s="508"/>
      <c r="RWG354" s="513"/>
      <c r="RWH354" s="508"/>
      <c r="RWI354" s="513"/>
      <c r="RWJ354" s="508"/>
      <c r="RWK354" s="513"/>
      <c r="RWL354" s="508"/>
      <c r="RWM354" s="513"/>
      <c r="RWN354" s="508"/>
      <c r="RWO354" s="513"/>
      <c r="RWP354" s="508"/>
      <c r="RWQ354" s="513"/>
      <c r="RWR354" s="508"/>
      <c r="RWS354" s="513"/>
      <c r="RWT354" s="508"/>
      <c r="RWU354" s="513"/>
      <c r="RWV354" s="508"/>
      <c r="RWW354" s="513"/>
      <c r="RWX354" s="508"/>
      <c r="RWY354" s="513"/>
      <c r="RWZ354" s="508"/>
      <c r="RXA354" s="513"/>
      <c r="RXB354" s="508"/>
      <c r="RXC354" s="513"/>
      <c r="RXD354" s="508"/>
      <c r="RXE354" s="513"/>
      <c r="RXF354" s="508"/>
      <c r="RXG354" s="513"/>
      <c r="RXH354" s="508"/>
      <c r="RXI354" s="513"/>
      <c r="RXJ354" s="508"/>
      <c r="RXK354" s="513"/>
      <c r="RXL354" s="508"/>
      <c r="RXM354" s="513"/>
      <c r="RXN354" s="508"/>
      <c r="RXO354" s="513"/>
      <c r="RXP354" s="508"/>
      <c r="RXQ354" s="513"/>
      <c r="RXR354" s="508"/>
      <c r="RXS354" s="513"/>
      <c r="RXT354" s="508"/>
      <c r="RXU354" s="513"/>
      <c r="RXV354" s="508"/>
      <c r="RXW354" s="513"/>
      <c r="RXX354" s="508"/>
      <c r="RXY354" s="513"/>
      <c r="RXZ354" s="508"/>
      <c r="RYA354" s="513"/>
      <c r="RYB354" s="508"/>
      <c r="RYC354" s="513"/>
      <c r="RYD354" s="508"/>
      <c r="RYE354" s="513"/>
      <c r="RYF354" s="508"/>
      <c r="RYG354" s="513"/>
      <c r="RYH354" s="508"/>
      <c r="RYI354" s="513"/>
      <c r="RYJ354" s="508"/>
      <c r="RYK354" s="513"/>
      <c r="RYL354" s="508"/>
      <c r="RYM354" s="513"/>
      <c r="RYN354" s="508"/>
      <c r="RYO354" s="513"/>
      <c r="RYP354" s="508"/>
      <c r="RYQ354" s="513"/>
      <c r="RYR354" s="508"/>
      <c r="RYS354" s="513"/>
      <c r="RYT354" s="508"/>
      <c r="RYU354" s="513"/>
      <c r="RYV354" s="508"/>
      <c r="RYW354" s="513"/>
      <c r="RYX354" s="508"/>
      <c r="RYY354" s="513"/>
      <c r="RYZ354" s="508"/>
      <c r="RZA354" s="513"/>
      <c r="RZB354" s="508"/>
      <c r="RZC354" s="513"/>
      <c r="RZD354" s="508"/>
      <c r="RZE354" s="513"/>
      <c r="RZF354" s="508"/>
      <c r="RZG354" s="513"/>
      <c r="RZH354" s="508"/>
      <c r="RZI354" s="513"/>
      <c r="RZJ354" s="508"/>
      <c r="RZK354" s="513"/>
      <c r="RZL354" s="508"/>
      <c r="RZM354" s="513"/>
      <c r="RZN354" s="508"/>
      <c r="RZO354" s="513"/>
      <c r="RZP354" s="508"/>
      <c r="RZQ354" s="513"/>
      <c r="RZR354" s="508"/>
      <c r="RZS354" s="513"/>
      <c r="RZT354" s="508"/>
      <c r="RZU354" s="513"/>
      <c r="RZV354" s="508"/>
      <c r="RZW354" s="513"/>
      <c r="RZX354" s="508"/>
      <c r="RZY354" s="513"/>
      <c r="RZZ354" s="508"/>
      <c r="SAA354" s="513"/>
      <c r="SAB354" s="508"/>
      <c r="SAC354" s="513"/>
      <c r="SAD354" s="508"/>
      <c r="SAE354" s="513"/>
      <c r="SAF354" s="508"/>
      <c r="SAG354" s="513"/>
      <c r="SAH354" s="508"/>
      <c r="SAI354" s="513"/>
      <c r="SAJ354" s="508"/>
      <c r="SAK354" s="513"/>
      <c r="SAL354" s="508"/>
      <c r="SAM354" s="513"/>
      <c r="SAN354" s="508"/>
      <c r="SAO354" s="513"/>
      <c r="SAP354" s="508"/>
      <c r="SAQ354" s="513"/>
      <c r="SAR354" s="508"/>
      <c r="SAS354" s="513"/>
      <c r="SAT354" s="508"/>
      <c r="SAU354" s="513"/>
      <c r="SAV354" s="508"/>
      <c r="SAW354" s="513"/>
      <c r="SAX354" s="508"/>
      <c r="SAY354" s="513"/>
      <c r="SAZ354" s="508"/>
      <c r="SBA354" s="513"/>
      <c r="SBB354" s="508"/>
      <c r="SBC354" s="513"/>
      <c r="SBD354" s="508"/>
      <c r="SBE354" s="513"/>
      <c r="SBF354" s="508"/>
      <c r="SBG354" s="513"/>
      <c r="SBH354" s="508"/>
      <c r="SBI354" s="513"/>
      <c r="SBJ354" s="508"/>
      <c r="SBK354" s="513"/>
      <c r="SBL354" s="508"/>
      <c r="SBM354" s="513"/>
      <c r="SBN354" s="508"/>
      <c r="SBO354" s="513"/>
      <c r="SBP354" s="508"/>
      <c r="SBQ354" s="513"/>
      <c r="SBR354" s="508"/>
      <c r="SBS354" s="513"/>
      <c r="SBT354" s="508"/>
      <c r="SBU354" s="513"/>
      <c r="SBV354" s="508"/>
      <c r="SBW354" s="513"/>
      <c r="SBX354" s="508"/>
      <c r="SBY354" s="513"/>
      <c r="SBZ354" s="508"/>
      <c r="SCA354" s="513"/>
      <c r="SCB354" s="508"/>
      <c r="SCC354" s="513"/>
      <c r="SCD354" s="508"/>
      <c r="SCE354" s="513"/>
      <c r="SCF354" s="508"/>
      <c r="SCG354" s="513"/>
      <c r="SCH354" s="508"/>
      <c r="SCI354" s="513"/>
      <c r="SCJ354" s="508"/>
      <c r="SCK354" s="513"/>
      <c r="SCL354" s="508"/>
      <c r="SCM354" s="513"/>
      <c r="SCN354" s="508"/>
      <c r="SCO354" s="513"/>
      <c r="SCP354" s="508"/>
      <c r="SCQ354" s="513"/>
      <c r="SCR354" s="508"/>
      <c r="SCS354" s="513"/>
      <c r="SCT354" s="508"/>
      <c r="SCU354" s="513"/>
      <c r="SCV354" s="508"/>
      <c r="SCW354" s="513"/>
      <c r="SCX354" s="508"/>
      <c r="SCY354" s="513"/>
      <c r="SCZ354" s="508"/>
      <c r="SDA354" s="513"/>
      <c r="SDB354" s="508"/>
      <c r="SDC354" s="513"/>
      <c r="SDD354" s="508"/>
      <c r="SDE354" s="513"/>
      <c r="SDF354" s="508"/>
      <c r="SDG354" s="513"/>
      <c r="SDH354" s="508"/>
      <c r="SDI354" s="513"/>
      <c r="SDJ354" s="508"/>
      <c r="SDK354" s="513"/>
      <c r="SDL354" s="508"/>
      <c r="SDM354" s="513"/>
      <c r="SDN354" s="508"/>
      <c r="SDO354" s="513"/>
      <c r="SDP354" s="508"/>
      <c r="SDQ354" s="513"/>
      <c r="SDR354" s="508"/>
      <c r="SDS354" s="513"/>
      <c r="SDT354" s="508"/>
      <c r="SDU354" s="513"/>
      <c r="SDV354" s="508"/>
      <c r="SDW354" s="513"/>
      <c r="SDX354" s="508"/>
      <c r="SDY354" s="513"/>
      <c r="SDZ354" s="508"/>
      <c r="SEA354" s="513"/>
      <c r="SEB354" s="508"/>
      <c r="SEC354" s="513"/>
      <c r="SED354" s="508"/>
      <c r="SEE354" s="513"/>
      <c r="SEF354" s="508"/>
      <c r="SEG354" s="513"/>
      <c r="SEH354" s="508"/>
      <c r="SEI354" s="513"/>
      <c r="SEJ354" s="508"/>
      <c r="SEK354" s="513"/>
      <c r="SEL354" s="508"/>
      <c r="SEM354" s="513"/>
      <c r="SEN354" s="508"/>
      <c r="SEO354" s="513"/>
      <c r="SEP354" s="508"/>
      <c r="SEQ354" s="513"/>
      <c r="SER354" s="508"/>
      <c r="SES354" s="513"/>
      <c r="SET354" s="508"/>
      <c r="SEU354" s="513"/>
      <c r="SEV354" s="508"/>
      <c r="SEW354" s="513"/>
      <c r="SEX354" s="508"/>
      <c r="SEY354" s="513"/>
      <c r="SEZ354" s="508"/>
      <c r="SFA354" s="513"/>
      <c r="SFB354" s="508"/>
      <c r="SFC354" s="513"/>
      <c r="SFD354" s="508"/>
      <c r="SFE354" s="513"/>
      <c r="SFF354" s="508"/>
      <c r="SFG354" s="513"/>
      <c r="SFH354" s="508"/>
      <c r="SFI354" s="513"/>
      <c r="SFJ354" s="508"/>
      <c r="SFK354" s="513"/>
      <c r="SFL354" s="508"/>
      <c r="SFM354" s="513"/>
      <c r="SFN354" s="508"/>
      <c r="SFO354" s="513"/>
      <c r="SFP354" s="508"/>
      <c r="SFQ354" s="513"/>
      <c r="SFR354" s="508"/>
      <c r="SFS354" s="513"/>
      <c r="SFT354" s="508"/>
      <c r="SFU354" s="513"/>
      <c r="SFV354" s="508"/>
      <c r="SFW354" s="513"/>
      <c r="SFX354" s="508"/>
      <c r="SFY354" s="513"/>
      <c r="SFZ354" s="508"/>
      <c r="SGA354" s="513"/>
      <c r="SGB354" s="508"/>
      <c r="SGC354" s="513"/>
      <c r="SGD354" s="508"/>
      <c r="SGE354" s="513"/>
      <c r="SGF354" s="508"/>
      <c r="SGG354" s="513"/>
      <c r="SGH354" s="508"/>
      <c r="SGI354" s="513"/>
      <c r="SGJ354" s="508"/>
      <c r="SGK354" s="513"/>
      <c r="SGL354" s="508"/>
      <c r="SGM354" s="513"/>
      <c r="SGN354" s="508"/>
      <c r="SGO354" s="513"/>
      <c r="SGP354" s="508"/>
      <c r="SGQ354" s="513"/>
      <c r="SGR354" s="508"/>
      <c r="SGS354" s="513"/>
      <c r="SGT354" s="508"/>
      <c r="SGU354" s="513"/>
      <c r="SGV354" s="508"/>
      <c r="SGW354" s="513"/>
      <c r="SGX354" s="508"/>
      <c r="SGY354" s="513"/>
      <c r="SGZ354" s="508"/>
      <c r="SHA354" s="513"/>
      <c r="SHB354" s="508"/>
      <c r="SHC354" s="513"/>
      <c r="SHD354" s="508"/>
      <c r="SHE354" s="513"/>
      <c r="SHF354" s="508"/>
      <c r="SHG354" s="513"/>
      <c r="SHH354" s="508"/>
      <c r="SHI354" s="513"/>
      <c r="SHJ354" s="508"/>
      <c r="SHK354" s="513"/>
      <c r="SHL354" s="508"/>
      <c r="SHM354" s="513"/>
      <c r="SHN354" s="508"/>
      <c r="SHO354" s="513"/>
      <c r="SHP354" s="508"/>
      <c r="SHQ354" s="513"/>
      <c r="SHR354" s="508"/>
      <c r="SHS354" s="513"/>
      <c r="SHT354" s="508"/>
      <c r="SHU354" s="513"/>
      <c r="SHV354" s="508"/>
      <c r="SHW354" s="513"/>
      <c r="SHX354" s="508"/>
      <c r="SHY354" s="513"/>
      <c r="SHZ354" s="508"/>
      <c r="SIA354" s="513"/>
      <c r="SIB354" s="508"/>
      <c r="SIC354" s="513"/>
      <c r="SID354" s="508"/>
      <c r="SIE354" s="513"/>
      <c r="SIF354" s="508"/>
      <c r="SIG354" s="513"/>
      <c r="SIH354" s="508"/>
      <c r="SII354" s="513"/>
      <c r="SIJ354" s="508"/>
      <c r="SIK354" s="513"/>
      <c r="SIL354" s="508"/>
      <c r="SIM354" s="513"/>
      <c r="SIN354" s="508"/>
      <c r="SIO354" s="513"/>
      <c r="SIP354" s="508"/>
      <c r="SIQ354" s="513"/>
      <c r="SIR354" s="508"/>
      <c r="SIS354" s="513"/>
      <c r="SIT354" s="508"/>
      <c r="SIU354" s="513"/>
      <c r="SIV354" s="508"/>
      <c r="SIW354" s="513"/>
      <c r="SIX354" s="508"/>
      <c r="SIY354" s="513"/>
      <c r="SIZ354" s="508"/>
      <c r="SJA354" s="513"/>
      <c r="SJB354" s="508"/>
      <c r="SJC354" s="513"/>
      <c r="SJD354" s="508"/>
      <c r="SJE354" s="513"/>
      <c r="SJF354" s="508"/>
      <c r="SJG354" s="513"/>
      <c r="SJH354" s="508"/>
      <c r="SJI354" s="513"/>
      <c r="SJJ354" s="508"/>
      <c r="SJK354" s="513"/>
      <c r="SJL354" s="508"/>
      <c r="SJM354" s="513"/>
      <c r="SJN354" s="508"/>
      <c r="SJO354" s="513"/>
      <c r="SJP354" s="508"/>
      <c r="SJQ354" s="513"/>
      <c r="SJR354" s="508"/>
      <c r="SJS354" s="513"/>
      <c r="SJT354" s="508"/>
      <c r="SJU354" s="513"/>
      <c r="SJV354" s="508"/>
      <c r="SJW354" s="513"/>
      <c r="SJX354" s="508"/>
      <c r="SJY354" s="513"/>
      <c r="SJZ354" s="508"/>
      <c r="SKA354" s="513"/>
      <c r="SKB354" s="508"/>
      <c r="SKC354" s="513"/>
      <c r="SKD354" s="508"/>
      <c r="SKE354" s="513"/>
      <c r="SKF354" s="508"/>
      <c r="SKG354" s="513"/>
      <c r="SKH354" s="508"/>
      <c r="SKI354" s="513"/>
      <c r="SKJ354" s="508"/>
      <c r="SKK354" s="513"/>
      <c r="SKL354" s="508"/>
      <c r="SKM354" s="513"/>
      <c r="SKN354" s="508"/>
      <c r="SKO354" s="513"/>
      <c r="SKP354" s="508"/>
      <c r="SKQ354" s="513"/>
      <c r="SKR354" s="508"/>
      <c r="SKS354" s="513"/>
      <c r="SKT354" s="508"/>
      <c r="SKU354" s="513"/>
      <c r="SKV354" s="508"/>
      <c r="SKW354" s="513"/>
      <c r="SKX354" s="508"/>
      <c r="SKY354" s="513"/>
      <c r="SKZ354" s="508"/>
      <c r="SLA354" s="513"/>
      <c r="SLB354" s="508"/>
      <c r="SLC354" s="513"/>
      <c r="SLD354" s="508"/>
      <c r="SLE354" s="513"/>
      <c r="SLF354" s="508"/>
      <c r="SLG354" s="513"/>
      <c r="SLH354" s="508"/>
      <c r="SLI354" s="513"/>
      <c r="SLJ354" s="508"/>
      <c r="SLK354" s="513"/>
      <c r="SLL354" s="508"/>
      <c r="SLM354" s="513"/>
      <c r="SLN354" s="508"/>
      <c r="SLO354" s="513"/>
      <c r="SLP354" s="508"/>
      <c r="SLQ354" s="513"/>
      <c r="SLR354" s="508"/>
      <c r="SLS354" s="513"/>
      <c r="SLT354" s="508"/>
      <c r="SLU354" s="513"/>
      <c r="SLV354" s="508"/>
      <c r="SLW354" s="513"/>
      <c r="SLX354" s="508"/>
      <c r="SLY354" s="513"/>
      <c r="SLZ354" s="508"/>
      <c r="SMA354" s="513"/>
      <c r="SMB354" s="508"/>
      <c r="SMC354" s="513"/>
      <c r="SMD354" s="508"/>
      <c r="SME354" s="513"/>
      <c r="SMF354" s="508"/>
      <c r="SMG354" s="513"/>
      <c r="SMH354" s="508"/>
      <c r="SMI354" s="513"/>
      <c r="SMJ354" s="508"/>
      <c r="SMK354" s="513"/>
      <c r="SML354" s="508"/>
      <c r="SMM354" s="513"/>
      <c r="SMN354" s="508"/>
      <c r="SMO354" s="513"/>
      <c r="SMP354" s="508"/>
      <c r="SMQ354" s="513"/>
      <c r="SMR354" s="508"/>
      <c r="SMS354" s="513"/>
      <c r="SMT354" s="508"/>
      <c r="SMU354" s="513"/>
      <c r="SMV354" s="508"/>
      <c r="SMW354" s="513"/>
      <c r="SMX354" s="508"/>
      <c r="SMY354" s="513"/>
      <c r="SMZ354" s="508"/>
      <c r="SNA354" s="513"/>
      <c r="SNB354" s="508"/>
      <c r="SNC354" s="513"/>
      <c r="SND354" s="508"/>
      <c r="SNE354" s="513"/>
      <c r="SNF354" s="508"/>
      <c r="SNG354" s="513"/>
      <c r="SNH354" s="508"/>
      <c r="SNI354" s="513"/>
      <c r="SNJ354" s="508"/>
      <c r="SNK354" s="513"/>
      <c r="SNL354" s="508"/>
      <c r="SNM354" s="513"/>
      <c r="SNN354" s="508"/>
      <c r="SNO354" s="513"/>
      <c r="SNP354" s="508"/>
      <c r="SNQ354" s="513"/>
      <c r="SNR354" s="508"/>
      <c r="SNS354" s="513"/>
      <c r="SNT354" s="508"/>
      <c r="SNU354" s="513"/>
      <c r="SNV354" s="508"/>
      <c r="SNW354" s="513"/>
      <c r="SNX354" s="508"/>
      <c r="SNY354" s="513"/>
      <c r="SNZ354" s="508"/>
      <c r="SOA354" s="513"/>
      <c r="SOB354" s="508"/>
      <c r="SOC354" s="513"/>
      <c r="SOD354" s="508"/>
      <c r="SOE354" s="513"/>
      <c r="SOF354" s="508"/>
      <c r="SOG354" s="513"/>
      <c r="SOH354" s="508"/>
      <c r="SOI354" s="513"/>
      <c r="SOJ354" s="508"/>
      <c r="SOK354" s="513"/>
      <c r="SOL354" s="508"/>
      <c r="SOM354" s="513"/>
      <c r="SON354" s="508"/>
      <c r="SOO354" s="513"/>
      <c r="SOP354" s="508"/>
      <c r="SOQ354" s="513"/>
      <c r="SOR354" s="508"/>
      <c r="SOS354" s="513"/>
      <c r="SOT354" s="508"/>
      <c r="SOU354" s="513"/>
      <c r="SOV354" s="508"/>
      <c r="SOW354" s="513"/>
      <c r="SOX354" s="508"/>
      <c r="SOY354" s="513"/>
      <c r="SOZ354" s="508"/>
      <c r="SPA354" s="513"/>
      <c r="SPB354" s="508"/>
      <c r="SPC354" s="513"/>
      <c r="SPD354" s="508"/>
      <c r="SPE354" s="513"/>
      <c r="SPF354" s="508"/>
      <c r="SPG354" s="513"/>
      <c r="SPH354" s="508"/>
      <c r="SPI354" s="513"/>
      <c r="SPJ354" s="508"/>
      <c r="SPK354" s="513"/>
      <c r="SPL354" s="508"/>
      <c r="SPM354" s="513"/>
      <c r="SPN354" s="508"/>
      <c r="SPO354" s="513"/>
      <c r="SPP354" s="508"/>
      <c r="SPQ354" s="513"/>
      <c r="SPR354" s="508"/>
      <c r="SPS354" s="513"/>
      <c r="SPT354" s="508"/>
      <c r="SPU354" s="513"/>
      <c r="SPV354" s="508"/>
      <c r="SPW354" s="513"/>
      <c r="SPX354" s="508"/>
      <c r="SPY354" s="513"/>
      <c r="SPZ354" s="508"/>
      <c r="SQA354" s="513"/>
      <c r="SQB354" s="508"/>
      <c r="SQC354" s="513"/>
      <c r="SQD354" s="508"/>
      <c r="SQE354" s="513"/>
      <c r="SQF354" s="508"/>
      <c r="SQG354" s="513"/>
      <c r="SQH354" s="508"/>
      <c r="SQI354" s="513"/>
      <c r="SQJ354" s="508"/>
      <c r="SQK354" s="513"/>
      <c r="SQL354" s="508"/>
      <c r="SQM354" s="513"/>
      <c r="SQN354" s="508"/>
      <c r="SQO354" s="513"/>
      <c r="SQP354" s="508"/>
      <c r="SQQ354" s="513"/>
      <c r="SQR354" s="508"/>
      <c r="SQS354" s="513"/>
      <c r="SQT354" s="508"/>
      <c r="SQU354" s="513"/>
      <c r="SQV354" s="508"/>
      <c r="SQW354" s="513"/>
      <c r="SQX354" s="508"/>
      <c r="SQY354" s="513"/>
      <c r="SQZ354" s="508"/>
      <c r="SRA354" s="513"/>
      <c r="SRB354" s="508"/>
      <c r="SRC354" s="513"/>
      <c r="SRD354" s="508"/>
      <c r="SRE354" s="513"/>
      <c r="SRF354" s="508"/>
      <c r="SRG354" s="513"/>
      <c r="SRH354" s="508"/>
      <c r="SRI354" s="513"/>
      <c r="SRJ354" s="508"/>
      <c r="SRK354" s="513"/>
      <c r="SRL354" s="508"/>
      <c r="SRM354" s="513"/>
      <c r="SRN354" s="508"/>
      <c r="SRO354" s="513"/>
      <c r="SRP354" s="508"/>
      <c r="SRQ354" s="513"/>
      <c r="SRR354" s="508"/>
      <c r="SRS354" s="513"/>
      <c r="SRT354" s="508"/>
      <c r="SRU354" s="513"/>
      <c r="SRV354" s="508"/>
      <c r="SRW354" s="513"/>
      <c r="SRX354" s="508"/>
      <c r="SRY354" s="513"/>
      <c r="SRZ354" s="508"/>
      <c r="SSA354" s="513"/>
      <c r="SSB354" s="508"/>
      <c r="SSC354" s="513"/>
      <c r="SSD354" s="508"/>
      <c r="SSE354" s="513"/>
      <c r="SSF354" s="508"/>
      <c r="SSG354" s="513"/>
      <c r="SSH354" s="508"/>
      <c r="SSI354" s="513"/>
      <c r="SSJ354" s="508"/>
      <c r="SSK354" s="513"/>
      <c r="SSL354" s="508"/>
      <c r="SSM354" s="513"/>
      <c r="SSN354" s="508"/>
      <c r="SSO354" s="513"/>
      <c r="SSP354" s="508"/>
      <c r="SSQ354" s="513"/>
      <c r="SSR354" s="508"/>
      <c r="SSS354" s="513"/>
      <c r="SST354" s="508"/>
      <c r="SSU354" s="513"/>
      <c r="SSV354" s="508"/>
      <c r="SSW354" s="513"/>
      <c r="SSX354" s="508"/>
      <c r="SSY354" s="513"/>
      <c r="SSZ354" s="508"/>
      <c r="STA354" s="513"/>
      <c r="STB354" s="508"/>
      <c r="STC354" s="513"/>
      <c r="STD354" s="508"/>
      <c r="STE354" s="513"/>
      <c r="STF354" s="508"/>
      <c r="STG354" s="513"/>
      <c r="STH354" s="508"/>
      <c r="STI354" s="513"/>
      <c r="STJ354" s="508"/>
      <c r="STK354" s="513"/>
      <c r="STL354" s="508"/>
      <c r="STM354" s="513"/>
      <c r="STN354" s="508"/>
      <c r="STO354" s="513"/>
      <c r="STP354" s="508"/>
      <c r="STQ354" s="513"/>
      <c r="STR354" s="508"/>
      <c r="STS354" s="513"/>
      <c r="STT354" s="508"/>
      <c r="STU354" s="513"/>
      <c r="STV354" s="508"/>
      <c r="STW354" s="513"/>
      <c r="STX354" s="508"/>
      <c r="STY354" s="513"/>
      <c r="STZ354" s="508"/>
      <c r="SUA354" s="513"/>
      <c r="SUB354" s="508"/>
      <c r="SUC354" s="513"/>
      <c r="SUD354" s="508"/>
      <c r="SUE354" s="513"/>
      <c r="SUF354" s="508"/>
      <c r="SUG354" s="513"/>
      <c r="SUH354" s="508"/>
      <c r="SUI354" s="513"/>
      <c r="SUJ354" s="508"/>
      <c r="SUK354" s="513"/>
      <c r="SUL354" s="508"/>
      <c r="SUM354" s="513"/>
      <c r="SUN354" s="508"/>
      <c r="SUO354" s="513"/>
      <c r="SUP354" s="508"/>
      <c r="SUQ354" s="513"/>
      <c r="SUR354" s="508"/>
      <c r="SUS354" s="513"/>
      <c r="SUT354" s="508"/>
      <c r="SUU354" s="513"/>
      <c r="SUV354" s="508"/>
      <c r="SUW354" s="513"/>
      <c r="SUX354" s="508"/>
      <c r="SUY354" s="513"/>
      <c r="SUZ354" s="508"/>
      <c r="SVA354" s="513"/>
      <c r="SVB354" s="508"/>
      <c r="SVC354" s="513"/>
      <c r="SVD354" s="508"/>
      <c r="SVE354" s="513"/>
      <c r="SVF354" s="508"/>
      <c r="SVG354" s="513"/>
      <c r="SVH354" s="508"/>
      <c r="SVI354" s="513"/>
      <c r="SVJ354" s="508"/>
      <c r="SVK354" s="513"/>
      <c r="SVL354" s="508"/>
      <c r="SVM354" s="513"/>
      <c r="SVN354" s="508"/>
      <c r="SVO354" s="513"/>
      <c r="SVP354" s="508"/>
      <c r="SVQ354" s="513"/>
      <c r="SVR354" s="508"/>
      <c r="SVS354" s="513"/>
      <c r="SVT354" s="508"/>
      <c r="SVU354" s="513"/>
      <c r="SVV354" s="508"/>
      <c r="SVW354" s="513"/>
      <c r="SVX354" s="508"/>
      <c r="SVY354" s="513"/>
      <c r="SVZ354" s="508"/>
      <c r="SWA354" s="513"/>
      <c r="SWB354" s="508"/>
      <c r="SWC354" s="513"/>
      <c r="SWD354" s="508"/>
      <c r="SWE354" s="513"/>
      <c r="SWF354" s="508"/>
      <c r="SWG354" s="513"/>
      <c r="SWH354" s="508"/>
      <c r="SWI354" s="513"/>
      <c r="SWJ354" s="508"/>
      <c r="SWK354" s="513"/>
      <c r="SWL354" s="508"/>
      <c r="SWM354" s="513"/>
      <c r="SWN354" s="508"/>
      <c r="SWO354" s="513"/>
      <c r="SWP354" s="508"/>
      <c r="SWQ354" s="513"/>
      <c r="SWR354" s="508"/>
      <c r="SWS354" s="513"/>
      <c r="SWT354" s="508"/>
      <c r="SWU354" s="513"/>
      <c r="SWV354" s="508"/>
      <c r="SWW354" s="513"/>
      <c r="SWX354" s="508"/>
      <c r="SWY354" s="513"/>
      <c r="SWZ354" s="508"/>
      <c r="SXA354" s="513"/>
      <c r="SXB354" s="508"/>
      <c r="SXC354" s="513"/>
      <c r="SXD354" s="508"/>
      <c r="SXE354" s="513"/>
      <c r="SXF354" s="508"/>
      <c r="SXG354" s="513"/>
      <c r="SXH354" s="508"/>
      <c r="SXI354" s="513"/>
      <c r="SXJ354" s="508"/>
      <c r="SXK354" s="513"/>
      <c r="SXL354" s="508"/>
      <c r="SXM354" s="513"/>
      <c r="SXN354" s="508"/>
      <c r="SXO354" s="513"/>
      <c r="SXP354" s="508"/>
      <c r="SXQ354" s="513"/>
      <c r="SXR354" s="508"/>
      <c r="SXS354" s="513"/>
      <c r="SXT354" s="508"/>
      <c r="SXU354" s="513"/>
      <c r="SXV354" s="508"/>
      <c r="SXW354" s="513"/>
      <c r="SXX354" s="508"/>
      <c r="SXY354" s="513"/>
      <c r="SXZ354" s="508"/>
      <c r="SYA354" s="513"/>
      <c r="SYB354" s="508"/>
      <c r="SYC354" s="513"/>
      <c r="SYD354" s="508"/>
      <c r="SYE354" s="513"/>
      <c r="SYF354" s="508"/>
      <c r="SYG354" s="513"/>
      <c r="SYH354" s="508"/>
      <c r="SYI354" s="513"/>
      <c r="SYJ354" s="508"/>
      <c r="SYK354" s="513"/>
      <c r="SYL354" s="508"/>
      <c r="SYM354" s="513"/>
      <c r="SYN354" s="508"/>
      <c r="SYO354" s="513"/>
      <c r="SYP354" s="508"/>
      <c r="SYQ354" s="513"/>
      <c r="SYR354" s="508"/>
      <c r="SYS354" s="513"/>
      <c r="SYT354" s="508"/>
      <c r="SYU354" s="513"/>
      <c r="SYV354" s="508"/>
      <c r="SYW354" s="513"/>
      <c r="SYX354" s="508"/>
      <c r="SYY354" s="513"/>
      <c r="SYZ354" s="508"/>
      <c r="SZA354" s="513"/>
      <c r="SZB354" s="508"/>
      <c r="SZC354" s="513"/>
      <c r="SZD354" s="508"/>
      <c r="SZE354" s="513"/>
      <c r="SZF354" s="508"/>
      <c r="SZG354" s="513"/>
      <c r="SZH354" s="508"/>
      <c r="SZI354" s="513"/>
      <c r="SZJ354" s="508"/>
      <c r="SZK354" s="513"/>
      <c r="SZL354" s="508"/>
      <c r="SZM354" s="513"/>
      <c r="SZN354" s="508"/>
      <c r="SZO354" s="513"/>
      <c r="SZP354" s="508"/>
      <c r="SZQ354" s="513"/>
      <c r="SZR354" s="508"/>
      <c r="SZS354" s="513"/>
      <c r="SZT354" s="508"/>
      <c r="SZU354" s="513"/>
      <c r="SZV354" s="508"/>
      <c r="SZW354" s="513"/>
      <c r="SZX354" s="508"/>
      <c r="SZY354" s="513"/>
      <c r="SZZ354" s="508"/>
      <c r="TAA354" s="513"/>
      <c r="TAB354" s="508"/>
      <c r="TAC354" s="513"/>
      <c r="TAD354" s="508"/>
      <c r="TAE354" s="513"/>
      <c r="TAF354" s="508"/>
      <c r="TAG354" s="513"/>
      <c r="TAH354" s="508"/>
      <c r="TAI354" s="513"/>
      <c r="TAJ354" s="508"/>
      <c r="TAK354" s="513"/>
      <c r="TAL354" s="508"/>
      <c r="TAM354" s="513"/>
      <c r="TAN354" s="508"/>
      <c r="TAO354" s="513"/>
      <c r="TAP354" s="508"/>
      <c r="TAQ354" s="513"/>
      <c r="TAR354" s="508"/>
      <c r="TAS354" s="513"/>
      <c r="TAT354" s="508"/>
      <c r="TAU354" s="513"/>
      <c r="TAV354" s="508"/>
      <c r="TAW354" s="513"/>
      <c r="TAX354" s="508"/>
      <c r="TAY354" s="513"/>
      <c r="TAZ354" s="508"/>
      <c r="TBA354" s="513"/>
      <c r="TBB354" s="508"/>
      <c r="TBC354" s="513"/>
      <c r="TBD354" s="508"/>
      <c r="TBE354" s="513"/>
      <c r="TBF354" s="508"/>
      <c r="TBG354" s="513"/>
      <c r="TBH354" s="508"/>
      <c r="TBI354" s="513"/>
      <c r="TBJ354" s="508"/>
      <c r="TBK354" s="513"/>
      <c r="TBL354" s="508"/>
      <c r="TBM354" s="513"/>
      <c r="TBN354" s="508"/>
      <c r="TBO354" s="513"/>
      <c r="TBP354" s="508"/>
      <c r="TBQ354" s="513"/>
      <c r="TBR354" s="508"/>
      <c r="TBS354" s="513"/>
      <c r="TBT354" s="508"/>
      <c r="TBU354" s="513"/>
      <c r="TBV354" s="508"/>
      <c r="TBW354" s="513"/>
      <c r="TBX354" s="508"/>
      <c r="TBY354" s="513"/>
      <c r="TBZ354" s="508"/>
      <c r="TCA354" s="513"/>
      <c r="TCB354" s="508"/>
      <c r="TCC354" s="513"/>
      <c r="TCD354" s="508"/>
      <c r="TCE354" s="513"/>
      <c r="TCF354" s="508"/>
      <c r="TCG354" s="513"/>
      <c r="TCH354" s="508"/>
      <c r="TCI354" s="513"/>
      <c r="TCJ354" s="508"/>
      <c r="TCK354" s="513"/>
      <c r="TCL354" s="508"/>
      <c r="TCM354" s="513"/>
      <c r="TCN354" s="508"/>
      <c r="TCO354" s="513"/>
      <c r="TCP354" s="508"/>
      <c r="TCQ354" s="513"/>
      <c r="TCR354" s="508"/>
      <c r="TCS354" s="513"/>
      <c r="TCT354" s="508"/>
      <c r="TCU354" s="513"/>
      <c r="TCV354" s="508"/>
      <c r="TCW354" s="513"/>
      <c r="TCX354" s="508"/>
      <c r="TCY354" s="513"/>
      <c r="TCZ354" s="508"/>
      <c r="TDA354" s="513"/>
      <c r="TDB354" s="508"/>
      <c r="TDC354" s="513"/>
      <c r="TDD354" s="508"/>
      <c r="TDE354" s="513"/>
      <c r="TDF354" s="508"/>
      <c r="TDG354" s="513"/>
      <c r="TDH354" s="508"/>
      <c r="TDI354" s="513"/>
      <c r="TDJ354" s="508"/>
      <c r="TDK354" s="513"/>
      <c r="TDL354" s="508"/>
      <c r="TDM354" s="513"/>
      <c r="TDN354" s="508"/>
      <c r="TDO354" s="513"/>
      <c r="TDP354" s="508"/>
      <c r="TDQ354" s="513"/>
      <c r="TDR354" s="508"/>
      <c r="TDS354" s="513"/>
      <c r="TDT354" s="508"/>
      <c r="TDU354" s="513"/>
      <c r="TDV354" s="508"/>
      <c r="TDW354" s="513"/>
      <c r="TDX354" s="508"/>
      <c r="TDY354" s="513"/>
      <c r="TDZ354" s="508"/>
      <c r="TEA354" s="513"/>
      <c r="TEB354" s="508"/>
      <c r="TEC354" s="513"/>
      <c r="TED354" s="508"/>
      <c r="TEE354" s="513"/>
      <c r="TEF354" s="508"/>
      <c r="TEG354" s="513"/>
      <c r="TEH354" s="508"/>
      <c r="TEI354" s="513"/>
      <c r="TEJ354" s="508"/>
      <c r="TEK354" s="513"/>
      <c r="TEL354" s="508"/>
      <c r="TEM354" s="513"/>
      <c r="TEN354" s="508"/>
      <c r="TEO354" s="513"/>
      <c r="TEP354" s="508"/>
      <c r="TEQ354" s="513"/>
      <c r="TER354" s="508"/>
      <c r="TES354" s="513"/>
      <c r="TET354" s="508"/>
      <c r="TEU354" s="513"/>
      <c r="TEV354" s="508"/>
      <c r="TEW354" s="513"/>
      <c r="TEX354" s="508"/>
      <c r="TEY354" s="513"/>
      <c r="TEZ354" s="508"/>
      <c r="TFA354" s="513"/>
      <c r="TFB354" s="508"/>
      <c r="TFC354" s="513"/>
      <c r="TFD354" s="508"/>
      <c r="TFE354" s="513"/>
      <c r="TFF354" s="508"/>
      <c r="TFG354" s="513"/>
      <c r="TFH354" s="508"/>
      <c r="TFI354" s="513"/>
      <c r="TFJ354" s="508"/>
      <c r="TFK354" s="513"/>
      <c r="TFL354" s="508"/>
      <c r="TFM354" s="513"/>
      <c r="TFN354" s="508"/>
      <c r="TFO354" s="513"/>
      <c r="TFP354" s="508"/>
      <c r="TFQ354" s="513"/>
      <c r="TFR354" s="508"/>
      <c r="TFS354" s="513"/>
      <c r="TFT354" s="508"/>
      <c r="TFU354" s="513"/>
      <c r="TFV354" s="508"/>
      <c r="TFW354" s="513"/>
      <c r="TFX354" s="508"/>
      <c r="TFY354" s="513"/>
      <c r="TFZ354" s="508"/>
      <c r="TGA354" s="513"/>
      <c r="TGB354" s="508"/>
      <c r="TGC354" s="513"/>
      <c r="TGD354" s="508"/>
      <c r="TGE354" s="513"/>
      <c r="TGF354" s="508"/>
      <c r="TGG354" s="513"/>
      <c r="TGH354" s="508"/>
      <c r="TGI354" s="513"/>
      <c r="TGJ354" s="508"/>
      <c r="TGK354" s="513"/>
      <c r="TGL354" s="508"/>
      <c r="TGM354" s="513"/>
      <c r="TGN354" s="508"/>
      <c r="TGO354" s="513"/>
      <c r="TGP354" s="508"/>
      <c r="TGQ354" s="513"/>
      <c r="TGR354" s="508"/>
      <c r="TGS354" s="513"/>
      <c r="TGT354" s="508"/>
      <c r="TGU354" s="513"/>
      <c r="TGV354" s="508"/>
      <c r="TGW354" s="513"/>
      <c r="TGX354" s="508"/>
      <c r="TGY354" s="513"/>
      <c r="TGZ354" s="508"/>
      <c r="THA354" s="513"/>
      <c r="THB354" s="508"/>
      <c r="THC354" s="513"/>
      <c r="THD354" s="508"/>
      <c r="THE354" s="513"/>
      <c r="THF354" s="508"/>
      <c r="THG354" s="513"/>
      <c r="THH354" s="508"/>
      <c r="THI354" s="513"/>
      <c r="THJ354" s="508"/>
      <c r="THK354" s="513"/>
      <c r="THL354" s="508"/>
      <c r="THM354" s="513"/>
      <c r="THN354" s="508"/>
      <c r="THO354" s="513"/>
      <c r="THP354" s="508"/>
      <c r="THQ354" s="513"/>
      <c r="THR354" s="508"/>
      <c r="THS354" s="513"/>
      <c r="THT354" s="508"/>
      <c r="THU354" s="513"/>
      <c r="THV354" s="508"/>
      <c r="THW354" s="513"/>
      <c r="THX354" s="508"/>
      <c r="THY354" s="513"/>
      <c r="THZ354" s="508"/>
      <c r="TIA354" s="513"/>
      <c r="TIB354" s="508"/>
      <c r="TIC354" s="513"/>
      <c r="TID354" s="508"/>
      <c r="TIE354" s="513"/>
      <c r="TIF354" s="508"/>
      <c r="TIG354" s="513"/>
      <c r="TIH354" s="508"/>
      <c r="TII354" s="513"/>
      <c r="TIJ354" s="508"/>
      <c r="TIK354" s="513"/>
      <c r="TIL354" s="508"/>
      <c r="TIM354" s="513"/>
      <c r="TIN354" s="508"/>
      <c r="TIO354" s="513"/>
      <c r="TIP354" s="508"/>
      <c r="TIQ354" s="513"/>
      <c r="TIR354" s="508"/>
      <c r="TIS354" s="513"/>
      <c r="TIT354" s="508"/>
      <c r="TIU354" s="513"/>
      <c r="TIV354" s="508"/>
      <c r="TIW354" s="513"/>
      <c r="TIX354" s="508"/>
      <c r="TIY354" s="513"/>
      <c r="TIZ354" s="508"/>
      <c r="TJA354" s="513"/>
      <c r="TJB354" s="508"/>
      <c r="TJC354" s="513"/>
      <c r="TJD354" s="508"/>
      <c r="TJE354" s="513"/>
      <c r="TJF354" s="508"/>
      <c r="TJG354" s="513"/>
      <c r="TJH354" s="508"/>
      <c r="TJI354" s="513"/>
      <c r="TJJ354" s="508"/>
      <c r="TJK354" s="513"/>
      <c r="TJL354" s="508"/>
      <c r="TJM354" s="513"/>
      <c r="TJN354" s="508"/>
      <c r="TJO354" s="513"/>
      <c r="TJP354" s="508"/>
      <c r="TJQ354" s="513"/>
      <c r="TJR354" s="508"/>
      <c r="TJS354" s="513"/>
      <c r="TJT354" s="508"/>
      <c r="TJU354" s="513"/>
      <c r="TJV354" s="508"/>
      <c r="TJW354" s="513"/>
      <c r="TJX354" s="508"/>
      <c r="TJY354" s="513"/>
      <c r="TJZ354" s="508"/>
      <c r="TKA354" s="513"/>
      <c r="TKB354" s="508"/>
      <c r="TKC354" s="513"/>
      <c r="TKD354" s="508"/>
      <c r="TKE354" s="513"/>
      <c r="TKF354" s="508"/>
      <c r="TKG354" s="513"/>
      <c r="TKH354" s="508"/>
      <c r="TKI354" s="513"/>
      <c r="TKJ354" s="508"/>
      <c r="TKK354" s="513"/>
      <c r="TKL354" s="508"/>
      <c r="TKM354" s="513"/>
      <c r="TKN354" s="508"/>
      <c r="TKO354" s="513"/>
      <c r="TKP354" s="508"/>
      <c r="TKQ354" s="513"/>
      <c r="TKR354" s="508"/>
      <c r="TKS354" s="513"/>
      <c r="TKT354" s="508"/>
      <c r="TKU354" s="513"/>
      <c r="TKV354" s="508"/>
      <c r="TKW354" s="513"/>
      <c r="TKX354" s="508"/>
      <c r="TKY354" s="513"/>
      <c r="TKZ354" s="508"/>
      <c r="TLA354" s="513"/>
      <c r="TLB354" s="508"/>
      <c r="TLC354" s="513"/>
      <c r="TLD354" s="508"/>
      <c r="TLE354" s="513"/>
      <c r="TLF354" s="508"/>
      <c r="TLG354" s="513"/>
      <c r="TLH354" s="508"/>
      <c r="TLI354" s="513"/>
      <c r="TLJ354" s="508"/>
      <c r="TLK354" s="513"/>
      <c r="TLL354" s="508"/>
      <c r="TLM354" s="513"/>
      <c r="TLN354" s="508"/>
      <c r="TLO354" s="513"/>
      <c r="TLP354" s="508"/>
      <c r="TLQ354" s="513"/>
      <c r="TLR354" s="508"/>
      <c r="TLS354" s="513"/>
      <c r="TLT354" s="508"/>
      <c r="TLU354" s="513"/>
      <c r="TLV354" s="508"/>
      <c r="TLW354" s="513"/>
      <c r="TLX354" s="508"/>
      <c r="TLY354" s="513"/>
      <c r="TLZ354" s="508"/>
      <c r="TMA354" s="513"/>
      <c r="TMB354" s="508"/>
      <c r="TMC354" s="513"/>
      <c r="TMD354" s="508"/>
      <c r="TME354" s="513"/>
      <c r="TMF354" s="508"/>
      <c r="TMG354" s="513"/>
      <c r="TMH354" s="508"/>
      <c r="TMI354" s="513"/>
      <c r="TMJ354" s="508"/>
      <c r="TMK354" s="513"/>
      <c r="TML354" s="508"/>
      <c r="TMM354" s="513"/>
      <c r="TMN354" s="508"/>
      <c r="TMO354" s="513"/>
      <c r="TMP354" s="508"/>
      <c r="TMQ354" s="513"/>
      <c r="TMR354" s="508"/>
      <c r="TMS354" s="513"/>
      <c r="TMT354" s="508"/>
      <c r="TMU354" s="513"/>
      <c r="TMV354" s="508"/>
      <c r="TMW354" s="513"/>
      <c r="TMX354" s="508"/>
      <c r="TMY354" s="513"/>
      <c r="TMZ354" s="508"/>
      <c r="TNA354" s="513"/>
      <c r="TNB354" s="508"/>
      <c r="TNC354" s="513"/>
      <c r="TND354" s="508"/>
      <c r="TNE354" s="513"/>
      <c r="TNF354" s="508"/>
      <c r="TNG354" s="513"/>
      <c r="TNH354" s="508"/>
      <c r="TNI354" s="513"/>
      <c r="TNJ354" s="508"/>
      <c r="TNK354" s="513"/>
      <c r="TNL354" s="508"/>
      <c r="TNM354" s="513"/>
      <c r="TNN354" s="508"/>
      <c r="TNO354" s="513"/>
      <c r="TNP354" s="508"/>
      <c r="TNQ354" s="513"/>
      <c r="TNR354" s="508"/>
      <c r="TNS354" s="513"/>
      <c r="TNT354" s="508"/>
      <c r="TNU354" s="513"/>
      <c r="TNV354" s="508"/>
      <c r="TNW354" s="513"/>
      <c r="TNX354" s="508"/>
      <c r="TNY354" s="513"/>
      <c r="TNZ354" s="508"/>
      <c r="TOA354" s="513"/>
      <c r="TOB354" s="508"/>
      <c r="TOC354" s="513"/>
      <c r="TOD354" s="508"/>
      <c r="TOE354" s="513"/>
      <c r="TOF354" s="508"/>
      <c r="TOG354" s="513"/>
      <c r="TOH354" s="508"/>
      <c r="TOI354" s="513"/>
      <c r="TOJ354" s="508"/>
      <c r="TOK354" s="513"/>
      <c r="TOL354" s="508"/>
      <c r="TOM354" s="513"/>
      <c r="TON354" s="508"/>
      <c r="TOO354" s="513"/>
      <c r="TOP354" s="508"/>
      <c r="TOQ354" s="513"/>
      <c r="TOR354" s="508"/>
      <c r="TOS354" s="513"/>
      <c r="TOT354" s="508"/>
      <c r="TOU354" s="513"/>
      <c r="TOV354" s="508"/>
      <c r="TOW354" s="513"/>
      <c r="TOX354" s="508"/>
      <c r="TOY354" s="513"/>
      <c r="TOZ354" s="508"/>
      <c r="TPA354" s="513"/>
      <c r="TPB354" s="508"/>
      <c r="TPC354" s="513"/>
      <c r="TPD354" s="508"/>
      <c r="TPE354" s="513"/>
      <c r="TPF354" s="508"/>
      <c r="TPG354" s="513"/>
      <c r="TPH354" s="508"/>
      <c r="TPI354" s="513"/>
      <c r="TPJ354" s="508"/>
      <c r="TPK354" s="513"/>
      <c r="TPL354" s="508"/>
      <c r="TPM354" s="513"/>
      <c r="TPN354" s="508"/>
      <c r="TPO354" s="513"/>
      <c r="TPP354" s="508"/>
      <c r="TPQ354" s="513"/>
      <c r="TPR354" s="508"/>
      <c r="TPS354" s="513"/>
      <c r="TPT354" s="508"/>
      <c r="TPU354" s="513"/>
      <c r="TPV354" s="508"/>
      <c r="TPW354" s="513"/>
      <c r="TPX354" s="508"/>
      <c r="TPY354" s="513"/>
      <c r="TPZ354" s="508"/>
      <c r="TQA354" s="513"/>
      <c r="TQB354" s="508"/>
      <c r="TQC354" s="513"/>
      <c r="TQD354" s="508"/>
      <c r="TQE354" s="513"/>
      <c r="TQF354" s="508"/>
      <c r="TQG354" s="513"/>
      <c r="TQH354" s="508"/>
      <c r="TQI354" s="513"/>
      <c r="TQJ354" s="508"/>
      <c r="TQK354" s="513"/>
      <c r="TQL354" s="508"/>
      <c r="TQM354" s="513"/>
      <c r="TQN354" s="508"/>
      <c r="TQO354" s="513"/>
      <c r="TQP354" s="508"/>
      <c r="TQQ354" s="513"/>
      <c r="TQR354" s="508"/>
      <c r="TQS354" s="513"/>
      <c r="TQT354" s="508"/>
      <c r="TQU354" s="513"/>
      <c r="TQV354" s="508"/>
      <c r="TQW354" s="513"/>
      <c r="TQX354" s="508"/>
      <c r="TQY354" s="513"/>
      <c r="TQZ354" s="508"/>
      <c r="TRA354" s="513"/>
      <c r="TRB354" s="508"/>
      <c r="TRC354" s="513"/>
      <c r="TRD354" s="508"/>
      <c r="TRE354" s="513"/>
      <c r="TRF354" s="508"/>
      <c r="TRG354" s="513"/>
      <c r="TRH354" s="508"/>
      <c r="TRI354" s="513"/>
      <c r="TRJ354" s="508"/>
      <c r="TRK354" s="513"/>
      <c r="TRL354" s="508"/>
      <c r="TRM354" s="513"/>
      <c r="TRN354" s="508"/>
      <c r="TRO354" s="513"/>
      <c r="TRP354" s="508"/>
      <c r="TRQ354" s="513"/>
      <c r="TRR354" s="508"/>
      <c r="TRS354" s="513"/>
      <c r="TRT354" s="508"/>
      <c r="TRU354" s="513"/>
      <c r="TRV354" s="508"/>
      <c r="TRW354" s="513"/>
      <c r="TRX354" s="508"/>
      <c r="TRY354" s="513"/>
      <c r="TRZ354" s="508"/>
      <c r="TSA354" s="513"/>
      <c r="TSB354" s="508"/>
      <c r="TSC354" s="513"/>
      <c r="TSD354" s="508"/>
      <c r="TSE354" s="513"/>
      <c r="TSF354" s="508"/>
      <c r="TSG354" s="513"/>
      <c r="TSH354" s="508"/>
      <c r="TSI354" s="513"/>
      <c r="TSJ354" s="508"/>
      <c r="TSK354" s="513"/>
      <c r="TSL354" s="508"/>
      <c r="TSM354" s="513"/>
      <c r="TSN354" s="508"/>
      <c r="TSO354" s="513"/>
      <c r="TSP354" s="508"/>
      <c r="TSQ354" s="513"/>
      <c r="TSR354" s="508"/>
      <c r="TSS354" s="513"/>
      <c r="TST354" s="508"/>
      <c r="TSU354" s="513"/>
      <c r="TSV354" s="508"/>
      <c r="TSW354" s="513"/>
      <c r="TSX354" s="508"/>
      <c r="TSY354" s="513"/>
      <c r="TSZ354" s="508"/>
      <c r="TTA354" s="513"/>
      <c r="TTB354" s="508"/>
      <c r="TTC354" s="513"/>
      <c r="TTD354" s="508"/>
      <c r="TTE354" s="513"/>
      <c r="TTF354" s="508"/>
      <c r="TTG354" s="513"/>
      <c r="TTH354" s="508"/>
      <c r="TTI354" s="513"/>
      <c r="TTJ354" s="508"/>
      <c r="TTK354" s="513"/>
      <c r="TTL354" s="508"/>
      <c r="TTM354" s="513"/>
      <c r="TTN354" s="508"/>
      <c r="TTO354" s="513"/>
      <c r="TTP354" s="508"/>
      <c r="TTQ354" s="513"/>
      <c r="TTR354" s="508"/>
      <c r="TTS354" s="513"/>
      <c r="TTT354" s="508"/>
      <c r="TTU354" s="513"/>
      <c r="TTV354" s="508"/>
      <c r="TTW354" s="513"/>
      <c r="TTX354" s="508"/>
      <c r="TTY354" s="513"/>
      <c r="TTZ354" s="508"/>
      <c r="TUA354" s="513"/>
      <c r="TUB354" s="508"/>
      <c r="TUC354" s="513"/>
      <c r="TUD354" s="508"/>
      <c r="TUE354" s="513"/>
      <c r="TUF354" s="508"/>
      <c r="TUG354" s="513"/>
      <c r="TUH354" s="508"/>
      <c r="TUI354" s="513"/>
      <c r="TUJ354" s="508"/>
      <c r="TUK354" s="513"/>
      <c r="TUL354" s="508"/>
      <c r="TUM354" s="513"/>
      <c r="TUN354" s="508"/>
      <c r="TUO354" s="513"/>
      <c r="TUP354" s="508"/>
      <c r="TUQ354" s="513"/>
      <c r="TUR354" s="508"/>
      <c r="TUS354" s="513"/>
      <c r="TUT354" s="508"/>
      <c r="TUU354" s="513"/>
      <c r="TUV354" s="508"/>
      <c r="TUW354" s="513"/>
      <c r="TUX354" s="508"/>
      <c r="TUY354" s="513"/>
      <c r="TUZ354" s="508"/>
      <c r="TVA354" s="513"/>
      <c r="TVB354" s="508"/>
      <c r="TVC354" s="513"/>
      <c r="TVD354" s="508"/>
      <c r="TVE354" s="513"/>
      <c r="TVF354" s="508"/>
      <c r="TVG354" s="513"/>
      <c r="TVH354" s="508"/>
      <c r="TVI354" s="513"/>
      <c r="TVJ354" s="508"/>
      <c r="TVK354" s="513"/>
      <c r="TVL354" s="508"/>
      <c r="TVM354" s="513"/>
      <c r="TVN354" s="508"/>
      <c r="TVO354" s="513"/>
      <c r="TVP354" s="508"/>
      <c r="TVQ354" s="513"/>
      <c r="TVR354" s="508"/>
      <c r="TVS354" s="513"/>
      <c r="TVT354" s="508"/>
      <c r="TVU354" s="513"/>
      <c r="TVV354" s="508"/>
      <c r="TVW354" s="513"/>
      <c r="TVX354" s="508"/>
      <c r="TVY354" s="513"/>
      <c r="TVZ354" s="508"/>
      <c r="TWA354" s="513"/>
      <c r="TWB354" s="508"/>
      <c r="TWC354" s="513"/>
      <c r="TWD354" s="508"/>
      <c r="TWE354" s="513"/>
      <c r="TWF354" s="508"/>
      <c r="TWG354" s="513"/>
      <c r="TWH354" s="508"/>
      <c r="TWI354" s="513"/>
      <c r="TWJ354" s="508"/>
      <c r="TWK354" s="513"/>
      <c r="TWL354" s="508"/>
      <c r="TWM354" s="513"/>
      <c r="TWN354" s="508"/>
      <c r="TWO354" s="513"/>
      <c r="TWP354" s="508"/>
      <c r="TWQ354" s="513"/>
      <c r="TWR354" s="508"/>
      <c r="TWS354" s="513"/>
      <c r="TWT354" s="508"/>
      <c r="TWU354" s="513"/>
      <c r="TWV354" s="508"/>
      <c r="TWW354" s="513"/>
      <c r="TWX354" s="508"/>
      <c r="TWY354" s="513"/>
      <c r="TWZ354" s="508"/>
      <c r="TXA354" s="513"/>
      <c r="TXB354" s="508"/>
      <c r="TXC354" s="513"/>
      <c r="TXD354" s="508"/>
      <c r="TXE354" s="513"/>
      <c r="TXF354" s="508"/>
      <c r="TXG354" s="513"/>
      <c r="TXH354" s="508"/>
      <c r="TXI354" s="513"/>
      <c r="TXJ354" s="508"/>
      <c r="TXK354" s="513"/>
      <c r="TXL354" s="508"/>
      <c r="TXM354" s="513"/>
      <c r="TXN354" s="508"/>
      <c r="TXO354" s="513"/>
      <c r="TXP354" s="508"/>
      <c r="TXQ354" s="513"/>
      <c r="TXR354" s="508"/>
      <c r="TXS354" s="513"/>
      <c r="TXT354" s="508"/>
      <c r="TXU354" s="513"/>
      <c r="TXV354" s="508"/>
      <c r="TXW354" s="513"/>
      <c r="TXX354" s="508"/>
      <c r="TXY354" s="513"/>
      <c r="TXZ354" s="508"/>
      <c r="TYA354" s="513"/>
      <c r="TYB354" s="508"/>
      <c r="TYC354" s="513"/>
      <c r="TYD354" s="508"/>
      <c r="TYE354" s="513"/>
      <c r="TYF354" s="508"/>
      <c r="TYG354" s="513"/>
      <c r="TYH354" s="508"/>
      <c r="TYI354" s="513"/>
      <c r="TYJ354" s="508"/>
      <c r="TYK354" s="513"/>
      <c r="TYL354" s="508"/>
      <c r="TYM354" s="513"/>
      <c r="TYN354" s="508"/>
      <c r="TYO354" s="513"/>
      <c r="TYP354" s="508"/>
      <c r="TYQ354" s="513"/>
      <c r="TYR354" s="508"/>
      <c r="TYS354" s="513"/>
      <c r="TYT354" s="508"/>
      <c r="TYU354" s="513"/>
      <c r="TYV354" s="508"/>
      <c r="TYW354" s="513"/>
      <c r="TYX354" s="508"/>
      <c r="TYY354" s="513"/>
      <c r="TYZ354" s="508"/>
      <c r="TZA354" s="513"/>
      <c r="TZB354" s="508"/>
      <c r="TZC354" s="513"/>
      <c r="TZD354" s="508"/>
      <c r="TZE354" s="513"/>
      <c r="TZF354" s="508"/>
      <c r="TZG354" s="513"/>
      <c r="TZH354" s="508"/>
      <c r="TZI354" s="513"/>
      <c r="TZJ354" s="508"/>
      <c r="TZK354" s="513"/>
      <c r="TZL354" s="508"/>
      <c r="TZM354" s="513"/>
      <c r="TZN354" s="508"/>
      <c r="TZO354" s="513"/>
      <c r="TZP354" s="508"/>
      <c r="TZQ354" s="513"/>
      <c r="TZR354" s="508"/>
      <c r="TZS354" s="513"/>
      <c r="TZT354" s="508"/>
      <c r="TZU354" s="513"/>
      <c r="TZV354" s="508"/>
      <c r="TZW354" s="513"/>
      <c r="TZX354" s="508"/>
      <c r="TZY354" s="513"/>
      <c r="TZZ354" s="508"/>
      <c r="UAA354" s="513"/>
      <c r="UAB354" s="508"/>
      <c r="UAC354" s="513"/>
      <c r="UAD354" s="508"/>
      <c r="UAE354" s="513"/>
      <c r="UAF354" s="508"/>
      <c r="UAG354" s="513"/>
      <c r="UAH354" s="508"/>
      <c r="UAI354" s="513"/>
      <c r="UAJ354" s="508"/>
      <c r="UAK354" s="513"/>
      <c r="UAL354" s="508"/>
      <c r="UAM354" s="513"/>
      <c r="UAN354" s="508"/>
      <c r="UAO354" s="513"/>
      <c r="UAP354" s="508"/>
      <c r="UAQ354" s="513"/>
      <c r="UAR354" s="508"/>
      <c r="UAS354" s="513"/>
      <c r="UAT354" s="508"/>
      <c r="UAU354" s="513"/>
      <c r="UAV354" s="508"/>
      <c r="UAW354" s="513"/>
      <c r="UAX354" s="508"/>
      <c r="UAY354" s="513"/>
      <c r="UAZ354" s="508"/>
      <c r="UBA354" s="513"/>
      <c r="UBB354" s="508"/>
      <c r="UBC354" s="513"/>
      <c r="UBD354" s="508"/>
      <c r="UBE354" s="513"/>
      <c r="UBF354" s="508"/>
      <c r="UBG354" s="513"/>
      <c r="UBH354" s="508"/>
      <c r="UBI354" s="513"/>
      <c r="UBJ354" s="508"/>
      <c r="UBK354" s="513"/>
      <c r="UBL354" s="508"/>
      <c r="UBM354" s="513"/>
      <c r="UBN354" s="508"/>
      <c r="UBO354" s="513"/>
      <c r="UBP354" s="508"/>
      <c r="UBQ354" s="513"/>
      <c r="UBR354" s="508"/>
      <c r="UBS354" s="513"/>
      <c r="UBT354" s="508"/>
      <c r="UBU354" s="513"/>
      <c r="UBV354" s="508"/>
      <c r="UBW354" s="513"/>
      <c r="UBX354" s="508"/>
      <c r="UBY354" s="513"/>
      <c r="UBZ354" s="508"/>
      <c r="UCA354" s="513"/>
      <c r="UCB354" s="508"/>
      <c r="UCC354" s="513"/>
      <c r="UCD354" s="508"/>
      <c r="UCE354" s="513"/>
      <c r="UCF354" s="508"/>
      <c r="UCG354" s="513"/>
      <c r="UCH354" s="508"/>
      <c r="UCI354" s="513"/>
      <c r="UCJ354" s="508"/>
      <c r="UCK354" s="513"/>
      <c r="UCL354" s="508"/>
      <c r="UCM354" s="513"/>
      <c r="UCN354" s="508"/>
      <c r="UCO354" s="513"/>
      <c r="UCP354" s="508"/>
      <c r="UCQ354" s="513"/>
      <c r="UCR354" s="508"/>
      <c r="UCS354" s="513"/>
      <c r="UCT354" s="508"/>
      <c r="UCU354" s="513"/>
      <c r="UCV354" s="508"/>
      <c r="UCW354" s="513"/>
      <c r="UCX354" s="508"/>
      <c r="UCY354" s="513"/>
      <c r="UCZ354" s="508"/>
      <c r="UDA354" s="513"/>
      <c r="UDB354" s="508"/>
      <c r="UDC354" s="513"/>
      <c r="UDD354" s="508"/>
      <c r="UDE354" s="513"/>
      <c r="UDF354" s="508"/>
      <c r="UDG354" s="513"/>
      <c r="UDH354" s="508"/>
      <c r="UDI354" s="513"/>
      <c r="UDJ354" s="508"/>
      <c r="UDK354" s="513"/>
      <c r="UDL354" s="508"/>
      <c r="UDM354" s="513"/>
      <c r="UDN354" s="508"/>
      <c r="UDO354" s="513"/>
      <c r="UDP354" s="508"/>
      <c r="UDQ354" s="513"/>
      <c r="UDR354" s="508"/>
      <c r="UDS354" s="513"/>
      <c r="UDT354" s="508"/>
      <c r="UDU354" s="513"/>
      <c r="UDV354" s="508"/>
      <c r="UDW354" s="513"/>
      <c r="UDX354" s="508"/>
      <c r="UDY354" s="513"/>
      <c r="UDZ354" s="508"/>
      <c r="UEA354" s="513"/>
      <c r="UEB354" s="508"/>
      <c r="UEC354" s="513"/>
      <c r="UED354" s="508"/>
      <c r="UEE354" s="513"/>
      <c r="UEF354" s="508"/>
      <c r="UEG354" s="513"/>
      <c r="UEH354" s="508"/>
      <c r="UEI354" s="513"/>
      <c r="UEJ354" s="508"/>
      <c r="UEK354" s="513"/>
      <c r="UEL354" s="508"/>
      <c r="UEM354" s="513"/>
      <c r="UEN354" s="508"/>
      <c r="UEO354" s="513"/>
      <c r="UEP354" s="508"/>
      <c r="UEQ354" s="513"/>
      <c r="UER354" s="508"/>
      <c r="UES354" s="513"/>
      <c r="UET354" s="508"/>
      <c r="UEU354" s="513"/>
      <c r="UEV354" s="508"/>
      <c r="UEW354" s="513"/>
      <c r="UEX354" s="508"/>
      <c r="UEY354" s="513"/>
      <c r="UEZ354" s="508"/>
      <c r="UFA354" s="513"/>
      <c r="UFB354" s="508"/>
      <c r="UFC354" s="513"/>
      <c r="UFD354" s="508"/>
      <c r="UFE354" s="513"/>
      <c r="UFF354" s="508"/>
      <c r="UFG354" s="513"/>
      <c r="UFH354" s="508"/>
      <c r="UFI354" s="513"/>
      <c r="UFJ354" s="508"/>
      <c r="UFK354" s="513"/>
      <c r="UFL354" s="508"/>
      <c r="UFM354" s="513"/>
      <c r="UFN354" s="508"/>
      <c r="UFO354" s="513"/>
      <c r="UFP354" s="508"/>
      <c r="UFQ354" s="513"/>
      <c r="UFR354" s="508"/>
      <c r="UFS354" s="513"/>
      <c r="UFT354" s="508"/>
      <c r="UFU354" s="513"/>
      <c r="UFV354" s="508"/>
      <c r="UFW354" s="513"/>
      <c r="UFX354" s="508"/>
      <c r="UFY354" s="513"/>
      <c r="UFZ354" s="508"/>
      <c r="UGA354" s="513"/>
      <c r="UGB354" s="508"/>
      <c r="UGC354" s="513"/>
      <c r="UGD354" s="508"/>
      <c r="UGE354" s="513"/>
      <c r="UGF354" s="508"/>
      <c r="UGG354" s="513"/>
      <c r="UGH354" s="508"/>
      <c r="UGI354" s="513"/>
      <c r="UGJ354" s="508"/>
      <c r="UGK354" s="513"/>
      <c r="UGL354" s="508"/>
      <c r="UGM354" s="513"/>
      <c r="UGN354" s="508"/>
      <c r="UGO354" s="513"/>
      <c r="UGP354" s="508"/>
      <c r="UGQ354" s="513"/>
      <c r="UGR354" s="508"/>
      <c r="UGS354" s="513"/>
      <c r="UGT354" s="508"/>
      <c r="UGU354" s="513"/>
      <c r="UGV354" s="508"/>
      <c r="UGW354" s="513"/>
      <c r="UGX354" s="508"/>
      <c r="UGY354" s="513"/>
      <c r="UGZ354" s="508"/>
      <c r="UHA354" s="513"/>
      <c r="UHB354" s="508"/>
      <c r="UHC354" s="513"/>
      <c r="UHD354" s="508"/>
      <c r="UHE354" s="513"/>
      <c r="UHF354" s="508"/>
      <c r="UHG354" s="513"/>
      <c r="UHH354" s="508"/>
      <c r="UHI354" s="513"/>
      <c r="UHJ354" s="508"/>
      <c r="UHK354" s="513"/>
      <c r="UHL354" s="508"/>
      <c r="UHM354" s="513"/>
      <c r="UHN354" s="508"/>
      <c r="UHO354" s="513"/>
      <c r="UHP354" s="508"/>
      <c r="UHQ354" s="513"/>
      <c r="UHR354" s="508"/>
      <c r="UHS354" s="513"/>
      <c r="UHT354" s="508"/>
      <c r="UHU354" s="513"/>
      <c r="UHV354" s="508"/>
      <c r="UHW354" s="513"/>
      <c r="UHX354" s="508"/>
      <c r="UHY354" s="513"/>
      <c r="UHZ354" s="508"/>
      <c r="UIA354" s="513"/>
      <c r="UIB354" s="508"/>
      <c r="UIC354" s="513"/>
      <c r="UID354" s="508"/>
      <c r="UIE354" s="513"/>
      <c r="UIF354" s="508"/>
      <c r="UIG354" s="513"/>
      <c r="UIH354" s="508"/>
      <c r="UII354" s="513"/>
      <c r="UIJ354" s="508"/>
      <c r="UIK354" s="513"/>
      <c r="UIL354" s="508"/>
      <c r="UIM354" s="513"/>
      <c r="UIN354" s="508"/>
      <c r="UIO354" s="513"/>
      <c r="UIP354" s="508"/>
      <c r="UIQ354" s="513"/>
      <c r="UIR354" s="508"/>
      <c r="UIS354" s="513"/>
      <c r="UIT354" s="508"/>
      <c r="UIU354" s="513"/>
      <c r="UIV354" s="508"/>
      <c r="UIW354" s="513"/>
      <c r="UIX354" s="508"/>
      <c r="UIY354" s="513"/>
      <c r="UIZ354" s="508"/>
      <c r="UJA354" s="513"/>
      <c r="UJB354" s="508"/>
      <c r="UJC354" s="513"/>
      <c r="UJD354" s="508"/>
      <c r="UJE354" s="513"/>
      <c r="UJF354" s="508"/>
      <c r="UJG354" s="513"/>
      <c r="UJH354" s="508"/>
      <c r="UJI354" s="513"/>
      <c r="UJJ354" s="508"/>
      <c r="UJK354" s="513"/>
      <c r="UJL354" s="508"/>
      <c r="UJM354" s="513"/>
      <c r="UJN354" s="508"/>
      <c r="UJO354" s="513"/>
      <c r="UJP354" s="508"/>
      <c r="UJQ354" s="513"/>
      <c r="UJR354" s="508"/>
      <c r="UJS354" s="513"/>
      <c r="UJT354" s="508"/>
      <c r="UJU354" s="513"/>
      <c r="UJV354" s="508"/>
      <c r="UJW354" s="513"/>
      <c r="UJX354" s="508"/>
      <c r="UJY354" s="513"/>
      <c r="UJZ354" s="508"/>
      <c r="UKA354" s="513"/>
      <c r="UKB354" s="508"/>
      <c r="UKC354" s="513"/>
      <c r="UKD354" s="508"/>
      <c r="UKE354" s="513"/>
      <c r="UKF354" s="508"/>
      <c r="UKG354" s="513"/>
      <c r="UKH354" s="508"/>
      <c r="UKI354" s="513"/>
      <c r="UKJ354" s="508"/>
      <c r="UKK354" s="513"/>
      <c r="UKL354" s="508"/>
      <c r="UKM354" s="513"/>
      <c r="UKN354" s="508"/>
      <c r="UKO354" s="513"/>
      <c r="UKP354" s="508"/>
      <c r="UKQ354" s="513"/>
      <c r="UKR354" s="508"/>
      <c r="UKS354" s="513"/>
      <c r="UKT354" s="508"/>
      <c r="UKU354" s="513"/>
      <c r="UKV354" s="508"/>
      <c r="UKW354" s="513"/>
      <c r="UKX354" s="508"/>
      <c r="UKY354" s="513"/>
      <c r="UKZ354" s="508"/>
      <c r="ULA354" s="513"/>
      <c r="ULB354" s="508"/>
      <c r="ULC354" s="513"/>
      <c r="ULD354" s="508"/>
      <c r="ULE354" s="513"/>
      <c r="ULF354" s="508"/>
      <c r="ULG354" s="513"/>
      <c r="ULH354" s="508"/>
      <c r="ULI354" s="513"/>
      <c r="ULJ354" s="508"/>
      <c r="ULK354" s="513"/>
      <c r="ULL354" s="508"/>
      <c r="ULM354" s="513"/>
      <c r="ULN354" s="508"/>
      <c r="ULO354" s="513"/>
      <c r="ULP354" s="508"/>
      <c r="ULQ354" s="513"/>
      <c r="ULR354" s="508"/>
      <c r="ULS354" s="513"/>
      <c r="ULT354" s="508"/>
      <c r="ULU354" s="513"/>
      <c r="ULV354" s="508"/>
      <c r="ULW354" s="513"/>
      <c r="ULX354" s="508"/>
      <c r="ULY354" s="513"/>
      <c r="ULZ354" s="508"/>
      <c r="UMA354" s="513"/>
      <c r="UMB354" s="508"/>
      <c r="UMC354" s="513"/>
      <c r="UMD354" s="508"/>
      <c r="UME354" s="513"/>
      <c r="UMF354" s="508"/>
      <c r="UMG354" s="513"/>
      <c r="UMH354" s="508"/>
      <c r="UMI354" s="513"/>
      <c r="UMJ354" s="508"/>
      <c r="UMK354" s="513"/>
      <c r="UML354" s="508"/>
      <c r="UMM354" s="513"/>
      <c r="UMN354" s="508"/>
      <c r="UMO354" s="513"/>
      <c r="UMP354" s="508"/>
      <c r="UMQ354" s="513"/>
      <c r="UMR354" s="508"/>
      <c r="UMS354" s="513"/>
      <c r="UMT354" s="508"/>
      <c r="UMU354" s="513"/>
      <c r="UMV354" s="508"/>
      <c r="UMW354" s="513"/>
      <c r="UMX354" s="508"/>
      <c r="UMY354" s="513"/>
      <c r="UMZ354" s="508"/>
      <c r="UNA354" s="513"/>
      <c r="UNB354" s="508"/>
      <c r="UNC354" s="513"/>
      <c r="UND354" s="508"/>
      <c r="UNE354" s="513"/>
      <c r="UNF354" s="508"/>
      <c r="UNG354" s="513"/>
      <c r="UNH354" s="508"/>
      <c r="UNI354" s="513"/>
      <c r="UNJ354" s="508"/>
      <c r="UNK354" s="513"/>
      <c r="UNL354" s="508"/>
      <c r="UNM354" s="513"/>
      <c r="UNN354" s="508"/>
      <c r="UNO354" s="513"/>
      <c r="UNP354" s="508"/>
      <c r="UNQ354" s="513"/>
      <c r="UNR354" s="508"/>
      <c r="UNS354" s="513"/>
      <c r="UNT354" s="508"/>
      <c r="UNU354" s="513"/>
      <c r="UNV354" s="508"/>
      <c r="UNW354" s="513"/>
      <c r="UNX354" s="508"/>
      <c r="UNY354" s="513"/>
      <c r="UNZ354" s="508"/>
      <c r="UOA354" s="513"/>
      <c r="UOB354" s="508"/>
      <c r="UOC354" s="513"/>
      <c r="UOD354" s="508"/>
      <c r="UOE354" s="513"/>
      <c r="UOF354" s="508"/>
      <c r="UOG354" s="513"/>
      <c r="UOH354" s="508"/>
      <c r="UOI354" s="513"/>
      <c r="UOJ354" s="508"/>
      <c r="UOK354" s="513"/>
      <c r="UOL354" s="508"/>
      <c r="UOM354" s="513"/>
      <c r="UON354" s="508"/>
      <c r="UOO354" s="513"/>
      <c r="UOP354" s="508"/>
      <c r="UOQ354" s="513"/>
      <c r="UOR354" s="508"/>
      <c r="UOS354" s="513"/>
      <c r="UOT354" s="508"/>
      <c r="UOU354" s="513"/>
      <c r="UOV354" s="508"/>
      <c r="UOW354" s="513"/>
      <c r="UOX354" s="508"/>
      <c r="UOY354" s="513"/>
      <c r="UOZ354" s="508"/>
      <c r="UPA354" s="513"/>
      <c r="UPB354" s="508"/>
      <c r="UPC354" s="513"/>
      <c r="UPD354" s="508"/>
      <c r="UPE354" s="513"/>
      <c r="UPF354" s="508"/>
      <c r="UPG354" s="513"/>
      <c r="UPH354" s="508"/>
      <c r="UPI354" s="513"/>
      <c r="UPJ354" s="508"/>
      <c r="UPK354" s="513"/>
      <c r="UPL354" s="508"/>
      <c r="UPM354" s="513"/>
      <c r="UPN354" s="508"/>
      <c r="UPO354" s="513"/>
      <c r="UPP354" s="508"/>
      <c r="UPQ354" s="513"/>
      <c r="UPR354" s="508"/>
      <c r="UPS354" s="513"/>
      <c r="UPT354" s="508"/>
      <c r="UPU354" s="513"/>
      <c r="UPV354" s="508"/>
      <c r="UPW354" s="513"/>
      <c r="UPX354" s="508"/>
      <c r="UPY354" s="513"/>
      <c r="UPZ354" s="508"/>
      <c r="UQA354" s="513"/>
      <c r="UQB354" s="508"/>
      <c r="UQC354" s="513"/>
      <c r="UQD354" s="508"/>
      <c r="UQE354" s="513"/>
      <c r="UQF354" s="508"/>
      <c r="UQG354" s="513"/>
      <c r="UQH354" s="508"/>
      <c r="UQI354" s="513"/>
      <c r="UQJ354" s="508"/>
      <c r="UQK354" s="513"/>
      <c r="UQL354" s="508"/>
      <c r="UQM354" s="513"/>
      <c r="UQN354" s="508"/>
      <c r="UQO354" s="513"/>
      <c r="UQP354" s="508"/>
      <c r="UQQ354" s="513"/>
      <c r="UQR354" s="508"/>
      <c r="UQS354" s="513"/>
      <c r="UQT354" s="508"/>
      <c r="UQU354" s="513"/>
      <c r="UQV354" s="508"/>
      <c r="UQW354" s="513"/>
      <c r="UQX354" s="508"/>
      <c r="UQY354" s="513"/>
      <c r="UQZ354" s="508"/>
      <c r="URA354" s="513"/>
      <c r="URB354" s="508"/>
      <c r="URC354" s="513"/>
      <c r="URD354" s="508"/>
      <c r="URE354" s="513"/>
      <c r="URF354" s="508"/>
      <c r="URG354" s="513"/>
      <c r="URH354" s="508"/>
      <c r="URI354" s="513"/>
      <c r="URJ354" s="508"/>
      <c r="URK354" s="513"/>
      <c r="URL354" s="508"/>
      <c r="URM354" s="513"/>
      <c r="URN354" s="508"/>
      <c r="URO354" s="513"/>
      <c r="URP354" s="508"/>
      <c r="URQ354" s="513"/>
      <c r="URR354" s="508"/>
      <c r="URS354" s="513"/>
      <c r="URT354" s="508"/>
      <c r="URU354" s="513"/>
      <c r="URV354" s="508"/>
      <c r="URW354" s="513"/>
      <c r="URX354" s="508"/>
      <c r="URY354" s="513"/>
      <c r="URZ354" s="508"/>
      <c r="USA354" s="513"/>
      <c r="USB354" s="508"/>
      <c r="USC354" s="513"/>
      <c r="USD354" s="508"/>
      <c r="USE354" s="513"/>
      <c r="USF354" s="508"/>
      <c r="USG354" s="513"/>
      <c r="USH354" s="508"/>
      <c r="USI354" s="513"/>
      <c r="USJ354" s="508"/>
      <c r="USK354" s="513"/>
      <c r="USL354" s="508"/>
      <c r="USM354" s="513"/>
      <c r="USN354" s="508"/>
      <c r="USO354" s="513"/>
      <c r="USP354" s="508"/>
      <c r="USQ354" s="513"/>
      <c r="USR354" s="508"/>
      <c r="USS354" s="513"/>
      <c r="UST354" s="508"/>
      <c r="USU354" s="513"/>
      <c r="USV354" s="508"/>
      <c r="USW354" s="513"/>
      <c r="USX354" s="508"/>
      <c r="USY354" s="513"/>
      <c r="USZ354" s="508"/>
      <c r="UTA354" s="513"/>
      <c r="UTB354" s="508"/>
      <c r="UTC354" s="513"/>
      <c r="UTD354" s="508"/>
      <c r="UTE354" s="513"/>
      <c r="UTF354" s="508"/>
      <c r="UTG354" s="513"/>
      <c r="UTH354" s="508"/>
      <c r="UTI354" s="513"/>
      <c r="UTJ354" s="508"/>
      <c r="UTK354" s="513"/>
      <c r="UTL354" s="508"/>
      <c r="UTM354" s="513"/>
      <c r="UTN354" s="508"/>
      <c r="UTO354" s="513"/>
      <c r="UTP354" s="508"/>
      <c r="UTQ354" s="513"/>
      <c r="UTR354" s="508"/>
      <c r="UTS354" s="513"/>
      <c r="UTT354" s="508"/>
      <c r="UTU354" s="513"/>
      <c r="UTV354" s="508"/>
      <c r="UTW354" s="513"/>
      <c r="UTX354" s="508"/>
      <c r="UTY354" s="513"/>
      <c r="UTZ354" s="508"/>
      <c r="UUA354" s="513"/>
      <c r="UUB354" s="508"/>
      <c r="UUC354" s="513"/>
      <c r="UUD354" s="508"/>
      <c r="UUE354" s="513"/>
      <c r="UUF354" s="508"/>
      <c r="UUG354" s="513"/>
      <c r="UUH354" s="508"/>
      <c r="UUI354" s="513"/>
      <c r="UUJ354" s="508"/>
      <c r="UUK354" s="513"/>
      <c r="UUL354" s="508"/>
      <c r="UUM354" s="513"/>
      <c r="UUN354" s="508"/>
      <c r="UUO354" s="513"/>
      <c r="UUP354" s="508"/>
      <c r="UUQ354" s="513"/>
      <c r="UUR354" s="508"/>
      <c r="UUS354" s="513"/>
      <c r="UUT354" s="508"/>
      <c r="UUU354" s="513"/>
      <c r="UUV354" s="508"/>
      <c r="UUW354" s="513"/>
      <c r="UUX354" s="508"/>
      <c r="UUY354" s="513"/>
      <c r="UUZ354" s="508"/>
      <c r="UVA354" s="513"/>
      <c r="UVB354" s="508"/>
      <c r="UVC354" s="513"/>
      <c r="UVD354" s="508"/>
      <c r="UVE354" s="513"/>
      <c r="UVF354" s="508"/>
      <c r="UVG354" s="513"/>
      <c r="UVH354" s="508"/>
      <c r="UVI354" s="513"/>
      <c r="UVJ354" s="508"/>
      <c r="UVK354" s="513"/>
      <c r="UVL354" s="508"/>
      <c r="UVM354" s="513"/>
      <c r="UVN354" s="508"/>
      <c r="UVO354" s="513"/>
      <c r="UVP354" s="508"/>
      <c r="UVQ354" s="513"/>
      <c r="UVR354" s="508"/>
      <c r="UVS354" s="513"/>
      <c r="UVT354" s="508"/>
      <c r="UVU354" s="513"/>
      <c r="UVV354" s="508"/>
      <c r="UVW354" s="513"/>
      <c r="UVX354" s="508"/>
      <c r="UVY354" s="513"/>
      <c r="UVZ354" s="508"/>
      <c r="UWA354" s="513"/>
      <c r="UWB354" s="508"/>
      <c r="UWC354" s="513"/>
      <c r="UWD354" s="508"/>
      <c r="UWE354" s="513"/>
      <c r="UWF354" s="508"/>
      <c r="UWG354" s="513"/>
      <c r="UWH354" s="508"/>
      <c r="UWI354" s="513"/>
      <c r="UWJ354" s="508"/>
      <c r="UWK354" s="513"/>
      <c r="UWL354" s="508"/>
      <c r="UWM354" s="513"/>
      <c r="UWN354" s="508"/>
      <c r="UWO354" s="513"/>
      <c r="UWP354" s="508"/>
      <c r="UWQ354" s="513"/>
      <c r="UWR354" s="508"/>
      <c r="UWS354" s="513"/>
      <c r="UWT354" s="508"/>
      <c r="UWU354" s="513"/>
      <c r="UWV354" s="508"/>
      <c r="UWW354" s="513"/>
      <c r="UWX354" s="508"/>
      <c r="UWY354" s="513"/>
      <c r="UWZ354" s="508"/>
      <c r="UXA354" s="513"/>
      <c r="UXB354" s="508"/>
      <c r="UXC354" s="513"/>
      <c r="UXD354" s="508"/>
      <c r="UXE354" s="513"/>
      <c r="UXF354" s="508"/>
      <c r="UXG354" s="513"/>
      <c r="UXH354" s="508"/>
      <c r="UXI354" s="513"/>
      <c r="UXJ354" s="508"/>
      <c r="UXK354" s="513"/>
      <c r="UXL354" s="508"/>
      <c r="UXM354" s="513"/>
      <c r="UXN354" s="508"/>
      <c r="UXO354" s="513"/>
      <c r="UXP354" s="508"/>
      <c r="UXQ354" s="513"/>
      <c r="UXR354" s="508"/>
      <c r="UXS354" s="513"/>
      <c r="UXT354" s="508"/>
      <c r="UXU354" s="513"/>
      <c r="UXV354" s="508"/>
      <c r="UXW354" s="513"/>
      <c r="UXX354" s="508"/>
      <c r="UXY354" s="513"/>
      <c r="UXZ354" s="508"/>
      <c r="UYA354" s="513"/>
      <c r="UYB354" s="508"/>
      <c r="UYC354" s="513"/>
      <c r="UYD354" s="508"/>
      <c r="UYE354" s="513"/>
      <c r="UYF354" s="508"/>
      <c r="UYG354" s="513"/>
      <c r="UYH354" s="508"/>
      <c r="UYI354" s="513"/>
      <c r="UYJ354" s="508"/>
      <c r="UYK354" s="513"/>
      <c r="UYL354" s="508"/>
      <c r="UYM354" s="513"/>
      <c r="UYN354" s="508"/>
      <c r="UYO354" s="513"/>
      <c r="UYP354" s="508"/>
      <c r="UYQ354" s="513"/>
      <c r="UYR354" s="508"/>
      <c r="UYS354" s="513"/>
      <c r="UYT354" s="508"/>
      <c r="UYU354" s="513"/>
      <c r="UYV354" s="508"/>
      <c r="UYW354" s="513"/>
      <c r="UYX354" s="508"/>
      <c r="UYY354" s="513"/>
      <c r="UYZ354" s="508"/>
      <c r="UZA354" s="513"/>
      <c r="UZB354" s="508"/>
      <c r="UZC354" s="513"/>
      <c r="UZD354" s="508"/>
      <c r="UZE354" s="513"/>
      <c r="UZF354" s="508"/>
      <c r="UZG354" s="513"/>
      <c r="UZH354" s="508"/>
      <c r="UZI354" s="513"/>
      <c r="UZJ354" s="508"/>
      <c r="UZK354" s="513"/>
      <c r="UZL354" s="508"/>
      <c r="UZM354" s="513"/>
      <c r="UZN354" s="508"/>
      <c r="UZO354" s="513"/>
      <c r="UZP354" s="508"/>
      <c r="UZQ354" s="513"/>
      <c r="UZR354" s="508"/>
      <c r="UZS354" s="513"/>
      <c r="UZT354" s="508"/>
      <c r="UZU354" s="513"/>
      <c r="UZV354" s="508"/>
      <c r="UZW354" s="513"/>
      <c r="UZX354" s="508"/>
      <c r="UZY354" s="513"/>
      <c r="UZZ354" s="508"/>
      <c r="VAA354" s="513"/>
      <c r="VAB354" s="508"/>
      <c r="VAC354" s="513"/>
      <c r="VAD354" s="508"/>
      <c r="VAE354" s="513"/>
      <c r="VAF354" s="508"/>
      <c r="VAG354" s="513"/>
      <c r="VAH354" s="508"/>
      <c r="VAI354" s="513"/>
      <c r="VAJ354" s="508"/>
      <c r="VAK354" s="513"/>
      <c r="VAL354" s="508"/>
      <c r="VAM354" s="513"/>
      <c r="VAN354" s="508"/>
      <c r="VAO354" s="513"/>
      <c r="VAP354" s="508"/>
      <c r="VAQ354" s="513"/>
      <c r="VAR354" s="508"/>
      <c r="VAS354" s="513"/>
      <c r="VAT354" s="508"/>
      <c r="VAU354" s="513"/>
      <c r="VAV354" s="508"/>
      <c r="VAW354" s="513"/>
      <c r="VAX354" s="508"/>
      <c r="VAY354" s="513"/>
      <c r="VAZ354" s="508"/>
      <c r="VBA354" s="513"/>
      <c r="VBB354" s="508"/>
      <c r="VBC354" s="513"/>
      <c r="VBD354" s="508"/>
      <c r="VBE354" s="513"/>
      <c r="VBF354" s="508"/>
      <c r="VBG354" s="513"/>
      <c r="VBH354" s="508"/>
      <c r="VBI354" s="513"/>
      <c r="VBJ354" s="508"/>
      <c r="VBK354" s="513"/>
      <c r="VBL354" s="508"/>
      <c r="VBM354" s="513"/>
      <c r="VBN354" s="508"/>
      <c r="VBO354" s="513"/>
      <c r="VBP354" s="508"/>
      <c r="VBQ354" s="513"/>
      <c r="VBR354" s="508"/>
      <c r="VBS354" s="513"/>
      <c r="VBT354" s="508"/>
      <c r="VBU354" s="513"/>
      <c r="VBV354" s="508"/>
      <c r="VBW354" s="513"/>
      <c r="VBX354" s="508"/>
      <c r="VBY354" s="513"/>
      <c r="VBZ354" s="508"/>
      <c r="VCA354" s="513"/>
      <c r="VCB354" s="508"/>
      <c r="VCC354" s="513"/>
      <c r="VCD354" s="508"/>
      <c r="VCE354" s="513"/>
      <c r="VCF354" s="508"/>
      <c r="VCG354" s="513"/>
      <c r="VCH354" s="508"/>
      <c r="VCI354" s="513"/>
      <c r="VCJ354" s="508"/>
      <c r="VCK354" s="513"/>
      <c r="VCL354" s="508"/>
      <c r="VCM354" s="513"/>
      <c r="VCN354" s="508"/>
      <c r="VCO354" s="513"/>
      <c r="VCP354" s="508"/>
      <c r="VCQ354" s="513"/>
      <c r="VCR354" s="508"/>
      <c r="VCS354" s="513"/>
      <c r="VCT354" s="508"/>
      <c r="VCU354" s="513"/>
      <c r="VCV354" s="508"/>
      <c r="VCW354" s="513"/>
      <c r="VCX354" s="508"/>
      <c r="VCY354" s="513"/>
      <c r="VCZ354" s="508"/>
      <c r="VDA354" s="513"/>
      <c r="VDB354" s="508"/>
      <c r="VDC354" s="513"/>
      <c r="VDD354" s="508"/>
      <c r="VDE354" s="513"/>
      <c r="VDF354" s="508"/>
      <c r="VDG354" s="513"/>
      <c r="VDH354" s="508"/>
      <c r="VDI354" s="513"/>
      <c r="VDJ354" s="508"/>
      <c r="VDK354" s="513"/>
      <c r="VDL354" s="508"/>
      <c r="VDM354" s="513"/>
      <c r="VDN354" s="508"/>
      <c r="VDO354" s="513"/>
      <c r="VDP354" s="508"/>
      <c r="VDQ354" s="513"/>
      <c r="VDR354" s="508"/>
      <c r="VDS354" s="513"/>
      <c r="VDT354" s="508"/>
      <c r="VDU354" s="513"/>
      <c r="VDV354" s="508"/>
      <c r="VDW354" s="513"/>
      <c r="VDX354" s="508"/>
      <c r="VDY354" s="513"/>
      <c r="VDZ354" s="508"/>
      <c r="VEA354" s="513"/>
      <c r="VEB354" s="508"/>
      <c r="VEC354" s="513"/>
      <c r="VED354" s="508"/>
      <c r="VEE354" s="513"/>
      <c r="VEF354" s="508"/>
      <c r="VEG354" s="513"/>
      <c r="VEH354" s="508"/>
      <c r="VEI354" s="513"/>
      <c r="VEJ354" s="508"/>
      <c r="VEK354" s="513"/>
      <c r="VEL354" s="508"/>
      <c r="VEM354" s="513"/>
      <c r="VEN354" s="508"/>
      <c r="VEO354" s="513"/>
      <c r="VEP354" s="508"/>
      <c r="VEQ354" s="513"/>
      <c r="VER354" s="508"/>
      <c r="VES354" s="513"/>
      <c r="VET354" s="508"/>
      <c r="VEU354" s="513"/>
      <c r="VEV354" s="508"/>
      <c r="VEW354" s="513"/>
      <c r="VEX354" s="508"/>
      <c r="VEY354" s="513"/>
      <c r="VEZ354" s="508"/>
      <c r="VFA354" s="513"/>
      <c r="VFB354" s="508"/>
      <c r="VFC354" s="513"/>
      <c r="VFD354" s="508"/>
      <c r="VFE354" s="513"/>
      <c r="VFF354" s="508"/>
      <c r="VFG354" s="513"/>
      <c r="VFH354" s="508"/>
      <c r="VFI354" s="513"/>
      <c r="VFJ354" s="508"/>
      <c r="VFK354" s="513"/>
      <c r="VFL354" s="508"/>
      <c r="VFM354" s="513"/>
      <c r="VFN354" s="508"/>
      <c r="VFO354" s="513"/>
      <c r="VFP354" s="508"/>
      <c r="VFQ354" s="513"/>
      <c r="VFR354" s="508"/>
      <c r="VFS354" s="513"/>
      <c r="VFT354" s="508"/>
      <c r="VFU354" s="513"/>
      <c r="VFV354" s="508"/>
      <c r="VFW354" s="513"/>
      <c r="VFX354" s="508"/>
      <c r="VFY354" s="513"/>
      <c r="VFZ354" s="508"/>
      <c r="VGA354" s="513"/>
      <c r="VGB354" s="508"/>
      <c r="VGC354" s="513"/>
      <c r="VGD354" s="508"/>
      <c r="VGE354" s="513"/>
      <c r="VGF354" s="508"/>
      <c r="VGG354" s="513"/>
      <c r="VGH354" s="508"/>
      <c r="VGI354" s="513"/>
      <c r="VGJ354" s="508"/>
      <c r="VGK354" s="513"/>
      <c r="VGL354" s="508"/>
      <c r="VGM354" s="513"/>
      <c r="VGN354" s="508"/>
      <c r="VGO354" s="513"/>
      <c r="VGP354" s="508"/>
      <c r="VGQ354" s="513"/>
      <c r="VGR354" s="508"/>
      <c r="VGS354" s="513"/>
      <c r="VGT354" s="508"/>
      <c r="VGU354" s="513"/>
      <c r="VGV354" s="508"/>
      <c r="VGW354" s="513"/>
      <c r="VGX354" s="508"/>
      <c r="VGY354" s="513"/>
      <c r="VGZ354" s="508"/>
      <c r="VHA354" s="513"/>
      <c r="VHB354" s="508"/>
      <c r="VHC354" s="513"/>
      <c r="VHD354" s="508"/>
      <c r="VHE354" s="513"/>
      <c r="VHF354" s="508"/>
      <c r="VHG354" s="513"/>
      <c r="VHH354" s="508"/>
      <c r="VHI354" s="513"/>
      <c r="VHJ354" s="508"/>
      <c r="VHK354" s="513"/>
      <c r="VHL354" s="508"/>
      <c r="VHM354" s="513"/>
      <c r="VHN354" s="508"/>
      <c r="VHO354" s="513"/>
      <c r="VHP354" s="508"/>
      <c r="VHQ354" s="513"/>
      <c r="VHR354" s="508"/>
      <c r="VHS354" s="513"/>
      <c r="VHT354" s="508"/>
      <c r="VHU354" s="513"/>
      <c r="VHV354" s="508"/>
      <c r="VHW354" s="513"/>
      <c r="VHX354" s="508"/>
      <c r="VHY354" s="513"/>
      <c r="VHZ354" s="508"/>
      <c r="VIA354" s="513"/>
      <c r="VIB354" s="508"/>
      <c r="VIC354" s="513"/>
      <c r="VID354" s="508"/>
      <c r="VIE354" s="513"/>
      <c r="VIF354" s="508"/>
      <c r="VIG354" s="513"/>
      <c r="VIH354" s="508"/>
      <c r="VII354" s="513"/>
      <c r="VIJ354" s="508"/>
      <c r="VIK354" s="513"/>
      <c r="VIL354" s="508"/>
      <c r="VIM354" s="513"/>
      <c r="VIN354" s="508"/>
      <c r="VIO354" s="513"/>
      <c r="VIP354" s="508"/>
      <c r="VIQ354" s="513"/>
      <c r="VIR354" s="508"/>
      <c r="VIS354" s="513"/>
      <c r="VIT354" s="508"/>
      <c r="VIU354" s="513"/>
      <c r="VIV354" s="508"/>
      <c r="VIW354" s="513"/>
      <c r="VIX354" s="508"/>
      <c r="VIY354" s="513"/>
      <c r="VIZ354" s="508"/>
      <c r="VJA354" s="513"/>
      <c r="VJB354" s="508"/>
      <c r="VJC354" s="513"/>
      <c r="VJD354" s="508"/>
      <c r="VJE354" s="513"/>
      <c r="VJF354" s="508"/>
      <c r="VJG354" s="513"/>
      <c r="VJH354" s="508"/>
      <c r="VJI354" s="513"/>
      <c r="VJJ354" s="508"/>
      <c r="VJK354" s="513"/>
      <c r="VJL354" s="508"/>
      <c r="VJM354" s="513"/>
      <c r="VJN354" s="508"/>
      <c r="VJO354" s="513"/>
      <c r="VJP354" s="508"/>
      <c r="VJQ354" s="513"/>
      <c r="VJR354" s="508"/>
      <c r="VJS354" s="513"/>
      <c r="VJT354" s="508"/>
      <c r="VJU354" s="513"/>
      <c r="VJV354" s="508"/>
      <c r="VJW354" s="513"/>
      <c r="VJX354" s="508"/>
      <c r="VJY354" s="513"/>
      <c r="VJZ354" s="508"/>
      <c r="VKA354" s="513"/>
      <c r="VKB354" s="508"/>
      <c r="VKC354" s="513"/>
      <c r="VKD354" s="508"/>
      <c r="VKE354" s="513"/>
      <c r="VKF354" s="508"/>
      <c r="VKG354" s="513"/>
      <c r="VKH354" s="508"/>
      <c r="VKI354" s="513"/>
      <c r="VKJ354" s="508"/>
      <c r="VKK354" s="513"/>
      <c r="VKL354" s="508"/>
      <c r="VKM354" s="513"/>
      <c r="VKN354" s="508"/>
      <c r="VKO354" s="513"/>
      <c r="VKP354" s="508"/>
      <c r="VKQ354" s="513"/>
      <c r="VKR354" s="508"/>
      <c r="VKS354" s="513"/>
      <c r="VKT354" s="508"/>
      <c r="VKU354" s="513"/>
      <c r="VKV354" s="508"/>
      <c r="VKW354" s="513"/>
      <c r="VKX354" s="508"/>
      <c r="VKY354" s="513"/>
      <c r="VKZ354" s="508"/>
      <c r="VLA354" s="513"/>
      <c r="VLB354" s="508"/>
      <c r="VLC354" s="513"/>
      <c r="VLD354" s="508"/>
      <c r="VLE354" s="513"/>
      <c r="VLF354" s="508"/>
      <c r="VLG354" s="513"/>
      <c r="VLH354" s="508"/>
      <c r="VLI354" s="513"/>
      <c r="VLJ354" s="508"/>
      <c r="VLK354" s="513"/>
      <c r="VLL354" s="508"/>
      <c r="VLM354" s="513"/>
      <c r="VLN354" s="508"/>
      <c r="VLO354" s="513"/>
      <c r="VLP354" s="508"/>
      <c r="VLQ354" s="513"/>
      <c r="VLR354" s="508"/>
      <c r="VLS354" s="513"/>
      <c r="VLT354" s="508"/>
      <c r="VLU354" s="513"/>
      <c r="VLV354" s="508"/>
      <c r="VLW354" s="513"/>
      <c r="VLX354" s="508"/>
      <c r="VLY354" s="513"/>
      <c r="VLZ354" s="508"/>
      <c r="VMA354" s="513"/>
      <c r="VMB354" s="508"/>
      <c r="VMC354" s="513"/>
      <c r="VMD354" s="508"/>
      <c r="VME354" s="513"/>
      <c r="VMF354" s="508"/>
      <c r="VMG354" s="513"/>
      <c r="VMH354" s="508"/>
      <c r="VMI354" s="513"/>
      <c r="VMJ354" s="508"/>
      <c r="VMK354" s="513"/>
      <c r="VML354" s="508"/>
      <c r="VMM354" s="513"/>
      <c r="VMN354" s="508"/>
      <c r="VMO354" s="513"/>
      <c r="VMP354" s="508"/>
      <c r="VMQ354" s="513"/>
      <c r="VMR354" s="508"/>
      <c r="VMS354" s="513"/>
      <c r="VMT354" s="508"/>
      <c r="VMU354" s="513"/>
      <c r="VMV354" s="508"/>
      <c r="VMW354" s="513"/>
      <c r="VMX354" s="508"/>
      <c r="VMY354" s="513"/>
      <c r="VMZ354" s="508"/>
      <c r="VNA354" s="513"/>
      <c r="VNB354" s="508"/>
      <c r="VNC354" s="513"/>
      <c r="VND354" s="508"/>
      <c r="VNE354" s="513"/>
      <c r="VNF354" s="508"/>
      <c r="VNG354" s="513"/>
      <c r="VNH354" s="508"/>
      <c r="VNI354" s="513"/>
      <c r="VNJ354" s="508"/>
      <c r="VNK354" s="513"/>
      <c r="VNL354" s="508"/>
      <c r="VNM354" s="513"/>
      <c r="VNN354" s="508"/>
      <c r="VNO354" s="513"/>
      <c r="VNP354" s="508"/>
      <c r="VNQ354" s="513"/>
      <c r="VNR354" s="508"/>
      <c r="VNS354" s="513"/>
      <c r="VNT354" s="508"/>
      <c r="VNU354" s="513"/>
      <c r="VNV354" s="508"/>
      <c r="VNW354" s="513"/>
      <c r="VNX354" s="508"/>
      <c r="VNY354" s="513"/>
      <c r="VNZ354" s="508"/>
      <c r="VOA354" s="513"/>
      <c r="VOB354" s="508"/>
      <c r="VOC354" s="513"/>
      <c r="VOD354" s="508"/>
      <c r="VOE354" s="513"/>
      <c r="VOF354" s="508"/>
      <c r="VOG354" s="513"/>
      <c r="VOH354" s="508"/>
      <c r="VOI354" s="513"/>
      <c r="VOJ354" s="508"/>
      <c r="VOK354" s="513"/>
      <c r="VOL354" s="508"/>
      <c r="VOM354" s="513"/>
      <c r="VON354" s="508"/>
      <c r="VOO354" s="513"/>
      <c r="VOP354" s="508"/>
      <c r="VOQ354" s="513"/>
      <c r="VOR354" s="508"/>
      <c r="VOS354" s="513"/>
      <c r="VOT354" s="508"/>
      <c r="VOU354" s="513"/>
      <c r="VOV354" s="508"/>
      <c r="VOW354" s="513"/>
      <c r="VOX354" s="508"/>
      <c r="VOY354" s="513"/>
      <c r="VOZ354" s="508"/>
      <c r="VPA354" s="513"/>
      <c r="VPB354" s="508"/>
      <c r="VPC354" s="513"/>
      <c r="VPD354" s="508"/>
      <c r="VPE354" s="513"/>
      <c r="VPF354" s="508"/>
      <c r="VPG354" s="513"/>
      <c r="VPH354" s="508"/>
      <c r="VPI354" s="513"/>
      <c r="VPJ354" s="508"/>
      <c r="VPK354" s="513"/>
      <c r="VPL354" s="508"/>
      <c r="VPM354" s="513"/>
      <c r="VPN354" s="508"/>
      <c r="VPO354" s="513"/>
      <c r="VPP354" s="508"/>
      <c r="VPQ354" s="513"/>
      <c r="VPR354" s="508"/>
      <c r="VPS354" s="513"/>
      <c r="VPT354" s="508"/>
      <c r="VPU354" s="513"/>
      <c r="VPV354" s="508"/>
      <c r="VPW354" s="513"/>
      <c r="VPX354" s="508"/>
      <c r="VPY354" s="513"/>
      <c r="VPZ354" s="508"/>
      <c r="VQA354" s="513"/>
      <c r="VQB354" s="508"/>
      <c r="VQC354" s="513"/>
      <c r="VQD354" s="508"/>
      <c r="VQE354" s="513"/>
      <c r="VQF354" s="508"/>
      <c r="VQG354" s="513"/>
      <c r="VQH354" s="508"/>
      <c r="VQI354" s="513"/>
      <c r="VQJ354" s="508"/>
      <c r="VQK354" s="513"/>
      <c r="VQL354" s="508"/>
      <c r="VQM354" s="513"/>
      <c r="VQN354" s="508"/>
      <c r="VQO354" s="513"/>
      <c r="VQP354" s="508"/>
      <c r="VQQ354" s="513"/>
      <c r="VQR354" s="508"/>
      <c r="VQS354" s="513"/>
      <c r="VQT354" s="508"/>
      <c r="VQU354" s="513"/>
      <c r="VQV354" s="508"/>
      <c r="VQW354" s="513"/>
      <c r="VQX354" s="508"/>
      <c r="VQY354" s="513"/>
      <c r="VQZ354" s="508"/>
      <c r="VRA354" s="513"/>
      <c r="VRB354" s="508"/>
      <c r="VRC354" s="513"/>
      <c r="VRD354" s="508"/>
      <c r="VRE354" s="513"/>
      <c r="VRF354" s="508"/>
      <c r="VRG354" s="513"/>
      <c r="VRH354" s="508"/>
      <c r="VRI354" s="513"/>
      <c r="VRJ354" s="508"/>
      <c r="VRK354" s="513"/>
      <c r="VRL354" s="508"/>
      <c r="VRM354" s="513"/>
      <c r="VRN354" s="508"/>
      <c r="VRO354" s="513"/>
      <c r="VRP354" s="508"/>
      <c r="VRQ354" s="513"/>
      <c r="VRR354" s="508"/>
      <c r="VRS354" s="513"/>
      <c r="VRT354" s="508"/>
      <c r="VRU354" s="513"/>
      <c r="VRV354" s="508"/>
      <c r="VRW354" s="513"/>
      <c r="VRX354" s="508"/>
      <c r="VRY354" s="513"/>
      <c r="VRZ354" s="508"/>
      <c r="VSA354" s="513"/>
      <c r="VSB354" s="508"/>
      <c r="VSC354" s="513"/>
      <c r="VSD354" s="508"/>
      <c r="VSE354" s="513"/>
      <c r="VSF354" s="508"/>
      <c r="VSG354" s="513"/>
      <c r="VSH354" s="508"/>
      <c r="VSI354" s="513"/>
      <c r="VSJ354" s="508"/>
      <c r="VSK354" s="513"/>
      <c r="VSL354" s="508"/>
      <c r="VSM354" s="513"/>
      <c r="VSN354" s="508"/>
      <c r="VSO354" s="513"/>
      <c r="VSP354" s="508"/>
      <c r="VSQ354" s="513"/>
      <c r="VSR354" s="508"/>
      <c r="VSS354" s="513"/>
      <c r="VST354" s="508"/>
      <c r="VSU354" s="513"/>
      <c r="VSV354" s="508"/>
      <c r="VSW354" s="513"/>
      <c r="VSX354" s="508"/>
      <c r="VSY354" s="513"/>
      <c r="VSZ354" s="508"/>
      <c r="VTA354" s="513"/>
      <c r="VTB354" s="508"/>
      <c r="VTC354" s="513"/>
      <c r="VTD354" s="508"/>
      <c r="VTE354" s="513"/>
      <c r="VTF354" s="508"/>
      <c r="VTG354" s="513"/>
      <c r="VTH354" s="508"/>
      <c r="VTI354" s="513"/>
      <c r="VTJ354" s="508"/>
      <c r="VTK354" s="513"/>
      <c r="VTL354" s="508"/>
      <c r="VTM354" s="513"/>
      <c r="VTN354" s="508"/>
      <c r="VTO354" s="513"/>
      <c r="VTP354" s="508"/>
      <c r="VTQ354" s="513"/>
      <c r="VTR354" s="508"/>
      <c r="VTS354" s="513"/>
      <c r="VTT354" s="508"/>
      <c r="VTU354" s="513"/>
      <c r="VTV354" s="508"/>
      <c r="VTW354" s="513"/>
      <c r="VTX354" s="508"/>
      <c r="VTY354" s="513"/>
      <c r="VTZ354" s="508"/>
      <c r="VUA354" s="513"/>
      <c r="VUB354" s="508"/>
      <c r="VUC354" s="513"/>
      <c r="VUD354" s="508"/>
      <c r="VUE354" s="513"/>
      <c r="VUF354" s="508"/>
      <c r="VUG354" s="513"/>
      <c r="VUH354" s="508"/>
      <c r="VUI354" s="513"/>
      <c r="VUJ354" s="508"/>
      <c r="VUK354" s="513"/>
      <c r="VUL354" s="508"/>
      <c r="VUM354" s="513"/>
      <c r="VUN354" s="508"/>
      <c r="VUO354" s="513"/>
      <c r="VUP354" s="508"/>
      <c r="VUQ354" s="513"/>
      <c r="VUR354" s="508"/>
      <c r="VUS354" s="513"/>
      <c r="VUT354" s="508"/>
      <c r="VUU354" s="513"/>
      <c r="VUV354" s="508"/>
      <c r="VUW354" s="513"/>
      <c r="VUX354" s="508"/>
      <c r="VUY354" s="513"/>
      <c r="VUZ354" s="508"/>
      <c r="VVA354" s="513"/>
      <c r="VVB354" s="508"/>
      <c r="VVC354" s="513"/>
      <c r="VVD354" s="508"/>
      <c r="VVE354" s="513"/>
      <c r="VVF354" s="508"/>
      <c r="VVG354" s="513"/>
      <c r="VVH354" s="508"/>
      <c r="VVI354" s="513"/>
      <c r="VVJ354" s="508"/>
      <c r="VVK354" s="513"/>
      <c r="VVL354" s="508"/>
      <c r="VVM354" s="513"/>
      <c r="VVN354" s="508"/>
      <c r="VVO354" s="513"/>
      <c r="VVP354" s="508"/>
      <c r="VVQ354" s="513"/>
      <c r="VVR354" s="508"/>
      <c r="VVS354" s="513"/>
      <c r="VVT354" s="508"/>
      <c r="VVU354" s="513"/>
      <c r="VVV354" s="508"/>
      <c r="VVW354" s="513"/>
      <c r="VVX354" s="508"/>
      <c r="VVY354" s="513"/>
      <c r="VVZ354" s="508"/>
      <c r="VWA354" s="513"/>
      <c r="VWB354" s="508"/>
      <c r="VWC354" s="513"/>
      <c r="VWD354" s="508"/>
      <c r="VWE354" s="513"/>
      <c r="VWF354" s="508"/>
      <c r="VWG354" s="513"/>
      <c r="VWH354" s="508"/>
      <c r="VWI354" s="513"/>
      <c r="VWJ354" s="508"/>
      <c r="VWK354" s="513"/>
      <c r="VWL354" s="508"/>
      <c r="VWM354" s="513"/>
      <c r="VWN354" s="508"/>
      <c r="VWO354" s="513"/>
      <c r="VWP354" s="508"/>
      <c r="VWQ354" s="513"/>
      <c r="VWR354" s="508"/>
      <c r="VWS354" s="513"/>
      <c r="VWT354" s="508"/>
      <c r="VWU354" s="513"/>
      <c r="VWV354" s="508"/>
      <c r="VWW354" s="513"/>
      <c r="VWX354" s="508"/>
      <c r="VWY354" s="513"/>
      <c r="VWZ354" s="508"/>
      <c r="VXA354" s="513"/>
      <c r="VXB354" s="508"/>
      <c r="VXC354" s="513"/>
      <c r="VXD354" s="508"/>
      <c r="VXE354" s="513"/>
      <c r="VXF354" s="508"/>
      <c r="VXG354" s="513"/>
      <c r="VXH354" s="508"/>
      <c r="VXI354" s="513"/>
      <c r="VXJ354" s="508"/>
      <c r="VXK354" s="513"/>
      <c r="VXL354" s="508"/>
      <c r="VXM354" s="513"/>
      <c r="VXN354" s="508"/>
      <c r="VXO354" s="513"/>
      <c r="VXP354" s="508"/>
      <c r="VXQ354" s="513"/>
      <c r="VXR354" s="508"/>
      <c r="VXS354" s="513"/>
      <c r="VXT354" s="508"/>
      <c r="VXU354" s="513"/>
      <c r="VXV354" s="508"/>
      <c r="VXW354" s="513"/>
      <c r="VXX354" s="508"/>
      <c r="VXY354" s="513"/>
      <c r="VXZ354" s="508"/>
      <c r="VYA354" s="513"/>
      <c r="VYB354" s="508"/>
      <c r="VYC354" s="513"/>
      <c r="VYD354" s="508"/>
      <c r="VYE354" s="513"/>
      <c r="VYF354" s="508"/>
      <c r="VYG354" s="513"/>
      <c r="VYH354" s="508"/>
      <c r="VYI354" s="513"/>
      <c r="VYJ354" s="508"/>
      <c r="VYK354" s="513"/>
      <c r="VYL354" s="508"/>
      <c r="VYM354" s="513"/>
      <c r="VYN354" s="508"/>
      <c r="VYO354" s="513"/>
      <c r="VYP354" s="508"/>
      <c r="VYQ354" s="513"/>
      <c r="VYR354" s="508"/>
      <c r="VYS354" s="513"/>
      <c r="VYT354" s="508"/>
      <c r="VYU354" s="513"/>
      <c r="VYV354" s="508"/>
      <c r="VYW354" s="513"/>
      <c r="VYX354" s="508"/>
      <c r="VYY354" s="513"/>
      <c r="VYZ354" s="508"/>
      <c r="VZA354" s="513"/>
      <c r="VZB354" s="508"/>
      <c r="VZC354" s="513"/>
      <c r="VZD354" s="508"/>
      <c r="VZE354" s="513"/>
      <c r="VZF354" s="508"/>
      <c r="VZG354" s="513"/>
      <c r="VZH354" s="508"/>
      <c r="VZI354" s="513"/>
      <c r="VZJ354" s="508"/>
      <c r="VZK354" s="513"/>
      <c r="VZL354" s="508"/>
      <c r="VZM354" s="513"/>
      <c r="VZN354" s="508"/>
      <c r="VZO354" s="513"/>
      <c r="VZP354" s="508"/>
      <c r="VZQ354" s="513"/>
      <c r="VZR354" s="508"/>
      <c r="VZS354" s="513"/>
      <c r="VZT354" s="508"/>
      <c r="VZU354" s="513"/>
      <c r="VZV354" s="508"/>
      <c r="VZW354" s="513"/>
      <c r="VZX354" s="508"/>
      <c r="VZY354" s="513"/>
      <c r="VZZ354" s="508"/>
      <c r="WAA354" s="513"/>
      <c r="WAB354" s="508"/>
      <c r="WAC354" s="513"/>
      <c r="WAD354" s="508"/>
      <c r="WAE354" s="513"/>
      <c r="WAF354" s="508"/>
      <c r="WAG354" s="513"/>
      <c r="WAH354" s="508"/>
      <c r="WAI354" s="513"/>
      <c r="WAJ354" s="508"/>
      <c r="WAK354" s="513"/>
      <c r="WAL354" s="508"/>
      <c r="WAM354" s="513"/>
      <c r="WAN354" s="508"/>
      <c r="WAO354" s="513"/>
      <c r="WAP354" s="508"/>
      <c r="WAQ354" s="513"/>
      <c r="WAR354" s="508"/>
      <c r="WAS354" s="513"/>
      <c r="WAT354" s="508"/>
      <c r="WAU354" s="513"/>
      <c r="WAV354" s="508"/>
      <c r="WAW354" s="513"/>
      <c r="WAX354" s="508"/>
      <c r="WAY354" s="513"/>
      <c r="WAZ354" s="508"/>
      <c r="WBA354" s="513"/>
      <c r="WBB354" s="508"/>
      <c r="WBC354" s="513"/>
      <c r="WBD354" s="508"/>
      <c r="WBE354" s="513"/>
      <c r="WBF354" s="508"/>
      <c r="WBG354" s="513"/>
      <c r="WBH354" s="508"/>
      <c r="WBI354" s="513"/>
      <c r="WBJ354" s="508"/>
      <c r="WBK354" s="513"/>
      <c r="WBL354" s="508"/>
      <c r="WBM354" s="513"/>
      <c r="WBN354" s="508"/>
      <c r="WBO354" s="513"/>
      <c r="WBP354" s="508"/>
      <c r="WBQ354" s="513"/>
      <c r="WBR354" s="508"/>
      <c r="WBS354" s="513"/>
      <c r="WBT354" s="508"/>
      <c r="WBU354" s="513"/>
      <c r="WBV354" s="508"/>
      <c r="WBW354" s="513"/>
      <c r="WBX354" s="508"/>
      <c r="WBY354" s="513"/>
      <c r="WBZ354" s="508"/>
      <c r="WCA354" s="513"/>
      <c r="WCB354" s="508"/>
      <c r="WCC354" s="513"/>
      <c r="WCD354" s="508"/>
      <c r="WCE354" s="513"/>
      <c r="WCF354" s="508"/>
      <c r="WCG354" s="513"/>
      <c r="WCH354" s="508"/>
      <c r="WCI354" s="513"/>
      <c r="WCJ354" s="508"/>
      <c r="WCK354" s="513"/>
      <c r="WCL354" s="508"/>
      <c r="WCM354" s="513"/>
      <c r="WCN354" s="508"/>
      <c r="WCO354" s="513"/>
      <c r="WCP354" s="508"/>
      <c r="WCQ354" s="513"/>
      <c r="WCR354" s="508"/>
      <c r="WCS354" s="513"/>
      <c r="WCT354" s="508"/>
      <c r="WCU354" s="513"/>
      <c r="WCV354" s="508"/>
      <c r="WCW354" s="513"/>
      <c r="WCX354" s="508"/>
      <c r="WCY354" s="513"/>
      <c r="WCZ354" s="508"/>
      <c r="WDA354" s="513"/>
      <c r="WDB354" s="508"/>
      <c r="WDC354" s="513"/>
      <c r="WDD354" s="508"/>
      <c r="WDE354" s="513"/>
      <c r="WDF354" s="508"/>
      <c r="WDG354" s="513"/>
      <c r="WDH354" s="508"/>
      <c r="WDI354" s="513"/>
      <c r="WDJ354" s="508"/>
      <c r="WDK354" s="513"/>
      <c r="WDL354" s="508"/>
      <c r="WDM354" s="513"/>
      <c r="WDN354" s="508"/>
      <c r="WDO354" s="513"/>
      <c r="WDP354" s="508"/>
      <c r="WDQ354" s="513"/>
      <c r="WDR354" s="508"/>
      <c r="WDS354" s="513"/>
      <c r="WDT354" s="508"/>
      <c r="WDU354" s="513"/>
      <c r="WDV354" s="508"/>
      <c r="WDW354" s="513"/>
      <c r="WDX354" s="508"/>
      <c r="WDY354" s="513"/>
      <c r="WDZ354" s="508"/>
      <c r="WEA354" s="513"/>
      <c r="WEB354" s="508"/>
      <c r="WEC354" s="513"/>
      <c r="WED354" s="508"/>
      <c r="WEE354" s="513"/>
      <c r="WEF354" s="508"/>
      <c r="WEG354" s="513"/>
      <c r="WEH354" s="508"/>
      <c r="WEI354" s="513"/>
      <c r="WEJ354" s="508"/>
      <c r="WEK354" s="513"/>
      <c r="WEL354" s="508"/>
      <c r="WEM354" s="513"/>
      <c r="WEN354" s="508"/>
      <c r="WEO354" s="513"/>
      <c r="WEP354" s="508"/>
      <c r="WEQ354" s="513"/>
      <c r="WER354" s="508"/>
      <c r="WES354" s="513"/>
      <c r="WET354" s="508"/>
      <c r="WEU354" s="513"/>
      <c r="WEV354" s="508"/>
      <c r="WEW354" s="513"/>
      <c r="WEX354" s="508"/>
      <c r="WEY354" s="513"/>
      <c r="WEZ354" s="508"/>
      <c r="WFA354" s="513"/>
      <c r="WFB354" s="508"/>
      <c r="WFC354" s="513"/>
      <c r="WFD354" s="508"/>
      <c r="WFE354" s="513"/>
      <c r="WFF354" s="508"/>
      <c r="WFG354" s="513"/>
      <c r="WFH354" s="508"/>
      <c r="WFI354" s="513"/>
      <c r="WFJ354" s="508"/>
      <c r="WFK354" s="513"/>
      <c r="WFL354" s="508"/>
      <c r="WFM354" s="513"/>
      <c r="WFN354" s="508"/>
      <c r="WFO354" s="513"/>
      <c r="WFP354" s="508"/>
      <c r="WFQ354" s="513"/>
      <c r="WFR354" s="508"/>
      <c r="WFS354" s="513"/>
      <c r="WFT354" s="508"/>
      <c r="WFU354" s="513"/>
      <c r="WFV354" s="508"/>
      <c r="WFW354" s="513"/>
      <c r="WFX354" s="508"/>
      <c r="WFY354" s="513"/>
      <c r="WFZ354" s="508"/>
      <c r="WGA354" s="513"/>
      <c r="WGB354" s="508"/>
      <c r="WGC354" s="513"/>
      <c r="WGD354" s="508"/>
      <c r="WGE354" s="513"/>
      <c r="WGF354" s="508"/>
      <c r="WGG354" s="513"/>
      <c r="WGH354" s="508"/>
      <c r="WGI354" s="513"/>
      <c r="WGJ354" s="508"/>
      <c r="WGK354" s="513"/>
      <c r="WGL354" s="508"/>
      <c r="WGM354" s="513"/>
      <c r="WGN354" s="508"/>
      <c r="WGO354" s="513"/>
      <c r="WGP354" s="508"/>
      <c r="WGQ354" s="513"/>
      <c r="WGR354" s="508"/>
      <c r="WGS354" s="513"/>
      <c r="WGT354" s="508"/>
      <c r="WGU354" s="513"/>
      <c r="WGV354" s="508"/>
      <c r="WGW354" s="513"/>
      <c r="WGX354" s="508"/>
      <c r="WGY354" s="513"/>
      <c r="WGZ354" s="508"/>
      <c r="WHA354" s="513"/>
      <c r="WHB354" s="508"/>
      <c r="WHC354" s="513"/>
      <c r="WHD354" s="508"/>
      <c r="WHE354" s="513"/>
      <c r="WHF354" s="508"/>
      <c r="WHG354" s="513"/>
      <c r="WHH354" s="508"/>
      <c r="WHI354" s="513"/>
      <c r="WHJ354" s="508"/>
      <c r="WHK354" s="513"/>
      <c r="WHL354" s="508"/>
      <c r="WHM354" s="513"/>
      <c r="WHN354" s="508"/>
      <c r="WHO354" s="513"/>
      <c r="WHP354" s="508"/>
      <c r="WHQ354" s="513"/>
      <c r="WHR354" s="508"/>
      <c r="WHS354" s="513"/>
      <c r="WHT354" s="508"/>
      <c r="WHU354" s="513"/>
      <c r="WHV354" s="508"/>
      <c r="WHW354" s="513"/>
      <c r="WHX354" s="508"/>
      <c r="WHY354" s="513"/>
      <c r="WHZ354" s="508"/>
      <c r="WIA354" s="513"/>
      <c r="WIB354" s="508"/>
      <c r="WIC354" s="513"/>
      <c r="WID354" s="508"/>
      <c r="WIE354" s="513"/>
      <c r="WIF354" s="508"/>
      <c r="WIG354" s="513"/>
      <c r="WIH354" s="508"/>
      <c r="WII354" s="513"/>
      <c r="WIJ354" s="508"/>
      <c r="WIK354" s="513"/>
      <c r="WIL354" s="508"/>
      <c r="WIM354" s="513"/>
      <c r="WIN354" s="508"/>
      <c r="WIO354" s="513"/>
      <c r="WIP354" s="508"/>
      <c r="WIQ354" s="513"/>
      <c r="WIR354" s="508"/>
      <c r="WIS354" s="513"/>
      <c r="WIT354" s="508"/>
      <c r="WIU354" s="513"/>
      <c r="WIV354" s="508"/>
      <c r="WIW354" s="513"/>
      <c r="WIX354" s="508"/>
      <c r="WIY354" s="513"/>
      <c r="WIZ354" s="508"/>
      <c r="WJA354" s="513"/>
      <c r="WJB354" s="508"/>
      <c r="WJC354" s="513"/>
      <c r="WJD354" s="508"/>
      <c r="WJE354" s="513"/>
      <c r="WJF354" s="508"/>
      <c r="WJG354" s="513"/>
      <c r="WJH354" s="508"/>
      <c r="WJI354" s="513"/>
      <c r="WJJ354" s="508"/>
      <c r="WJK354" s="513"/>
      <c r="WJL354" s="508"/>
      <c r="WJM354" s="513"/>
      <c r="WJN354" s="508"/>
      <c r="WJO354" s="513"/>
      <c r="WJP354" s="508"/>
      <c r="WJQ354" s="513"/>
      <c r="WJR354" s="508"/>
      <c r="WJS354" s="513"/>
      <c r="WJT354" s="508"/>
      <c r="WJU354" s="513"/>
      <c r="WJV354" s="508"/>
      <c r="WJW354" s="513"/>
      <c r="WJX354" s="508"/>
      <c r="WJY354" s="513"/>
      <c r="WJZ354" s="508"/>
      <c r="WKA354" s="513"/>
      <c r="WKB354" s="508"/>
      <c r="WKC354" s="513"/>
      <c r="WKD354" s="508"/>
      <c r="WKE354" s="513"/>
      <c r="WKF354" s="508"/>
      <c r="WKG354" s="513"/>
      <c r="WKH354" s="508"/>
      <c r="WKI354" s="513"/>
      <c r="WKJ354" s="508"/>
      <c r="WKK354" s="513"/>
      <c r="WKL354" s="508"/>
      <c r="WKM354" s="513"/>
      <c r="WKN354" s="508"/>
      <c r="WKO354" s="513"/>
      <c r="WKP354" s="508"/>
      <c r="WKQ354" s="513"/>
      <c r="WKR354" s="508"/>
      <c r="WKS354" s="513"/>
      <c r="WKT354" s="508"/>
      <c r="WKU354" s="513"/>
      <c r="WKV354" s="508"/>
      <c r="WKW354" s="513"/>
      <c r="WKX354" s="508"/>
      <c r="WKY354" s="513"/>
      <c r="WKZ354" s="508"/>
      <c r="WLA354" s="513"/>
      <c r="WLB354" s="508"/>
      <c r="WLC354" s="513"/>
      <c r="WLD354" s="508"/>
      <c r="WLE354" s="513"/>
      <c r="WLF354" s="508"/>
      <c r="WLG354" s="513"/>
      <c r="WLH354" s="508"/>
      <c r="WLI354" s="513"/>
      <c r="WLJ354" s="508"/>
      <c r="WLK354" s="513"/>
      <c r="WLL354" s="508"/>
      <c r="WLM354" s="513"/>
      <c r="WLN354" s="508"/>
      <c r="WLO354" s="513"/>
      <c r="WLP354" s="508"/>
      <c r="WLQ354" s="513"/>
      <c r="WLR354" s="508"/>
      <c r="WLS354" s="513"/>
      <c r="WLT354" s="508"/>
      <c r="WLU354" s="513"/>
      <c r="WLV354" s="508"/>
      <c r="WLW354" s="513"/>
      <c r="WLX354" s="508"/>
      <c r="WLY354" s="513"/>
      <c r="WLZ354" s="508"/>
      <c r="WMA354" s="513"/>
      <c r="WMB354" s="508"/>
      <c r="WMC354" s="513"/>
      <c r="WMD354" s="508"/>
      <c r="WME354" s="513"/>
      <c r="WMF354" s="508"/>
      <c r="WMG354" s="513"/>
      <c r="WMH354" s="508"/>
      <c r="WMI354" s="513"/>
      <c r="WMJ354" s="508"/>
      <c r="WMK354" s="513"/>
      <c r="WML354" s="508"/>
      <c r="WMM354" s="513"/>
      <c r="WMN354" s="508"/>
      <c r="WMO354" s="513"/>
      <c r="WMP354" s="508"/>
      <c r="WMQ354" s="513"/>
      <c r="WMR354" s="508"/>
      <c r="WMS354" s="513"/>
      <c r="WMT354" s="508"/>
      <c r="WMU354" s="513"/>
      <c r="WMV354" s="508"/>
      <c r="WMW354" s="513"/>
      <c r="WMX354" s="508"/>
      <c r="WMY354" s="513"/>
      <c r="WMZ354" s="508"/>
      <c r="WNA354" s="513"/>
      <c r="WNB354" s="508"/>
      <c r="WNC354" s="513"/>
      <c r="WND354" s="508"/>
      <c r="WNE354" s="513"/>
      <c r="WNF354" s="508"/>
      <c r="WNG354" s="513"/>
      <c r="WNH354" s="508"/>
      <c r="WNI354" s="513"/>
      <c r="WNJ354" s="508"/>
      <c r="WNK354" s="513"/>
      <c r="WNL354" s="508"/>
      <c r="WNM354" s="513"/>
      <c r="WNN354" s="508"/>
      <c r="WNO354" s="513"/>
      <c r="WNP354" s="508"/>
      <c r="WNQ354" s="513"/>
      <c r="WNR354" s="508"/>
      <c r="WNS354" s="513"/>
      <c r="WNT354" s="508"/>
      <c r="WNU354" s="513"/>
      <c r="WNV354" s="508"/>
      <c r="WNW354" s="513"/>
      <c r="WNX354" s="508"/>
      <c r="WNY354" s="513"/>
      <c r="WNZ354" s="508"/>
      <c r="WOA354" s="513"/>
      <c r="WOB354" s="508"/>
      <c r="WOC354" s="513"/>
      <c r="WOD354" s="508"/>
      <c r="WOE354" s="513"/>
      <c r="WOF354" s="508"/>
      <c r="WOG354" s="513"/>
      <c r="WOH354" s="508"/>
      <c r="WOI354" s="513"/>
      <c r="WOJ354" s="508"/>
      <c r="WOK354" s="513"/>
      <c r="WOL354" s="508"/>
      <c r="WOM354" s="513"/>
      <c r="WON354" s="508"/>
      <c r="WOO354" s="513"/>
      <c r="WOP354" s="508"/>
      <c r="WOQ354" s="513"/>
      <c r="WOR354" s="508"/>
      <c r="WOS354" s="513"/>
      <c r="WOT354" s="508"/>
      <c r="WOU354" s="513"/>
      <c r="WOV354" s="508"/>
      <c r="WOW354" s="513"/>
      <c r="WOX354" s="508"/>
      <c r="WOY354" s="513"/>
      <c r="WOZ354" s="508"/>
      <c r="WPA354" s="513"/>
      <c r="WPB354" s="508"/>
      <c r="WPC354" s="513"/>
      <c r="WPD354" s="508"/>
      <c r="WPE354" s="513"/>
      <c r="WPF354" s="508"/>
      <c r="WPG354" s="513"/>
      <c r="WPH354" s="508"/>
      <c r="WPI354" s="513"/>
      <c r="WPJ354" s="508"/>
      <c r="WPK354" s="513"/>
      <c r="WPL354" s="508"/>
      <c r="WPM354" s="513"/>
      <c r="WPN354" s="508"/>
      <c r="WPO354" s="513"/>
      <c r="WPP354" s="508"/>
      <c r="WPQ354" s="513"/>
      <c r="WPR354" s="508"/>
      <c r="WPS354" s="513"/>
      <c r="WPT354" s="508"/>
      <c r="WPU354" s="513"/>
      <c r="WPV354" s="508"/>
      <c r="WPW354" s="513"/>
      <c r="WPX354" s="508"/>
      <c r="WPY354" s="513"/>
      <c r="WPZ354" s="508"/>
      <c r="WQA354" s="513"/>
      <c r="WQB354" s="508"/>
      <c r="WQC354" s="513"/>
      <c r="WQD354" s="508"/>
      <c r="WQE354" s="513"/>
      <c r="WQF354" s="508"/>
      <c r="WQG354" s="513"/>
      <c r="WQH354" s="508"/>
      <c r="WQI354" s="513"/>
      <c r="WQJ354" s="508"/>
      <c r="WQK354" s="513"/>
      <c r="WQL354" s="508"/>
      <c r="WQM354" s="513"/>
      <c r="WQN354" s="508"/>
      <c r="WQO354" s="513"/>
      <c r="WQP354" s="508"/>
      <c r="WQQ354" s="513"/>
      <c r="WQR354" s="508"/>
      <c r="WQS354" s="513"/>
      <c r="WQT354" s="508"/>
      <c r="WQU354" s="513"/>
      <c r="WQV354" s="508"/>
      <c r="WQW354" s="513"/>
      <c r="WQX354" s="508"/>
      <c r="WQY354" s="513"/>
      <c r="WQZ354" s="508"/>
      <c r="WRA354" s="513"/>
      <c r="WRB354" s="508"/>
      <c r="WRC354" s="513"/>
      <c r="WRD354" s="508"/>
      <c r="WRE354" s="513"/>
      <c r="WRF354" s="508"/>
      <c r="WRG354" s="513"/>
      <c r="WRH354" s="508"/>
      <c r="WRI354" s="513"/>
      <c r="WRJ354" s="508"/>
      <c r="WRK354" s="513"/>
      <c r="WRL354" s="508"/>
      <c r="WRM354" s="513"/>
      <c r="WRN354" s="508"/>
      <c r="WRO354" s="513"/>
      <c r="WRP354" s="508"/>
      <c r="WRQ354" s="513"/>
      <c r="WRR354" s="508"/>
      <c r="WRS354" s="513"/>
      <c r="WRT354" s="508"/>
      <c r="WRU354" s="513"/>
      <c r="WRV354" s="508"/>
      <c r="WRW354" s="513"/>
      <c r="WRX354" s="508"/>
      <c r="WRY354" s="513"/>
      <c r="WRZ354" s="508"/>
      <c r="WSA354" s="513"/>
      <c r="WSB354" s="508"/>
      <c r="WSC354" s="513"/>
      <c r="WSD354" s="508"/>
      <c r="WSE354" s="513"/>
      <c r="WSF354" s="508"/>
      <c r="WSG354" s="513"/>
      <c r="WSH354" s="508"/>
      <c r="WSI354" s="513"/>
      <c r="WSJ354" s="508"/>
      <c r="WSK354" s="513"/>
      <c r="WSL354" s="508"/>
      <c r="WSM354" s="513"/>
      <c r="WSN354" s="508"/>
      <c r="WSO354" s="513"/>
      <c r="WSP354" s="508"/>
      <c r="WSQ354" s="513"/>
      <c r="WSR354" s="508"/>
      <c r="WSS354" s="513"/>
      <c r="WST354" s="508"/>
      <c r="WSU354" s="513"/>
      <c r="WSV354" s="508"/>
      <c r="WSW354" s="513"/>
      <c r="WSX354" s="508"/>
      <c r="WSY354" s="513"/>
      <c r="WSZ354" s="508"/>
      <c r="WTA354" s="513"/>
      <c r="WTB354" s="508"/>
      <c r="WTC354" s="513"/>
      <c r="WTD354" s="508"/>
      <c r="WTE354" s="513"/>
      <c r="WTF354" s="508"/>
      <c r="WTG354" s="513"/>
      <c r="WTH354" s="508"/>
      <c r="WTI354" s="513"/>
      <c r="WTJ354" s="508"/>
      <c r="WTK354" s="513"/>
      <c r="WTL354" s="508"/>
      <c r="WTM354" s="513"/>
      <c r="WTN354" s="508"/>
      <c r="WTO354" s="513"/>
      <c r="WTP354" s="508"/>
      <c r="WTQ354" s="513"/>
      <c r="WTR354" s="508"/>
      <c r="WTS354" s="513"/>
      <c r="WTT354" s="508"/>
      <c r="WTU354" s="513"/>
      <c r="WTV354" s="508"/>
      <c r="WTW354" s="513"/>
      <c r="WTX354" s="508"/>
      <c r="WTY354" s="513"/>
      <c r="WTZ354" s="508"/>
      <c r="WUA354" s="513"/>
      <c r="WUB354" s="508"/>
      <c r="WUC354" s="513"/>
      <c r="WUD354" s="508"/>
      <c r="WUE354" s="513"/>
      <c r="WUF354" s="508"/>
      <c r="WUG354" s="513"/>
      <c r="WUH354" s="508"/>
      <c r="WUI354" s="513"/>
      <c r="WUJ354" s="508"/>
      <c r="WUK354" s="513"/>
      <c r="WUL354" s="508"/>
      <c r="WUM354" s="513"/>
      <c r="WUN354" s="508"/>
      <c r="WUO354" s="513"/>
      <c r="WUP354" s="508"/>
      <c r="WUQ354" s="513"/>
      <c r="WUR354" s="508"/>
      <c r="WUS354" s="513"/>
      <c r="WUT354" s="508"/>
      <c r="WUU354" s="513"/>
      <c r="WUV354" s="508"/>
      <c r="WUW354" s="513"/>
      <c r="WUX354" s="508"/>
      <c r="WUY354" s="513"/>
      <c r="WUZ354" s="508"/>
      <c r="WVA354" s="513"/>
      <c r="WVB354" s="508"/>
      <c r="WVC354" s="513"/>
      <c r="WVD354" s="508"/>
      <c r="WVE354" s="513"/>
      <c r="WVF354" s="508"/>
      <c r="WVG354" s="513"/>
      <c r="WVH354" s="508"/>
      <c r="WVI354" s="513"/>
      <c r="WVJ354" s="508"/>
      <c r="WVK354" s="513"/>
      <c r="WVL354" s="508"/>
      <c r="WVM354" s="513"/>
      <c r="WVN354" s="508"/>
      <c r="WVO354" s="513"/>
      <c r="WVP354" s="508"/>
      <c r="WVQ354" s="513"/>
      <c r="WVR354" s="508"/>
      <c r="WVS354" s="513"/>
      <c r="WVT354" s="508"/>
      <c r="WVU354" s="513"/>
      <c r="WVV354" s="508"/>
      <c r="WVW354" s="513"/>
      <c r="WVX354" s="508"/>
      <c r="WVY354" s="513"/>
      <c r="WVZ354" s="508"/>
      <c r="WWA354" s="513"/>
      <c r="WWB354" s="508"/>
      <c r="WWC354" s="513"/>
      <c r="WWD354" s="508"/>
      <c r="WWE354" s="513"/>
      <c r="WWF354" s="508"/>
      <c r="WWG354" s="513"/>
      <c r="WWH354" s="508"/>
      <c r="WWI354" s="513"/>
      <c r="WWJ354" s="508"/>
      <c r="WWK354" s="513"/>
      <c r="WWL354" s="508"/>
      <c r="WWM354" s="513"/>
      <c r="WWN354" s="508"/>
      <c r="WWO354" s="513"/>
      <c r="WWP354" s="508"/>
      <c r="WWQ354" s="513"/>
      <c r="WWR354" s="508"/>
      <c r="WWS354" s="513"/>
      <c r="WWT354" s="508"/>
      <c r="WWU354" s="513"/>
      <c r="WWV354" s="508"/>
      <c r="WWW354" s="513"/>
      <c r="WWX354" s="508"/>
      <c r="WWY354" s="513"/>
      <c r="WWZ354" s="508"/>
      <c r="WXA354" s="513"/>
      <c r="WXB354" s="508"/>
      <c r="WXC354" s="513"/>
      <c r="WXD354" s="508"/>
      <c r="WXE354" s="513"/>
      <c r="WXF354" s="508"/>
      <c r="WXG354" s="513"/>
      <c r="WXH354" s="508"/>
      <c r="WXI354" s="513"/>
      <c r="WXJ354" s="508"/>
      <c r="WXK354" s="513"/>
      <c r="WXL354" s="508"/>
      <c r="WXM354" s="513"/>
      <c r="WXN354" s="508"/>
      <c r="WXO354" s="513"/>
      <c r="WXP354" s="508"/>
      <c r="WXQ354" s="513"/>
      <c r="WXR354" s="508"/>
      <c r="WXS354" s="513"/>
      <c r="WXT354" s="508"/>
      <c r="WXU354" s="513"/>
      <c r="WXV354" s="508"/>
      <c r="WXW354" s="513"/>
      <c r="WXX354" s="508"/>
      <c r="WXY354" s="513"/>
      <c r="WXZ354" s="508"/>
      <c r="WYA354" s="513"/>
      <c r="WYB354" s="508"/>
      <c r="WYC354" s="513"/>
      <c r="WYD354" s="508"/>
      <c r="WYE354" s="513"/>
      <c r="WYF354" s="508"/>
      <c r="WYG354" s="513"/>
      <c r="WYH354" s="508"/>
      <c r="WYI354" s="513"/>
      <c r="WYJ354" s="508"/>
      <c r="WYK354" s="513"/>
      <c r="WYL354" s="508"/>
      <c r="WYM354" s="513"/>
      <c r="WYN354" s="508"/>
      <c r="WYO354" s="513"/>
      <c r="WYP354" s="508"/>
      <c r="WYQ354" s="513"/>
      <c r="WYR354" s="508"/>
      <c r="WYS354" s="513"/>
      <c r="WYT354" s="508"/>
      <c r="WYU354" s="513"/>
      <c r="WYV354" s="508"/>
      <c r="WYW354" s="513"/>
      <c r="WYX354" s="508"/>
      <c r="WYY354" s="513"/>
      <c r="WYZ354" s="508"/>
      <c r="WZA354" s="513"/>
      <c r="WZB354" s="508"/>
      <c r="WZC354" s="513"/>
      <c r="WZD354" s="508"/>
      <c r="WZE354" s="513"/>
      <c r="WZF354" s="508"/>
      <c r="WZG354" s="513"/>
      <c r="WZH354" s="508"/>
      <c r="WZI354" s="513"/>
      <c r="WZJ354" s="508"/>
      <c r="WZK354" s="513"/>
      <c r="WZL354" s="508"/>
      <c r="WZM354" s="513"/>
      <c r="WZN354" s="508"/>
      <c r="WZO354" s="513"/>
      <c r="WZP354" s="508"/>
      <c r="WZQ354" s="513"/>
      <c r="WZR354" s="508"/>
      <c r="WZS354" s="513"/>
      <c r="WZT354" s="508"/>
      <c r="WZU354" s="513"/>
      <c r="WZV354" s="508"/>
      <c r="WZW354" s="513"/>
      <c r="WZX354" s="508"/>
      <c r="WZY354" s="513"/>
      <c r="WZZ354" s="508"/>
      <c r="XAA354" s="513"/>
      <c r="XAB354" s="508"/>
      <c r="XAC354" s="513"/>
      <c r="XAD354" s="508"/>
      <c r="XAE354" s="513"/>
      <c r="XAF354" s="508"/>
      <c r="XAG354" s="513"/>
      <c r="XAH354" s="508"/>
      <c r="XAI354" s="513"/>
      <c r="XAJ354" s="508"/>
      <c r="XAK354" s="513"/>
      <c r="XAL354" s="508"/>
      <c r="XAM354" s="513"/>
      <c r="XAN354" s="508"/>
      <c r="XAO354" s="513"/>
      <c r="XAP354" s="508"/>
      <c r="XAQ354" s="513"/>
      <c r="XAR354" s="508"/>
      <c r="XAS354" s="513"/>
      <c r="XAT354" s="508"/>
      <c r="XAU354" s="513"/>
      <c r="XAV354" s="508"/>
      <c r="XAW354" s="513"/>
      <c r="XAX354" s="508"/>
      <c r="XAY354" s="513"/>
      <c r="XAZ354" s="508"/>
      <c r="XBA354" s="513"/>
      <c r="XBB354" s="508"/>
      <c r="XBC354" s="513"/>
      <c r="XBD354" s="508"/>
      <c r="XBE354" s="513"/>
      <c r="XBF354" s="508"/>
      <c r="XBG354" s="513"/>
      <c r="XBH354" s="508"/>
      <c r="XBI354" s="513"/>
      <c r="XBJ354" s="508"/>
      <c r="XBK354" s="513"/>
      <c r="XBL354" s="508"/>
      <c r="XBM354" s="513"/>
      <c r="XBN354" s="508"/>
      <c r="XBO354" s="513"/>
      <c r="XBP354" s="508"/>
      <c r="XBQ354" s="513"/>
      <c r="XBR354" s="508"/>
      <c r="XBS354" s="513"/>
      <c r="XBT354" s="508"/>
      <c r="XBU354" s="513"/>
      <c r="XBV354" s="508"/>
      <c r="XBW354" s="513"/>
      <c r="XBX354" s="508"/>
      <c r="XBY354" s="513"/>
      <c r="XBZ354" s="508"/>
      <c r="XCA354" s="513"/>
      <c r="XCB354" s="508"/>
      <c r="XCC354" s="513"/>
      <c r="XCD354" s="508"/>
      <c r="XCE354" s="513"/>
      <c r="XCF354" s="508"/>
      <c r="XCG354" s="513"/>
      <c r="XCH354" s="508"/>
      <c r="XCI354" s="513"/>
      <c r="XCJ354" s="508"/>
      <c r="XCK354" s="513"/>
      <c r="XCL354" s="508"/>
      <c r="XCM354" s="513"/>
      <c r="XCN354" s="508"/>
      <c r="XCO354" s="513"/>
      <c r="XCP354" s="508"/>
      <c r="XCQ354" s="513"/>
      <c r="XCR354" s="508"/>
      <c r="XCS354" s="513"/>
      <c r="XCT354" s="508"/>
      <c r="XCU354" s="513"/>
      <c r="XCV354" s="508"/>
      <c r="XCW354" s="513"/>
      <c r="XCX354" s="508"/>
      <c r="XCY354" s="513"/>
      <c r="XCZ354" s="508"/>
      <c r="XDA354" s="513"/>
      <c r="XDB354" s="508"/>
      <c r="XDC354" s="513"/>
      <c r="XDD354" s="508"/>
      <c r="XDE354" s="513"/>
      <c r="XDF354" s="508"/>
      <c r="XDG354" s="513"/>
      <c r="XDH354" s="508"/>
      <c r="XDI354" s="513"/>
      <c r="XDJ354" s="508"/>
      <c r="XDK354" s="513"/>
      <c r="XDL354" s="508"/>
      <c r="XDM354" s="513"/>
      <c r="XDN354" s="508"/>
      <c r="XDO354" s="513"/>
      <c r="XDP354" s="508"/>
      <c r="XDQ354" s="513"/>
      <c r="XDR354" s="508"/>
      <c r="XDS354" s="513"/>
      <c r="XDT354" s="508"/>
      <c r="XDU354" s="513"/>
      <c r="XDV354" s="508"/>
      <c r="XDW354" s="513"/>
      <c r="XDX354" s="508"/>
      <c r="XDY354" s="513"/>
      <c r="XDZ354" s="508"/>
      <c r="XEA354" s="513"/>
      <c r="XEB354" s="508"/>
      <c r="XEC354" s="513"/>
      <c r="XED354" s="508"/>
      <c r="XEE354" s="513"/>
      <c r="XEF354" s="508"/>
      <c r="XEG354" s="513"/>
      <c r="XEH354" s="508"/>
      <c r="XEI354" s="513"/>
      <c r="XEJ354" s="508"/>
      <c r="XEK354" s="513"/>
      <c r="XEL354" s="508"/>
      <c r="XEM354" s="513"/>
      <c r="XEN354" s="508"/>
      <c r="XEO354" s="513"/>
      <c r="XEP354" s="508"/>
      <c r="XEQ354" s="513"/>
      <c r="XER354" s="508"/>
      <c r="XES354" s="513"/>
      <c r="XET354" s="508"/>
      <c r="XEU354" s="513"/>
      <c r="XEV354" s="508"/>
      <c r="XEW354" s="513"/>
      <c r="XEX354" s="508"/>
      <c r="XEY354" s="513"/>
      <c r="XEZ354" s="508"/>
      <c r="XFA354" s="513"/>
      <c r="XFB354" s="508"/>
      <c r="XFC354" s="513"/>
      <c r="XFD354" s="508"/>
    </row>
    <row r="355" spans="1:16384" ht="15.75">
      <c r="A355" s="367">
        <v>346000</v>
      </c>
      <c r="B355" s="358" t="s">
        <v>476</v>
      </c>
      <c r="F355" s="324">
        <f t="shared" si="17"/>
        <v>1177</v>
      </c>
      <c r="G355" s="324">
        <v>0</v>
      </c>
      <c r="H355" s="324">
        <v>1176869</v>
      </c>
      <c r="M355" s="508"/>
    </row>
    <row r="356" spans="1:16384" ht="15.75">
      <c r="A356" s="369"/>
      <c r="B356" s="358" t="s">
        <v>489</v>
      </c>
      <c r="F356" s="324">
        <f t="shared" si="17"/>
        <v>195979</v>
      </c>
      <c r="G356" s="324">
        <v>0</v>
      </c>
      <c r="H356" s="324">
        <v>195978979</v>
      </c>
      <c r="M356" s="508"/>
    </row>
    <row r="357" spans="1:16384" ht="15.75">
      <c r="A357" s="367"/>
      <c r="B357" s="358" t="s">
        <v>490</v>
      </c>
      <c r="F357" s="324">
        <f t="shared" si="17"/>
        <v>832833</v>
      </c>
      <c r="G357" s="324">
        <v>0</v>
      </c>
      <c r="H357" s="508">
        <v>832832557</v>
      </c>
      <c r="L357" s="508"/>
      <c r="M357" s="508"/>
      <c r="N357" s="508"/>
      <c r="O357" s="513"/>
      <c r="P357" s="508"/>
    </row>
    <row r="358" spans="1:16384" ht="15.75">
      <c r="A358" s="367"/>
      <c r="B358" s="358"/>
      <c r="F358" s="324">
        <f t="shared" si="17"/>
        <v>0</v>
      </c>
      <c r="G358" s="324">
        <v>0</v>
      </c>
      <c r="M358" s="508"/>
    </row>
    <row r="359" spans="1:16384" ht="15.75">
      <c r="A359" s="371"/>
      <c r="B359" s="358" t="s">
        <v>491</v>
      </c>
      <c r="F359" s="324">
        <f t="shared" si="17"/>
        <v>0</v>
      </c>
      <c r="G359" s="324">
        <v>0</v>
      </c>
      <c r="M359" s="508"/>
    </row>
    <row r="360" spans="1:16384" ht="15.75">
      <c r="A360" s="367" t="s">
        <v>492</v>
      </c>
      <c r="B360" s="358" t="s">
        <v>470</v>
      </c>
      <c r="F360" s="324">
        <f t="shared" si="17"/>
        <v>15054</v>
      </c>
      <c r="G360" s="324">
        <v>0</v>
      </c>
      <c r="H360" s="324">
        <v>15053979</v>
      </c>
      <c r="M360" s="508"/>
    </row>
    <row r="361" spans="1:16384" ht="15.75">
      <c r="A361" s="513" t="s">
        <v>703</v>
      </c>
      <c r="B361" s="508" t="s">
        <v>704</v>
      </c>
      <c r="C361" s="513"/>
      <c r="D361" s="508"/>
      <c r="E361" s="513"/>
      <c r="F361" s="324">
        <f t="shared" si="17"/>
        <v>0</v>
      </c>
      <c r="G361" s="324">
        <v>0</v>
      </c>
      <c r="H361" s="324">
        <v>0</v>
      </c>
      <c r="M361" s="508"/>
    </row>
    <row r="362" spans="1:16384" ht="15.75">
      <c r="A362" s="367" t="s">
        <v>493</v>
      </c>
      <c r="B362" s="358" t="s">
        <v>472</v>
      </c>
      <c r="F362" s="324">
        <f t="shared" si="17"/>
        <v>15376</v>
      </c>
      <c r="G362" s="324">
        <v>0</v>
      </c>
      <c r="H362" s="324">
        <v>15376163</v>
      </c>
      <c r="M362" s="508"/>
    </row>
    <row r="363" spans="1:16384" ht="15.75">
      <c r="A363" s="367">
        <v>353000</v>
      </c>
      <c r="B363" s="358" t="s">
        <v>372</v>
      </c>
      <c r="F363" s="324">
        <f t="shared" si="17"/>
        <v>165171</v>
      </c>
      <c r="G363" s="324">
        <v>0</v>
      </c>
      <c r="H363" s="324">
        <v>165170930</v>
      </c>
      <c r="M363" s="508"/>
    </row>
    <row r="364" spans="1:16384" ht="15.75">
      <c r="A364" s="367">
        <v>354000</v>
      </c>
      <c r="B364" s="358" t="s">
        <v>494</v>
      </c>
      <c r="F364" s="324">
        <f t="shared" si="17"/>
        <v>11288</v>
      </c>
      <c r="G364" s="324">
        <v>0</v>
      </c>
      <c r="H364" s="324">
        <v>11287844</v>
      </c>
      <c r="M364" s="508"/>
    </row>
    <row r="365" spans="1:16384" ht="15.75">
      <c r="A365" s="367">
        <v>355000</v>
      </c>
      <c r="B365" s="358" t="s">
        <v>495</v>
      </c>
      <c r="F365" s="324">
        <f t="shared" si="17"/>
        <v>131612</v>
      </c>
      <c r="G365" s="324">
        <v>0</v>
      </c>
      <c r="H365" s="324">
        <v>131612313</v>
      </c>
      <c r="M365" s="508"/>
    </row>
    <row r="366" spans="1:16384" ht="15.75">
      <c r="A366" s="367">
        <v>356000</v>
      </c>
      <c r="B366" s="358" t="s">
        <v>496</v>
      </c>
      <c r="F366" s="324">
        <f t="shared" si="17"/>
        <v>87274</v>
      </c>
      <c r="G366" s="324">
        <v>0</v>
      </c>
      <c r="H366" s="324">
        <v>87273663</v>
      </c>
      <c r="M366" s="508"/>
    </row>
    <row r="367" spans="1:16384" ht="15.75">
      <c r="A367" s="367">
        <v>357000</v>
      </c>
      <c r="B367" s="358" t="s">
        <v>497</v>
      </c>
      <c r="F367" s="324">
        <f t="shared" si="17"/>
        <v>1963</v>
      </c>
      <c r="G367" s="324">
        <v>0</v>
      </c>
      <c r="H367" s="324">
        <v>1963414</v>
      </c>
      <c r="M367" s="508"/>
    </row>
    <row r="368" spans="1:16384" ht="15.75">
      <c r="A368" s="367">
        <v>358000</v>
      </c>
      <c r="B368" s="358" t="s">
        <v>498</v>
      </c>
      <c r="F368" s="324">
        <f t="shared" si="17"/>
        <v>1540</v>
      </c>
      <c r="G368" s="324">
        <v>0</v>
      </c>
      <c r="H368" s="324">
        <v>1539853</v>
      </c>
      <c r="M368" s="508"/>
    </row>
    <row r="369" spans="1:13" ht="15.75">
      <c r="A369" s="367">
        <v>359000</v>
      </c>
      <c r="B369" s="358" t="s">
        <v>499</v>
      </c>
      <c r="F369" s="324">
        <f t="shared" si="17"/>
        <v>1334</v>
      </c>
      <c r="G369" s="324">
        <v>0</v>
      </c>
      <c r="H369" s="324">
        <v>1334395</v>
      </c>
      <c r="M369" s="508"/>
    </row>
    <row r="370" spans="1:13" ht="15.75">
      <c r="A370" s="369"/>
      <c r="B370" s="358" t="s">
        <v>500</v>
      </c>
      <c r="F370" s="324">
        <f t="shared" si="17"/>
        <v>430613</v>
      </c>
      <c r="G370" s="324">
        <v>0</v>
      </c>
      <c r="H370" s="324">
        <v>430612554</v>
      </c>
      <c r="M370" s="508"/>
    </row>
    <row r="371" spans="1:13" ht="15.75">
      <c r="A371" s="370"/>
      <c r="B371" s="358"/>
      <c r="G371" s="324">
        <v>0</v>
      </c>
      <c r="M371" s="508"/>
    </row>
    <row r="372" spans="1:13" ht="15.75">
      <c r="A372" s="370"/>
      <c r="B372" s="358"/>
      <c r="M372" s="508"/>
    </row>
    <row r="373" spans="1:13" ht="15.75">
      <c r="A373" s="370"/>
      <c r="B373" s="358" t="s">
        <v>501</v>
      </c>
      <c r="F373" s="324">
        <f>ROUND(H373/1000,0)</f>
        <v>3954</v>
      </c>
      <c r="H373" s="324">
        <v>3954169</v>
      </c>
      <c r="M373" s="508"/>
    </row>
    <row r="374" spans="1:13" ht="15.75">
      <c r="A374" s="367">
        <v>360200</v>
      </c>
      <c r="B374" s="358" t="s">
        <v>470</v>
      </c>
      <c r="F374" s="324">
        <f>ROUND(H374/1000,0)</f>
        <v>335</v>
      </c>
      <c r="G374" s="324">
        <v>0</v>
      </c>
      <c r="H374" s="324">
        <v>335419</v>
      </c>
      <c r="M374" s="511"/>
    </row>
    <row r="375" spans="1:13" ht="15.75">
      <c r="A375" s="366">
        <v>360400</v>
      </c>
      <c r="B375" s="361" t="s">
        <v>502</v>
      </c>
      <c r="F375" s="324">
        <f>ROUND(H375/1000,0)</f>
        <v>0</v>
      </c>
      <c r="G375" s="324">
        <v>0</v>
      </c>
      <c r="H375" s="324">
        <v>0</v>
      </c>
      <c r="M375" s="511"/>
    </row>
    <row r="376" spans="1:13" ht="15.75">
      <c r="A376" s="713">
        <v>360500</v>
      </c>
      <c r="B376" s="511" t="s">
        <v>749</v>
      </c>
      <c r="F376" s="324">
        <f>ROUND(H376/1000,0)</f>
        <v>14357</v>
      </c>
      <c r="H376" s="324">
        <v>14357348</v>
      </c>
      <c r="M376" s="508"/>
    </row>
    <row r="377" spans="1:13" ht="15.75">
      <c r="A377" s="367">
        <v>361000</v>
      </c>
      <c r="B377" s="358" t="s">
        <v>472</v>
      </c>
      <c r="F377" s="324">
        <f>ROUND(H377/1000,0)</f>
        <v>82076</v>
      </c>
      <c r="G377" s="324">
        <v>0</v>
      </c>
      <c r="H377" s="324">
        <v>82075805</v>
      </c>
      <c r="M377" s="512"/>
    </row>
    <row r="378" spans="1:13" ht="15.75">
      <c r="A378" s="367">
        <v>362000</v>
      </c>
      <c r="B378" s="357" t="s">
        <v>372</v>
      </c>
      <c r="F378" s="324">
        <f t="shared" ref="F378" si="18">ROUND(H378/1000,0)</f>
        <v>2547</v>
      </c>
      <c r="G378" s="324">
        <v>0</v>
      </c>
      <c r="H378" s="324">
        <v>2547093</v>
      </c>
      <c r="M378" s="508"/>
    </row>
    <row r="379" spans="1:13" ht="15.75">
      <c r="A379" s="513">
        <v>363000</v>
      </c>
      <c r="B379" s="508" t="s">
        <v>699</v>
      </c>
      <c r="F379" s="324">
        <f t="shared" ref="F379:F384" si="19">ROUND(H379/1000,0)</f>
        <v>221767</v>
      </c>
      <c r="G379" s="324">
        <v>0</v>
      </c>
      <c r="H379" s="324">
        <v>221767095</v>
      </c>
      <c r="M379" s="508"/>
    </row>
    <row r="380" spans="1:13" ht="15.75">
      <c r="A380" s="367">
        <v>364000</v>
      </c>
      <c r="B380" s="358" t="s">
        <v>503</v>
      </c>
      <c r="F380" s="324">
        <f t="shared" si="19"/>
        <v>138289</v>
      </c>
      <c r="G380" s="324">
        <v>0</v>
      </c>
      <c r="H380" s="324">
        <v>138289363</v>
      </c>
      <c r="M380" s="508"/>
    </row>
    <row r="381" spans="1:13" ht="15.75">
      <c r="A381" s="367">
        <v>365000</v>
      </c>
      <c r="B381" s="358" t="s">
        <v>496</v>
      </c>
      <c r="F381" s="324">
        <f t="shared" si="19"/>
        <v>64377</v>
      </c>
      <c r="G381" s="324">
        <v>0</v>
      </c>
      <c r="H381" s="324">
        <v>64377129</v>
      </c>
      <c r="M381" s="508"/>
    </row>
    <row r="382" spans="1:13" ht="15.75">
      <c r="A382" s="367">
        <v>366000</v>
      </c>
      <c r="B382" s="358" t="s">
        <v>497</v>
      </c>
      <c r="F382" s="324">
        <f t="shared" si="19"/>
        <v>115717</v>
      </c>
      <c r="G382" s="324">
        <v>0</v>
      </c>
      <c r="H382" s="324">
        <v>115717294</v>
      </c>
      <c r="M382" s="508"/>
    </row>
    <row r="383" spans="1:13" ht="15.75">
      <c r="A383" s="367">
        <v>367000</v>
      </c>
      <c r="B383" s="358" t="s">
        <v>498</v>
      </c>
      <c r="F383" s="324">
        <f t="shared" si="19"/>
        <v>162672</v>
      </c>
      <c r="G383" s="324">
        <v>0</v>
      </c>
      <c r="H383" s="324">
        <v>162672390</v>
      </c>
      <c r="M383" s="508"/>
    </row>
    <row r="384" spans="1:13" ht="15.75">
      <c r="A384" s="367">
        <v>368000</v>
      </c>
      <c r="B384" s="358" t="s">
        <v>408</v>
      </c>
      <c r="F384" s="324">
        <f t="shared" si="19"/>
        <v>101101</v>
      </c>
      <c r="G384" s="324">
        <v>0</v>
      </c>
      <c r="H384" s="324">
        <v>101100928</v>
      </c>
      <c r="M384" s="508"/>
    </row>
    <row r="385" spans="1:13" ht="15.75">
      <c r="A385" s="367" t="s">
        <v>504</v>
      </c>
      <c r="B385" s="358" t="s">
        <v>505</v>
      </c>
      <c r="F385" s="324">
        <f t="shared" ref="F385" si="20">ROUND(H385/1000,0)</f>
        <v>35</v>
      </c>
      <c r="G385" s="324">
        <v>0</v>
      </c>
      <c r="H385" s="324">
        <v>35295</v>
      </c>
      <c r="M385" s="508"/>
    </row>
    <row r="386" spans="1:13" ht="15.75">
      <c r="A386" s="713" t="s">
        <v>750</v>
      </c>
      <c r="B386" s="511" t="s">
        <v>751</v>
      </c>
      <c r="F386" s="324">
        <f>ROUND(H386/1000,0)</f>
        <v>27614</v>
      </c>
      <c r="G386" s="324">
        <v>1</v>
      </c>
      <c r="H386" s="324">
        <v>27614283</v>
      </c>
      <c r="M386" s="511"/>
    </row>
    <row r="387" spans="1:13" ht="15.75">
      <c r="A387" s="366">
        <v>370000</v>
      </c>
      <c r="B387" s="361" t="s">
        <v>410</v>
      </c>
      <c r="F387" s="324">
        <f>ROUND(H387/1000,0)</f>
        <v>35612</v>
      </c>
      <c r="G387" s="324">
        <v>0</v>
      </c>
      <c r="H387" s="324">
        <v>35611754</v>
      </c>
      <c r="M387" s="508"/>
    </row>
    <row r="388" spans="1:13" ht="15.75">
      <c r="A388" s="367" t="s">
        <v>506</v>
      </c>
      <c r="B388" s="358" t="s">
        <v>507</v>
      </c>
      <c r="F388" s="324">
        <f>ROUND(H388/1000,0)</f>
        <v>970455</v>
      </c>
      <c r="G388" s="324">
        <v>0</v>
      </c>
      <c r="H388" s="324">
        <v>970455365</v>
      </c>
      <c r="M388" s="508"/>
    </row>
    <row r="389" spans="1:13" ht="15.75">
      <c r="A389" s="369"/>
      <c r="B389" s="358" t="s">
        <v>508</v>
      </c>
      <c r="F389" s="324">
        <f>ROUND(H389/1000,0)</f>
        <v>0</v>
      </c>
      <c r="G389" s="324">
        <v>0</v>
      </c>
      <c r="M389" s="508"/>
    </row>
    <row r="390" spans="1:13" ht="15.75">
      <c r="A390" s="370"/>
      <c r="B390" s="358"/>
      <c r="M390" s="508"/>
    </row>
    <row r="391" spans="1:13" ht="15.75">
      <c r="A391" s="370"/>
      <c r="B391" s="358" t="s">
        <v>509</v>
      </c>
      <c r="F391" s="324">
        <f t="shared" ref="F391:F397" si="21">ROUND(H391/1000,0)</f>
        <v>0</v>
      </c>
      <c r="G391" s="324">
        <v>0</v>
      </c>
      <c r="M391" s="508"/>
    </row>
    <row r="392" spans="1:13" ht="15.75">
      <c r="A392" s="367" t="s">
        <v>510</v>
      </c>
      <c r="B392" s="358" t="s">
        <v>470</v>
      </c>
      <c r="F392" s="324">
        <f t="shared" si="21"/>
        <v>5855</v>
      </c>
      <c r="G392" s="324">
        <v>0</v>
      </c>
      <c r="H392" s="324">
        <v>5855163</v>
      </c>
      <c r="M392" s="508"/>
    </row>
    <row r="393" spans="1:13" ht="15.75">
      <c r="A393" s="367" t="s">
        <v>511</v>
      </c>
      <c r="B393" s="358" t="s">
        <v>472</v>
      </c>
      <c r="F393" s="324">
        <f t="shared" si="21"/>
        <v>62730</v>
      </c>
      <c r="G393" s="324">
        <v>0</v>
      </c>
      <c r="H393" s="324">
        <v>62729604</v>
      </c>
      <c r="M393" s="508"/>
    </row>
    <row r="394" spans="1:13" ht="15.75">
      <c r="A394" s="367" t="s">
        <v>512</v>
      </c>
      <c r="B394" s="358" t="s">
        <v>513</v>
      </c>
      <c r="F394" s="324">
        <f t="shared" si="21"/>
        <v>36837</v>
      </c>
      <c r="G394" s="324">
        <v>0</v>
      </c>
      <c r="H394" s="324">
        <v>36837169</v>
      </c>
      <c r="M394" s="508"/>
    </row>
    <row r="395" spans="1:13" ht="15.75">
      <c r="A395" s="367" t="s">
        <v>514</v>
      </c>
      <c r="B395" s="358" t="s">
        <v>515</v>
      </c>
      <c r="F395" s="324">
        <f t="shared" si="21"/>
        <v>29329</v>
      </c>
      <c r="G395" s="324">
        <v>0</v>
      </c>
      <c r="H395" s="324">
        <v>29328633</v>
      </c>
      <c r="M395" s="508"/>
    </row>
    <row r="396" spans="1:13" ht="15.75">
      <c r="A396" s="367">
        <v>393000</v>
      </c>
      <c r="B396" s="358" t="s">
        <v>516</v>
      </c>
      <c r="F396" s="324">
        <f t="shared" si="21"/>
        <v>2279</v>
      </c>
      <c r="G396" s="324">
        <v>0</v>
      </c>
      <c r="H396" s="324">
        <v>2278594</v>
      </c>
      <c r="M396" s="508"/>
    </row>
    <row r="397" spans="1:13" ht="15.75">
      <c r="A397" s="367">
        <v>394000</v>
      </c>
      <c r="B397" s="358" t="s">
        <v>517</v>
      </c>
      <c r="F397" s="324">
        <f t="shared" si="21"/>
        <v>8690</v>
      </c>
      <c r="G397" s="324">
        <v>0</v>
      </c>
      <c r="H397" s="324">
        <v>8689747</v>
      </c>
      <c r="M397" s="508"/>
    </row>
    <row r="398" spans="1:13" ht="15.75">
      <c r="A398" s="513">
        <v>394100</v>
      </c>
      <c r="B398" s="508" t="s">
        <v>752</v>
      </c>
      <c r="F398" s="324">
        <f t="shared" ref="F398" si="22">ROUND(H398/1000,0)</f>
        <v>35</v>
      </c>
      <c r="G398" s="324">
        <v>0</v>
      </c>
      <c r="H398" s="324">
        <v>34907</v>
      </c>
      <c r="M398" s="508"/>
    </row>
    <row r="399" spans="1:13" ht="15.75">
      <c r="A399" s="367">
        <v>395000</v>
      </c>
      <c r="B399" s="358" t="s">
        <v>518</v>
      </c>
      <c r="F399" s="324">
        <f t="shared" ref="F399:F432" si="23">ROUND(H399/1000,0)</f>
        <v>641</v>
      </c>
      <c r="G399" s="324">
        <v>1</v>
      </c>
      <c r="H399" s="324">
        <v>640692</v>
      </c>
      <c r="M399" s="508"/>
    </row>
    <row r="400" spans="1:13" ht="15.75">
      <c r="A400" s="367" t="s">
        <v>519</v>
      </c>
      <c r="B400" s="358" t="s">
        <v>520</v>
      </c>
      <c r="F400" s="324">
        <f t="shared" si="23"/>
        <v>21418</v>
      </c>
      <c r="G400" s="324">
        <v>0</v>
      </c>
      <c r="H400" s="324">
        <v>21417784</v>
      </c>
      <c r="M400" s="508"/>
    </row>
    <row r="401" spans="1:13" ht="15.75">
      <c r="A401" s="367" t="s">
        <v>521</v>
      </c>
      <c r="B401" s="358" t="s">
        <v>522</v>
      </c>
      <c r="F401" s="324">
        <f t="shared" si="23"/>
        <v>65177</v>
      </c>
      <c r="G401" s="324">
        <v>0</v>
      </c>
      <c r="H401" s="324">
        <v>65176536</v>
      </c>
      <c r="M401" s="508"/>
    </row>
    <row r="402" spans="1:13" ht="15.75">
      <c r="A402" s="367">
        <v>398000</v>
      </c>
      <c r="B402" s="358" t="s">
        <v>523</v>
      </c>
      <c r="F402" s="324">
        <f t="shared" si="23"/>
        <v>278</v>
      </c>
      <c r="G402" s="324">
        <v>0</v>
      </c>
      <c r="H402" s="324">
        <v>277762</v>
      </c>
      <c r="M402" s="508"/>
    </row>
    <row r="403" spans="1:13" ht="15.75">
      <c r="A403" s="369"/>
      <c r="B403" s="358" t="s">
        <v>524</v>
      </c>
      <c r="F403" s="324">
        <f t="shared" si="23"/>
        <v>233267</v>
      </c>
      <c r="G403" s="324">
        <v>0</v>
      </c>
      <c r="H403" s="324">
        <v>233266591</v>
      </c>
      <c r="M403" s="508"/>
    </row>
    <row r="404" spans="1:13" ht="15.75">
      <c r="A404" s="370"/>
      <c r="B404" s="358"/>
      <c r="F404" s="324">
        <f t="shared" si="23"/>
        <v>0</v>
      </c>
      <c r="G404" s="324">
        <v>0</v>
      </c>
      <c r="M404" s="508"/>
    </row>
    <row r="405" spans="1:13" ht="15.75">
      <c r="A405" s="370"/>
      <c r="B405" s="358" t="s">
        <v>525</v>
      </c>
      <c r="F405" s="324">
        <f t="shared" si="23"/>
        <v>2623224</v>
      </c>
      <c r="G405" s="324">
        <v>0</v>
      </c>
      <c r="H405" s="324">
        <v>2623224292</v>
      </c>
      <c r="M405" s="508"/>
    </row>
    <row r="406" spans="1:13" ht="15.75">
      <c r="A406" s="370"/>
      <c r="B406" s="358"/>
      <c r="F406" s="324">
        <f t="shared" si="23"/>
        <v>0</v>
      </c>
      <c r="G406" s="324">
        <v>0</v>
      </c>
      <c r="M406" s="508"/>
    </row>
    <row r="407" spans="1:13" ht="15.75">
      <c r="A407" s="370"/>
      <c r="B407" s="358"/>
      <c r="F407" s="324">
        <f t="shared" si="23"/>
        <v>0</v>
      </c>
      <c r="G407" s="324">
        <v>0</v>
      </c>
      <c r="M407" s="508"/>
    </row>
    <row r="408" spans="1:13" ht="15.75">
      <c r="A408" s="370"/>
      <c r="B408" s="358" t="s">
        <v>73</v>
      </c>
      <c r="F408" s="324">
        <f t="shared" si="23"/>
        <v>0</v>
      </c>
      <c r="G408" s="324">
        <v>0</v>
      </c>
      <c r="M408" s="508"/>
    </row>
    <row r="409" spans="1:13" ht="15.75">
      <c r="A409" s="370"/>
      <c r="B409" s="358" t="s">
        <v>526</v>
      </c>
      <c r="F409" s="324">
        <f t="shared" si="23"/>
        <v>-192381</v>
      </c>
      <c r="G409" s="324">
        <v>0</v>
      </c>
      <c r="H409" s="324">
        <v>-192381051</v>
      </c>
      <c r="M409" s="508"/>
    </row>
    <row r="410" spans="1:13" ht="15.75">
      <c r="A410" s="367"/>
      <c r="B410" s="358" t="s">
        <v>527</v>
      </c>
      <c r="F410" s="324">
        <f t="shared" si="23"/>
        <v>-89296</v>
      </c>
      <c r="G410" s="324">
        <v>0</v>
      </c>
      <c r="H410" s="324">
        <v>-89296389</v>
      </c>
      <c r="M410" s="508"/>
    </row>
    <row r="411" spans="1:13" ht="15.75">
      <c r="A411" s="370"/>
      <c r="B411" s="358" t="s">
        <v>528</v>
      </c>
      <c r="F411" s="324">
        <f t="shared" si="23"/>
        <v>-69948</v>
      </c>
      <c r="G411" s="324">
        <v>0</v>
      </c>
      <c r="H411" s="324">
        <v>-69948336</v>
      </c>
      <c r="M411" s="508"/>
    </row>
    <row r="412" spans="1:13" ht="15.75">
      <c r="A412" s="370"/>
      <c r="B412" s="358" t="s">
        <v>529</v>
      </c>
      <c r="F412" s="324">
        <f t="shared" si="23"/>
        <v>-135624</v>
      </c>
      <c r="G412" s="324">
        <v>0</v>
      </c>
      <c r="H412" s="324">
        <v>-135623961</v>
      </c>
      <c r="M412" s="508"/>
    </row>
    <row r="413" spans="1:13" ht="15.75">
      <c r="A413" s="370"/>
      <c r="B413" s="358" t="s">
        <v>530</v>
      </c>
      <c r="F413" s="324">
        <f t="shared" si="23"/>
        <v>-295383</v>
      </c>
      <c r="G413" s="324">
        <v>0</v>
      </c>
      <c r="H413" s="324">
        <v>-295382954</v>
      </c>
      <c r="M413" s="508"/>
    </row>
    <row r="414" spans="1:13" ht="15.75">
      <c r="A414" s="370"/>
      <c r="B414" s="358" t="s">
        <v>531</v>
      </c>
      <c r="F414" s="324">
        <f t="shared" si="23"/>
        <v>-79806</v>
      </c>
      <c r="G414" s="324">
        <v>0</v>
      </c>
      <c r="H414" s="324">
        <v>-79806345</v>
      </c>
      <c r="M414" s="508"/>
    </row>
    <row r="415" spans="1:13" ht="15.75">
      <c r="A415" s="365"/>
      <c r="B415" s="358" t="s">
        <v>532</v>
      </c>
      <c r="F415" s="324">
        <f t="shared" si="23"/>
        <v>-862439</v>
      </c>
      <c r="G415" s="324">
        <v>0</v>
      </c>
      <c r="H415" s="324">
        <v>-862439036</v>
      </c>
      <c r="M415" s="508"/>
    </row>
    <row r="416" spans="1:13" ht="15.75">
      <c r="A416" s="365"/>
      <c r="B416" s="358"/>
      <c r="F416" s="324">
        <f t="shared" si="23"/>
        <v>0</v>
      </c>
      <c r="G416" s="324">
        <v>0</v>
      </c>
      <c r="M416" s="508"/>
    </row>
    <row r="417" spans="1:13" ht="15.75">
      <c r="A417" s="365"/>
      <c r="B417" s="358" t="s">
        <v>115</v>
      </c>
      <c r="F417" s="324">
        <f t="shared" si="23"/>
        <v>0</v>
      </c>
      <c r="G417" s="324">
        <v>0</v>
      </c>
      <c r="M417" s="508"/>
    </row>
    <row r="418" spans="1:13" ht="15.75">
      <c r="A418" s="370"/>
      <c r="B418" s="358" t="s">
        <v>533</v>
      </c>
      <c r="F418" s="324">
        <f t="shared" si="23"/>
        <v>-7188</v>
      </c>
      <c r="G418" s="324">
        <v>0</v>
      </c>
      <c r="H418" s="324">
        <v>-7187708</v>
      </c>
      <c r="M418" s="508"/>
    </row>
    <row r="419" spans="1:13" ht="15.75">
      <c r="A419" s="370"/>
      <c r="B419" s="358" t="s">
        <v>534</v>
      </c>
      <c r="F419" s="324">
        <f t="shared" si="23"/>
        <v>-190</v>
      </c>
      <c r="G419" s="324">
        <v>0</v>
      </c>
      <c r="H419" s="324">
        <v>-189685</v>
      </c>
      <c r="M419" s="508"/>
    </row>
    <row r="420" spans="1:13" ht="15.75">
      <c r="A420" s="370"/>
      <c r="B420" s="358" t="s">
        <v>535</v>
      </c>
      <c r="F420" s="324">
        <f t="shared" si="23"/>
        <v>-827</v>
      </c>
      <c r="G420" s="324">
        <v>0</v>
      </c>
      <c r="H420" s="324">
        <v>-826752</v>
      </c>
      <c r="M420" s="508"/>
    </row>
    <row r="421" spans="1:13" ht="15.75">
      <c r="A421" s="370"/>
      <c r="B421" s="358" t="s">
        <v>536</v>
      </c>
      <c r="F421" s="324">
        <f t="shared" si="23"/>
        <v>-22709</v>
      </c>
      <c r="G421" s="324">
        <v>0</v>
      </c>
      <c r="H421" s="324">
        <v>-22708500</v>
      </c>
      <c r="M421" s="508"/>
    </row>
    <row r="422" spans="1:13" ht="15.75">
      <c r="A422" s="370"/>
      <c r="B422" s="358" t="s">
        <v>537</v>
      </c>
      <c r="F422" s="324">
        <f t="shared" si="23"/>
        <v>-287</v>
      </c>
      <c r="G422" s="324">
        <v>0</v>
      </c>
      <c r="H422" s="324">
        <v>-287484</v>
      </c>
      <c r="M422" s="508"/>
    </row>
    <row r="423" spans="1:13" ht="15.75">
      <c r="A423" s="370"/>
      <c r="B423" s="358" t="s">
        <v>538</v>
      </c>
      <c r="F423" s="324">
        <f t="shared" si="23"/>
        <v>-31200</v>
      </c>
      <c r="G423" s="324">
        <v>0</v>
      </c>
      <c r="H423" s="324">
        <v>-31200129</v>
      </c>
      <c r="M423" s="508"/>
    </row>
    <row r="424" spans="1:13" ht="15.75">
      <c r="A424" s="370"/>
      <c r="B424" s="358"/>
      <c r="F424" s="324">
        <f t="shared" si="23"/>
        <v>0</v>
      </c>
      <c r="G424" s="324">
        <v>0</v>
      </c>
      <c r="M424" s="508"/>
    </row>
    <row r="425" spans="1:13" ht="15.75">
      <c r="A425" s="370"/>
      <c r="B425" s="358" t="s">
        <v>539</v>
      </c>
      <c r="F425" s="324">
        <f t="shared" si="23"/>
        <v>-893639</v>
      </c>
      <c r="G425" s="324">
        <v>0</v>
      </c>
      <c r="H425" s="324">
        <v>-893639165</v>
      </c>
      <c r="M425" s="508"/>
    </row>
    <row r="426" spans="1:13" ht="15.75">
      <c r="A426" s="370"/>
      <c r="B426" s="358"/>
      <c r="F426" s="324">
        <f t="shared" si="23"/>
        <v>0</v>
      </c>
      <c r="G426" s="324">
        <v>0</v>
      </c>
      <c r="M426" s="508"/>
    </row>
    <row r="427" spans="1:13" ht="15.75">
      <c r="A427" s="365"/>
      <c r="B427" s="358" t="s">
        <v>540</v>
      </c>
      <c r="F427" s="324">
        <f t="shared" si="23"/>
        <v>1729585</v>
      </c>
      <c r="G427" s="324">
        <v>0</v>
      </c>
      <c r="H427" s="324">
        <v>1729585127</v>
      </c>
      <c r="M427" s="508"/>
    </row>
    <row r="428" spans="1:13" ht="15.75">
      <c r="A428" s="365"/>
      <c r="B428" s="358"/>
      <c r="F428" s="324">
        <f t="shared" si="23"/>
        <v>0</v>
      </c>
      <c r="G428" s="324">
        <v>0</v>
      </c>
      <c r="M428" s="518"/>
    </row>
    <row r="429" spans="1:13" ht="15.75">
      <c r="A429" s="372"/>
      <c r="B429" s="373" t="s">
        <v>541</v>
      </c>
      <c r="F429" s="324">
        <f t="shared" si="23"/>
        <v>0</v>
      </c>
      <c r="G429" s="324">
        <v>0</v>
      </c>
      <c r="M429" s="519"/>
    </row>
    <row r="430" spans="1:13" ht="15.75">
      <c r="A430" s="374"/>
      <c r="B430" s="372" t="s">
        <v>542</v>
      </c>
      <c r="F430" s="324">
        <f t="shared" si="23"/>
        <v>0</v>
      </c>
      <c r="G430" s="324">
        <v>0</v>
      </c>
      <c r="H430" s="324">
        <v>0</v>
      </c>
      <c r="M430" s="518"/>
    </row>
    <row r="431" spans="1:13" ht="15.75">
      <c r="A431" s="374"/>
      <c r="B431" s="373" t="s">
        <v>543</v>
      </c>
      <c r="F431" s="324">
        <f t="shared" si="23"/>
        <v>-67</v>
      </c>
      <c r="G431" s="324">
        <v>0</v>
      </c>
      <c r="H431" s="324">
        <v>-67238</v>
      </c>
      <c r="M431" s="518"/>
    </row>
    <row r="432" spans="1:13" ht="15.75">
      <c r="A432" s="374"/>
      <c r="B432" s="373" t="s">
        <v>544</v>
      </c>
      <c r="F432" s="324">
        <f t="shared" si="23"/>
        <v>-312064</v>
      </c>
      <c r="G432" s="324">
        <v>0</v>
      </c>
      <c r="H432" s="324">
        <v>-312064301</v>
      </c>
      <c r="M432" s="518"/>
    </row>
    <row r="433" spans="1:13" ht="15.75">
      <c r="A433" s="374"/>
      <c r="B433" s="373" t="s">
        <v>545</v>
      </c>
      <c r="F433" s="324">
        <f t="shared" ref="F433:F434" si="24">ROUND(H433/1000,0)</f>
        <v>-32392</v>
      </c>
      <c r="G433" s="324">
        <v>0</v>
      </c>
      <c r="H433" s="324">
        <v>-32392361</v>
      </c>
      <c r="M433" s="518"/>
    </row>
    <row r="434" spans="1:13" ht="15.75">
      <c r="A434" s="374"/>
      <c r="B434" s="373" t="s">
        <v>669</v>
      </c>
      <c r="F434" s="324">
        <f t="shared" si="24"/>
        <v>-753</v>
      </c>
      <c r="G434" s="324">
        <v>0</v>
      </c>
      <c r="H434" s="324">
        <v>-753365</v>
      </c>
      <c r="M434" s="518"/>
    </row>
    <row r="435" spans="1:13" ht="15.75">
      <c r="A435" s="374"/>
      <c r="B435" s="373" t="s">
        <v>546</v>
      </c>
      <c r="F435" s="324">
        <f>ROUND(H435/1000,0)</f>
        <v>0</v>
      </c>
      <c r="G435" s="324">
        <v>0</v>
      </c>
      <c r="H435" s="324">
        <v>0</v>
      </c>
      <c r="M435" s="518"/>
    </row>
    <row r="436" spans="1:13" ht="15.75">
      <c r="A436" s="374"/>
      <c r="B436" s="373" t="s">
        <v>547</v>
      </c>
      <c r="F436" s="324">
        <f>ROUND(H436/1000,0)</f>
        <v>0</v>
      </c>
      <c r="G436" s="324">
        <v>0</v>
      </c>
      <c r="H436" s="324">
        <v>0</v>
      </c>
      <c r="M436" s="518"/>
    </row>
    <row r="437" spans="1:13" ht="15.75">
      <c r="A437" s="374"/>
      <c r="B437" s="373" t="s">
        <v>548</v>
      </c>
      <c r="F437" s="324">
        <f>ROUND(H437/1000,0)</f>
        <v>-7636</v>
      </c>
      <c r="G437" s="324">
        <v>0</v>
      </c>
      <c r="H437" s="324">
        <v>-7635537</v>
      </c>
      <c r="M437" s="518"/>
    </row>
    <row r="438" spans="1:13" ht="15.75">
      <c r="A438" s="374"/>
      <c r="B438" s="373" t="s">
        <v>670</v>
      </c>
      <c r="F438" s="324">
        <f>ROUND(H438/1000,0)</f>
        <v>254</v>
      </c>
      <c r="G438" s="324">
        <v>0</v>
      </c>
      <c r="H438" s="324">
        <v>254221</v>
      </c>
      <c r="M438" s="518"/>
    </row>
    <row r="439" spans="1:13" ht="15.75">
      <c r="A439" s="374"/>
      <c r="B439" s="373" t="s">
        <v>549</v>
      </c>
      <c r="F439" s="324">
        <f t="shared" ref="F439:F478" si="25">ROUND(H439/1000,0)</f>
        <v>-2047</v>
      </c>
      <c r="G439" s="324">
        <v>0</v>
      </c>
      <c r="H439" s="324">
        <v>-2046972</v>
      </c>
      <c r="M439" s="508"/>
    </row>
    <row r="440" spans="1:13" ht="15.75">
      <c r="A440" s="370"/>
      <c r="B440" s="358" t="s">
        <v>550</v>
      </c>
      <c r="F440" s="324">
        <f t="shared" si="25"/>
        <v>-354706</v>
      </c>
      <c r="G440" s="324">
        <v>0</v>
      </c>
      <c r="H440" s="324">
        <v>-354705553</v>
      </c>
      <c r="M440" s="508"/>
    </row>
    <row r="441" spans="1:13" ht="15.75">
      <c r="A441" s="365"/>
      <c r="B441" s="358"/>
      <c r="F441" s="324">
        <f t="shared" si="25"/>
        <v>0</v>
      </c>
      <c r="G441" s="324">
        <v>0</v>
      </c>
      <c r="M441" s="508"/>
    </row>
    <row r="442" spans="1:13" ht="12.75">
      <c r="A442" s="365"/>
      <c r="B442" s="358" t="s">
        <v>551</v>
      </c>
      <c r="F442" s="324">
        <f t="shared" si="25"/>
        <v>1374880</v>
      </c>
      <c r="G442" s="324">
        <v>0</v>
      </c>
      <c r="H442" s="324">
        <v>1374879574</v>
      </c>
    </row>
    <row r="443" spans="1:13" ht="15.75">
      <c r="F443" s="324">
        <f t="shared" si="25"/>
        <v>0</v>
      </c>
      <c r="G443" s="324">
        <v>0</v>
      </c>
      <c r="M443" s="508"/>
    </row>
    <row r="444" spans="1:13" ht="15.75">
      <c r="A444" s="357"/>
      <c r="B444" s="358" t="s">
        <v>552</v>
      </c>
      <c r="C444" s="357"/>
      <c r="F444" s="324">
        <f t="shared" si="25"/>
        <v>0</v>
      </c>
      <c r="G444" s="324">
        <v>0</v>
      </c>
      <c r="M444" s="508"/>
    </row>
    <row r="445" spans="1:13" ht="15.75">
      <c r="A445" s="375"/>
      <c r="B445" s="358" t="s">
        <v>553</v>
      </c>
      <c r="C445" s="358"/>
      <c r="F445" s="324">
        <f t="shared" si="25"/>
        <v>0</v>
      </c>
      <c r="G445" s="324">
        <v>0</v>
      </c>
      <c r="H445" s="324">
        <v>0</v>
      </c>
      <c r="M445" s="508"/>
    </row>
    <row r="446" spans="1:13" ht="15.75">
      <c r="A446" s="375"/>
      <c r="B446" s="358" t="s">
        <v>554</v>
      </c>
      <c r="C446" s="358"/>
      <c r="F446" s="324">
        <f t="shared" si="25"/>
        <v>0</v>
      </c>
      <c r="G446" s="324">
        <v>0</v>
      </c>
      <c r="H446" s="324">
        <v>0</v>
      </c>
      <c r="M446" s="520"/>
    </row>
    <row r="447" spans="1:13" ht="15.75">
      <c r="A447" s="375"/>
      <c r="B447" s="365" t="s">
        <v>555</v>
      </c>
      <c r="C447" s="358"/>
      <c r="F447" s="324">
        <f t="shared" si="25"/>
        <v>-504</v>
      </c>
      <c r="G447" s="324">
        <v>0</v>
      </c>
      <c r="H447" s="324">
        <v>-504357</v>
      </c>
      <c r="M447" s="520"/>
    </row>
    <row r="448" spans="1:13" ht="15.75">
      <c r="A448" s="375"/>
      <c r="B448" s="365" t="s">
        <v>556</v>
      </c>
      <c r="C448" s="358"/>
      <c r="F448" s="324">
        <f t="shared" si="25"/>
        <v>1111</v>
      </c>
      <c r="G448" s="324">
        <v>0</v>
      </c>
      <c r="H448" s="324">
        <v>1110999</v>
      </c>
      <c r="M448" s="520"/>
    </row>
    <row r="449" spans="1:13" ht="15.75">
      <c r="A449" s="375"/>
      <c r="B449" s="365" t="s">
        <v>557</v>
      </c>
      <c r="C449" s="358"/>
      <c r="F449" s="324">
        <f t="shared" si="25"/>
        <v>-936</v>
      </c>
      <c r="G449" s="324">
        <v>0</v>
      </c>
      <c r="H449" s="324">
        <v>-936413</v>
      </c>
      <c r="M449" s="520"/>
    </row>
    <row r="450" spans="1:13" ht="15.75">
      <c r="A450" s="375"/>
      <c r="B450" s="365" t="s">
        <v>671</v>
      </c>
      <c r="C450" s="358"/>
      <c r="F450" s="324">
        <f t="shared" si="25"/>
        <v>-5248</v>
      </c>
      <c r="G450" s="324">
        <v>0</v>
      </c>
      <c r="H450" s="324">
        <v>-5247725</v>
      </c>
      <c r="M450" s="520"/>
    </row>
    <row r="451" spans="1:13" ht="15.75">
      <c r="A451" s="375"/>
      <c r="B451" s="365" t="s">
        <v>558</v>
      </c>
      <c r="C451" s="358"/>
      <c r="F451" s="324">
        <f t="shared" si="25"/>
        <v>4910</v>
      </c>
      <c r="G451" s="324">
        <v>0</v>
      </c>
      <c r="H451" s="324">
        <v>4910046</v>
      </c>
      <c r="M451" s="508"/>
    </row>
    <row r="452" spans="1:13" ht="15.75">
      <c r="A452" s="375"/>
      <c r="B452" s="358" t="s">
        <v>559</v>
      </c>
      <c r="C452" s="358"/>
      <c r="F452" s="324">
        <f t="shared" si="25"/>
        <v>135</v>
      </c>
      <c r="G452" s="324">
        <v>0</v>
      </c>
      <c r="H452" s="324">
        <v>135401</v>
      </c>
      <c r="M452" s="520"/>
    </row>
    <row r="453" spans="1:13" ht="15.75">
      <c r="A453" s="375"/>
      <c r="B453" s="365" t="s">
        <v>560</v>
      </c>
      <c r="C453" s="358"/>
      <c r="F453" s="324">
        <f t="shared" si="25"/>
        <v>0</v>
      </c>
      <c r="G453" s="324">
        <v>0</v>
      </c>
      <c r="H453" s="324">
        <v>0</v>
      </c>
      <c r="M453" s="520"/>
    </row>
    <row r="454" spans="1:13" ht="15.75">
      <c r="A454" s="375"/>
      <c r="B454" s="365" t="s">
        <v>561</v>
      </c>
      <c r="C454" s="358"/>
      <c r="F454" s="324">
        <f t="shared" si="25"/>
        <v>0</v>
      </c>
      <c r="G454" s="324">
        <v>0</v>
      </c>
      <c r="H454" s="324">
        <v>0</v>
      </c>
      <c r="M454" s="508"/>
    </row>
    <row r="455" spans="1:13" ht="15.75">
      <c r="A455" s="375"/>
      <c r="B455" s="358" t="s">
        <v>562</v>
      </c>
      <c r="C455" s="358"/>
      <c r="F455" s="324">
        <f t="shared" si="25"/>
        <v>0</v>
      </c>
      <c r="G455" s="324">
        <v>0</v>
      </c>
      <c r="H455" s="324">
        <v>0</v>
      </c>
      <c r="M455" s="520"/>
    </row>
    <row r="456" spans="1:13" ht="15.75">
      <c r="A456" s="375"/>
      <c r="B456" s="365" t="s">
        <v>563</v>
      </c>
      <c r="C456" s="358"/>
      <c r="F456" s="324">
        <f t="shared" si="25"/>
        <v>7758</v>
      </c>
      <c r="G456" s="324">
        <v>0</v>
      </c>
      <c r="H456" s="324">
        <v>7758038</v>
      </c>
      <c r="M456" s="511"/>
    </row>
    <row r="457" spans="1:13" ht="15.75">
      <c r="A457" s="376"/>
      <c r="B457" s="361" t="s">
        <v>564</v>
      </c>
      <c r="C457" s="361"/>
      <c r="F457" s="324">
        <f t="shared" si="25"/>
        <v>-1394</v>
      </c>
      <c r="G457" s="324">
        <v>0</v>
      </c>
      <c r="H457" s="324">
        <v>-1394283</v>
      </c>
      <c r="M457" s="511"/>
    </row>
    <row r="458" spans="1:13" ht="15.75">
      <c r="A458" s="376"/>
      <c r="B458" s="361" t="s">
        <v>565</v>
      </c>
      <c r="C458" s="361"/>
      <c r="F458" s="324">
        <f t="shared" si="25"/>
        <v>672</v>
      </c>
      <c r="G458" s="324">
        <v>0</v>
      </c>
      <c r="H458" s="324">
        <v>671855</v>
      </c>
      <c r="M458" s="511"/>
    </row>
    <row r="459" spans="1:13" ht="15.75">
      <c r="A459" s="376"/>
      <c r="B459" s="361" t="s">
        <v>566</v>
      </c>
      <c r="C459" s="361"/>
      <c r="F459" s="324">
        <f t="shared" si="25"/>
        <v>0</v>
      </c>
      <c r="G459" s="324">
        <v>0</v>
      </c>
      <c r="H459" s="324">
        <v>0</v>
      </c>
      <c r="M459" s="518"/>
    </row>
    <row r="460" spans="1:13" ht="15.75">
      <c r="A460" s="377"/>
      <c r="B460" s="373" t="s">
        <v>567</v>
      </c>
      <c r="C460" s="373"/>
      <c r="F460" s="324">
        <f t="shared" si="25"/>
        <v>-235</v>
      </c>
      <c r="G460" s="324">
        <v>0</v>
      </c>
      <c r="H460" s="324">
        <v>-235150</v>
      </c>
      <c r="M460" s="511"/>
    </row>
    <row r="461" spans="1:13" ht="15.75">
      <c r="A461" s="376"/>
      <c r="B461" s="361" t="s">
        <v>672</v>
      </c>
      <c r="C461" s="361"/>
      <c r="F461" s="324">
        <f t="shared" si="25"/>
        <v>49</v>
      </c>
      <c r="G461" s="324">
        <v>0</v>
      </c>
      <c r="H461" s="324">
        <v>48871</v>
      </c>
      <c r="M461" s="518"/>
    </row>
    <row r="462" spans="1:13" ht="15.75">
      <c r="A462" s="377"/>
      <c r="B462" s="373" t="s">
        <v>568</v>
      </c>
      <c r="C462" s="373"/>
      <c r="F462" s="324">
        <f t="shared" si="25"/>
        <v>0</v>
      </c>
      <c r="G462" s="324">
        <v>0</v>
      </c>
      <c r="H462" s="324">
        <v>0</v>
      </c>
      <c r="M462" s="511"/>
    </row>
    <row r="463" spans="1:13" ht="15.75">
      <c r="A463" s="376"/>
      <c r="B463" s="361" t="s">
        <v>569</v>
      </c>
      <c r="C463" s="361"/>
      <c r="F463" s="324">
        <f t="shared" si="25"/>
        <v>322</v>
      </c>
      <c r="G463" s="324">
        <v>0</v>
      </c>
      <c r="H463" s="324">
        <v>322149</v>
      </c>
      <c r="M463" s="511"/>
    </row>
    <row r="464" spans="1:13" ht="15.75">
      <c r="A464" s="376"/>
      <c r="B464" s="361" t="s">
        <v>570</v>
      </c>
      <c r="C464" s="361"/>
      <c r="F464" s="324">
        <f t="shared" si="25"/>
        <v>-113</v>
      </c>
      <c r="G464" s="324">
        <v>0</v>
      </c>
      <c r="H464" s="324">
        <v>-112733</v>
      </c>
      <c r="M464" s="511"/>
    </row>
    <row r="465" spans="1:13" ht="15.75">
      <c r="A465" s="376"/>
      <c r="B465" s="361" t="s">
        <v>571</v>
      </c>
      <c r="C465" s="361"/>
      <c r="F465" s="324">
        <f t="shared" ref="F465:F471" si="26">ROUND(H465/1000,0)</f>
        <v>205</v>
      </c>
      <c r="G465" s="324">
        <v>0</v>
      </c>
      <c r="H465" s="324">
        <v>204562</v>
      </c>
      <c r="M465" s="511"/>
    </row>
    <row r="466" spans="1:13" ht="15.75">
      <c r="A466" s="376"/>
      <c r="B466" s="361" t="s">
        <v>572</v>
      </c>
      <c r="C466" s="361"/>
      <c r="F466" s="324">
        <f t="shared" si="26"/>
        <v>-72</v>
      </c>
      <c r="G466" s="324">
        <v>0</v>
      </c>
      <c r="H466" s="324">
        <v>-71621</v>
      </c>
      <c r="M466" s="521"/>
    </row>
    <row r="467" spans="1:13" ht="15.75">
      <c r="A467" s="376"/>
      <c r="B467" s="378" t="s">
        <v>573</v>
      </c>
      <c r="C467" s="361"/>
      <c r="F467" s="324">
        <f t="shared" si="26"/>
        <v>338</v>
      </c>
      <c r="G467" s="324">
        <v>0</v>
      </c>
      <c r="H467" s="324">
        <v>338292</v>
      </c>
      <c r="M467" s="511"/>
    </row>
    <row r="468" spans="1:13" ht="15.75">
      <c r="A468" s="376"/>
      <c r="B468" s="361" t="s">
        <v>574</v>
      </c>
      <c r="C468" s="361"/>
      <c r="F468" s="324">
        <f t="shared" si="26"/>
        <v>-119</v>
      </c>
      <c r="G468" s="324">
        <v>0</v>
      </c>
      <c r="H468" s="324">
        <v>-118743</v>
      </c>
      <c r="M468" s="520"/>
    </row>
    <row r="469" spans="1:13" ht="15.75">
      <c r="A469" s="376"/>
      <c r="B469" s="365" t="s">
        <v>575</v>
      </c>
      <c r="C469" s="361"/>
      <c r="F469" s="324">
        <f t="shared" si="26"/>
        <v>0</v>
      </c>
      <c r="G469" s="324">
        <v>0</v>
      </c>
      <c r="H469" s="324">
        <v>0</v>
      </c>
      <c r="M469" s="511"/>
    </row>
    <row r="470" spans="1:13" ht="15.75">
      <c r="A470" s="376"/>
      <c r="B470" s="361" t="s">
        <v>576</v>
      </c>
      <c r="C470" s="361"/>
      <c r="F470" s="324">
        <f t="shared" si="26"/>
        <v>0</v>
      </c>
      <c r="G470" s="324">
        <v>0</v>
      </c>
      <c r="H470" s="324">
        <v>0</v>
      </c>
      <c r="M470" s="520"/>
    </row>
    <row r="471" spans="1:13" ht="15.75">
      <c r="A471" s="376"/>
      <c r="B471" s="365" t="s">
        <v>577</v>
      </c>
      <c r="C471" s="361"/>
      <c r="F471" s="324">
        <f t="shared" si="26"/>
        <v>0</v>
      </c>
      <c r="G471" s="324">
        <v>0</v>
      </c>
      <c r="H471" s="324">
        <v>0</v>
      </c>
      <c r="M471" s="520"/>
    </row>
    <row r="472" spans="1:13" ht="15.75">
      <c r="A472" s="376"/>
      <c r="B472" s="365" t="s">
        <v>578</v>
      </c>
      <c r="C472" s="361"/>
      <c r="F472" s="324">
        <f t="shared" si="25"/>
        <v>-592</v>
      </c>
      <c r="G472" s="324">
        <v>0</v>
      </c>
      <c r="H472" s="324">
        <v>-592425</v>
      </c>
      <c r="M472" s="520"/>
    </row>
    <row r="473" spans="1:13" ht="15.75">
      <c r="A473" s="376"/>
      <c r="B473" s="365" t="s">
        <v>579</v>
      </c>
      <c r="C473" s="361"/>
      <c r="F473" s="324">
        <f t="shared" si="25"/>
        <v>-1720</v>
      </c>
      <c r="G473" s="324">
        <v>0</v>
      </c>
      <c r="H473" s="324">
        <v>-1720323</v>
      </c>
      <c r="M473" s="520"/>
    </row>
    <row r="474" spans="1:13" ht="15.75">
      <c r="A474" s="376"/>
      <c r="B474" s="365" t="s">
        <v>580</v>
      </c>
      <c r="C474" s="361"/>
      <c r="F474" s="324">
        <f t="shared" si="25"/>
        <v>65480</v>
      </c>
      <c r="G474" s="324">
        <v>0</v>
      </c>
      <c r="H474" s="324">
        <v>65480278</v>
      </c>
      <c r="M474" s="520"/>
    </row>
    <row r="475" spans="1:13" ht="15.75">
      <c r="A475" s="376"/>
      <c r="B475" s="365" t="s">
        <v>581</v>
      </c>
      <c r="C475" s="361"/>
      <c r="F475" s="324">
        <f t="shared" si="25"/>
        <v>0</v>
      </c>
      <c r="G475" s="324">
        <v>0</v>
      </c>
      <c r="H475" s="324">
        <v>0</v>
      </c>
      <c r="M475" s="508"/>
    </row>
    <row r="476" spans="1:13" ht="15.75">
      <c r="A476" s="375"/>
      <c r="B476" s="358" t="s">
        <v>582</v>
      </c>
      <c r="C476" s="358"/>
      <c r="F476" s="324">
        <f t="shared" si="25"/>
        <v>70047</v>
      </c>
      <c r="G476" s="324">
        <v>0</v>
      </c>
      <c r="H476" s="324">
        <v>70046718</v>
      </c>
      <c r="M476" s="508"/>
    </row>
    <row r="477" spans="1:13" ht="15.75">
      <c r="A477" s="375"/>
      <c r="B477" s="358"/>
      <c r="C477" s="358"/>
      <c r="F477" s="324">
        <f t="shared" si="25"/>
        <v>0</v>
      </c>
      <c r="G477" s="324">
        <v>0</v>
      </c>
      <c r="M477" s="508"/>
    </row>
    <row r="478" spans="1:13" ht="12.75">
      <c r="A478" s="375"/>
      <c r="B478" s="358" t="s">
        <v>583</v>
      </c>
      <c r="C478" s="358"/>
      <c r="F478" s="324">
        <f t="shared" si="25"/>
        <v>1444926</v>
      </c>
      <c r="G478" s="324">
        <v>0</v>
      </c>
      <c r="H478" s="324">
        <v>1444926292</v>
      </c>
    </row>
    <row r="479" spans="1:13">
      <c r="G479" s="324">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60"/>
  <sheetViews>
    <sheetView view="pageBreakPreview" zoomScaleNormal="100" zoomScaleSheetLayoutView="100" workbookViewId="0">
      <selection sqref="A1:H1"/>
    </sheetView>
  </sheetViews>
  <sheetFormatPr defaultColWidth="10.7109375" defaultRowHeight="12.75"/>
  <cols>
    <col min="1" max="1" width="8.28515625" style="404" customWidth="1"/>
    <col min="2" max="2" width="18.7109375" style="90" customWidth="1"/>
    <col min="3" max="4" width="10.7109375" style="68" customWidth="1"/>
    <col min="5" max="5" width="10.140625" style="68" customWidth="1"/>
    <col min="6" max="6" width="14.7109375" style="71" customWidth="1"/>
    <col min="7" max="7" width="11.85546875" style="68" bestFit="1" customWidth="1"/>
    <col min="8" max="8" width="2.140625" style="68" customWidth="1"/>
    <col min="9" max="9" width="18.42578125" style="68" customWidth="1"/>
    <col min="10" max="10" width="19.140625" style="68" customWidth="1"/>
    <col min="11" max="11" width="10.85546875" style="68" bestFit="1" customWidth="1"/>
    <col min="12" max="16384" width="10.7109375" style="68"/>
  </cols>
  <sheetData>
    <row r="1" spans="1:9">
      <c r="A1" s="1131" t="s">
        <v>116</v>
      </c>
      <c r="B1" s="1131"/>
      <c r="C1" s="1131"/>
      <c r="D1" s="1131"/>
      <c r="E1" s="1131"/>
      <c r="F1" s="1131"/>
      <c r="G1" s="1131"/>
      <c r="H1" s="1131"/>
    </row>
    <row r="2" spans="1:9">
      <c r="A2" s="1132" t="s">
        <v>597</v>
      </c>
      <c r="B2" s="1132"/>
      <c r="C2" s="1132"/>
      <c r="D2" s="1132"/>
      <c r="E2" s="1132"/>
      <c r="F2" s="1132"/>
      <c r="G2" s="1132"/>
      <c r="H2" s="1132"/>
    </row>
    <row r="3" spans="1:9">
      <c r="A3" s="1132" t="s">
        <v>167</v>
      </c>
      <c r="B3" s="1132"/>
      <c r="C3" s="1132"/>
      <c r="D3" s="1132"/>
      <c r="E3" s="1132"/>
      <c r="F3" s="1132"/>
      <c r="G3" s="1132"/>
      <c r="H3" s="1132"/>
    </row>
    <row r="4" spans="1:9">
      <c r="A4" s="1133" t="str">
        <f>'ADJ SUMMARY'!A4</f>
        <v>TWELVE MONTHS ENDED DECEMBER 31, 2016</v>
      </c>
      <c r="B4" s="1133"/>
      <c r="C4" s="1133"/>
      <c r="D4" s="1133"/>
      <c r="E4" s="1133"/>
      <c r="F4" s="1133"/>
      <c r="G4" s="1133"/>
      <c r="H4" s="1133"/>
    </row>
    <row r="5" spans="1:9">
      <c r="A5" s="1134" t="s">
        <v>146</v>
      </c>
      <c r="B5" s="1134"/>
      <c r="C5" s="1134"/>
      <c r="D5" s="1134"/>
      <c r="E5" s="1134"/>
      <c r="F5" s="1134"/>
      <c r="G5" s="1134"/>
      <c r="H5" s="1134"/>
    </row>
    <row r="6" spans="1:9" ht="13.5" thickBot="1">
      <c r="A6" s="403"/>
      <c r="B6" s="410"/>
      <c r="C6" s="69"/>
      <c r="D6" s="70"/>
      <c r="E6" s="70"/>
      <c r="F6" s="70"/>
      <c r="I6" s="72" t="s">
        <v>598</v>
      </c>
    </row>
    <row r="7" spans="1:9" ht="13.5" thickBot="1">
      <c r="C7" s="71"/>
      <c r="D7" s="71"/>
      <c r="E7" s="1128" t="s">
        <v>597</v>
      </c>
      <c r="F7" s="1129"/>
      <c r="G7" s="1130"/>
      <c r="I7" s="72" t="s">
        <v>599</v>
      </c>
    </row>
    <row r="8" spans="1:9">
      <c r="C8" s="71"/>
      <c r="D8" s="71"/>
      <c r="E8" s="404">
        <f>'Tab 4 Adjustment Details'!Y10</f>
        <v>2.1699999999999964</v>
      </c>
      <c r="F8" s="434"/>
      <c r="G8" s="434"/>
      <c r="I8" s="72"/>
    </row>
    <row r="9" spans="1:9">
      <c r="C9" s="71"/>
      <c r="D9" s="71"/>
      <c r="E9" s="73" t="s">
        <v>25</v>
      </c>
      <c r="F9" s="72" t="s">
        <v>631</v>
      </c>
      <c r="I9" s="72" t="s">
        <v>600</v>
      </c>
    </row>
    <row r="10" spans="1:9">
      <c r="B10" s="411" t="s">
        <v>147</v>
      </c>
      <c r="C10" s="71"/>
      <c r="D10" s="71"/>
      <c r="E10" s="415" t="s">
        <v>299</v>
      </c>
      <c r="F10" s="74" t="s">
        <v>148</v>
      </c>
      <c r="G10" s="74" t="s">
        <v>33</v>
      </c>
      <c r="I10" s="74" t="str">
        <f>F10</f>
        <v>Adjustments</v>
      </c>
    </row>
    <row r="11" spans="1:9">
      <c r="A11" s="404">
        <v>1</v>
      </c>
      <c r="B11" s="90" t="str">
        <f>'ADJ SUMMARY'!C10</f>
        <v>Results of Operations</v>
      </c>
      <c r="C11" s="71"/>
      <c r="D11" s="71"/>
      <c r="E11" s="414">
        <f>'ADJ SUMMARY'!E10</f>
        <v>1444926</v>
      </c>
      <c r="F11" s="400"/>
      <c r="G11" s="68">
        <f>SUM(E11:F11)</f>
        <v>1444926</v>
      </c>
      <c r="I11" s="435">
        <f>ROUND(E11*$E$51*-$F$58,0)+(E55*0.35)</f>
        <v>202.69999999999891</v>
      </c>
    </row>
    <row r="12" spans="1:9">
      <c r="A12" s="404">
        <f>'ADJ SUMMARY'!A11</f>
        <v>1.01</v>
      </c>
      <c r="B12" s="412" t="str">
        <f>'ADJ SUMMARY'!C11</f>
        <v>Deferred FIT Rate Base</v>
      </c>
      <c r="C12" s="71"/>
      <c r="D12" s="71"/>
      <c r="E12" s="75"/>
      <c r="F12" s="414">
        <f>'ADJ SUMMARY'!E11</f>
        <v>806</v>
      </c>
      <c r="G12" s="68">
        <f>SUM(E12:F12)</f>
        <v>806</v>
      </c>
      <c r="I12" s="414">
        <f>ROUND(F12*$E$51*-$F$58,0)</f>
        <v>-8</v>
      </c>
    </row>
    <row r="13" spans="1:9">
      <c r="A13" s="404">
        <f>'ADJ SUMMARY'!A12</f>
        <v>1.02</v>
      </c>
      <c r="B13" s="412" t="str">
        <f>'ADJ SUMMARY'!C12</f>
        <v>Deferred Debits and Credits</v>
      </c>
      <c r="C13" s="71"/>
      <c r="D13" s="71"/>
      <c r="E13" s="75"/>
      <c r="F13" s="414">
        <f>'ADJ SUMMARY'!E12</f>
        <v>0</v>
      </c>
      <c r="G13" s="414">
        <f t="shared" ref="G13:G16" si="0">SUM(E13:F13)</f>
        <v>0</v>
      </c>
      <c r="I13" s="414">
        <f>ROUND(F13*$E$51*-$F$58,0)</f>
        <v>0</v>
      </c>
    </row>
    <row r="14" spans="1:9">
      <c r="A14" s="404">
        <f>'ADJ SUMMARY'!A13</f>
        <v>1.03</v>
      </c>
      <c r="B14" s="412" t="str">
        <f>'ADJ SUMMARY'!C13</f>
        <v>Working Capital</v>
      </c>
      <c r="C14" s="71"/>
      <c r="D14" s="71"/>
      <c r="E14" s="75"/>
      <c r="F14" s="414">
        <f>'ADJ SUMMARY'!E13</f>
        <v>-3006</v>
      </c>
      <c r="G14" s="68">
        <f t="shared" si="0"/>
        <v>-3006</v>
      </c>
      <c r="I14" s="414">
        <f>ROUND(F14*$E$51*-$F$58,0)</f>
        <v>28</v>
      </c>
    </row>
    <row r="15" spans="1:9">
      <c r="B15" s="412"/>
      <c r="C15" s="71"/>
      <c r="D15" s="71"/>
      <c r="E15" s="75"/>
      <c r="F15" s="414"/>
      <c r="I15" s="414"/>
    </row>
    <row r="16" spans="1:9">
      <c r="A16" s="404">
        <f>'ADJ SUMMARY'!A14</f>
        <v>2.0099999999999998</v>
      </c>
      <c r="B16" s="412" t="str">
        <f>'ADJ SUMMARY'!C14</f>
        <v>Eliminate B &amp; O Taxes</v>
      </c>
      <c r="C16" s="71"/>
      <c r="D16" s="71"/>
      <c r="E16" s="75"/>
      <c r="F16" s="414">
        <f>'ADJ SUMMARY'!E14</f>
        <v>0</v>
      </c>
      <c r="G16" s="68">
        <f t="shared" si="0"/>
        <v>0</v>
      </c>
      <c r="I16" s="414">
        <f t="shared" ref="I16:I47" si="1">ROUND(F16*$E$51*-$F$58,0)</f>
        <v>0</v>
      </c>
    </row>
    <row r="17" spans="1:9">
      <c r="A17" s="404">
        <f>'ADJ SUMMARY'!A15</f>
        <v>2.0199999999999996</v>
      </c>
      <c r="B17" s="412" t="str">
        <f>'ADJ SUMMARY'!C15</f>
        <v>Restate Property Tax</v>
      </c>
      <c r="C17" s="71"/>
      <c r="D17" s="71"/>
      <c r="E17" s="75"/>
      <c r="F17" s="414">
        <f>'ADJ SUMMARY'!E15</f>
        <v>0</v>
      </c>
      <c r="G17" s="68">
        <f t="shared" ref="G17:G31" si="2">SUM(E17:F17)</f>
        <v>0</v>
      </c>
      <c r="I17" s="414">
        <f t="shared" si="1"/>
        <v>0</v>
      </c>
    </row>
    <row r="18" spans="1:9">
      <c r="A18" s="404">
        <f>'ADJ SUMMARY'!A16</f>
        <v>2.0299999999999994</v>
      </c>
      <c r="B18" s="412" t="str">
        <f>'ADJ SUMMARY'!C16</f>
        <v>Uncollect. Expense</v>
      </c>
      <c r="C18" s="71"/>
      <c r="D18" s="71"/>
      <c r="E18" s="75"/>
      <c r="F18" s="414">
        <f>'ADJ SUMMARY'!E16</f>
        <v>0</v>
      </c>
      <c r="G18" s="68">
        <f t="shared" si="2"/>
        <v>0</v>
      </c>
      <c r="I18" s="414">
        <f t="shared" si="1"/>
        <v>0</v>
      </c>
    </row>
    <row r="19" spans="1:9">
      <c r="A19" s="404">
        <f>'ADJ SUMMARY'!A17</f>
        <v>2.0399999999999991</v>
      </c>
      <c r="B19" s="412" t="str">
        <f>'ADJ SUMMARY'!C17</f>
        <v>Regulatory Expense</v>
      </c>
      <c r="C19" s="71"/>
      <c r="D19" s="71"/>
      <c r="E19" s="75"/>
      <c r="F19" s="414">
        <f>'ADJ SUMMARY'!E17</f>
        <v>0</v>
      </c>
      <c r="G19" s="68">
        <f t="shared" si="2"/>
        <v>0</v>
      </c>
      <c r="I19" s="414">
        <f t="shared" si="1"/>
        <v>0</v>
      </c>
    </row>
    <row r="20" spans="1:9">
      <c r="A20" s="404">
        <f>'ADJ SUMMARY'!A18</f>
        <v>2.0499999999999989</v>
      </c>
      <c r="B20" s="412" t="str">
        <f>'ADJ SUMMARY'!C18</f>
        <v>Injuries and Damages</v>
      </c>
      <c r="C20" s="71"/>
      <c r="D20" s="71"/>
      <c r="E20" s="75"/>
      <c r="F20" s="414">
        <f>'ADJ SUMMARY'!E18</f>
        <v>0</v>
      </c>
      <c r="G20" s="68">
        <f t="shared" si="2"/>
        <v>0</v>
      </c>
      <c r="I20" s="414">
        <f t="shared" si="1"/>
        <v>0</v>
      </c>
    </row>
    <row r="21" spans="1:9">
      <c r="A21" s="404">
        <f>'ADJ SUMMARY'!A19</f>
        <v>2.0599999999999987</v>
      </c>
      <c r="B21" s="412" t="str">
        <f>'ADJ SUMMARY'!C19</f>
        <v>FIT/DFIT/ ITC Expense</v>
      </c>
      <c r="C21" s="71"/>
      <c r="D21" s="71"/>
      <c r="E21" s="75"/>
      <c r="F21" s="414">
        <f>'ADJ SUMMARY'!E19</f>
        <v>0</v>
      </c>
      <c r="G21" s="68">
        <f t="shared" si="2"/>
        <v>0</v>
      </c>
      <c r="I21" s="414">
        <f t="shared" si="1"/>
        <v>0</v>
      </c>
    </row>
    <row r="22" spans="1:9">
      <c r="A22" s="404">
        <f>'ADJ SUMMARY'!A20</f>
        <v>2.0699999999999985</v>
      </c>
      <c r="B22" s="412" t="str">
        <f>'ADJ SUMMARY'!C20</f>
        <v>Office Space Charges to Non-Utility</v>
      </c>
      <c r="C22" s="71"/>
      <c r="D22" s="71"/>
      <c r="E22" s="75"/>
      <c r="F22" s="414">
        <f>'ADJ SUMMARY'!E20</f>
        <v>0</v>
      </c>
      <c r="G22" s="68">
        <f t="shared" si="2"/>
        <v>0</v>
      </c>
      <c r="I22" s="414">
        <f t="shared" si="1"/>
        <v>0</v>
      </c>
    </row>
    <row r="23" spans="1:9">
      <c r="A23" s="404">
        <f>'ADJ SUMMARY'!A21</f>
        <v>2.0799999999999983</v>
      </c>
      <c r="B23" s="412" t="str">
        <f>'ADJ SUMMARY'!C21</f>
        <v>Restate Excise Taxes</v>
      </c>
      <c r="C23" s="71"/>
      <c r="D23" s="71"/>
      <c r="E23" s="75"/>
      <c r="F23" s="414">
        <f>'ADJ SUMMARY'!E21</f>
        <v>0</v>
      </c>
      <c r="G23" s="68">
        <f t="shared" si="2"/>
        <v>0</v>
      </c>
      <c r="I23" s="414">
        <f t="shared" si="1"/>
        <v>0</v>
      </c>
    </row>
    <row r="24" spans="1:9">
      <c r="A24" s="404">
        <f>'ADJ SUMMARY'!A22</f>
        <v>2.0899999999999981</v>
      </c>
      <c r="B24" s="412" t="str">
        <f>'ADJ SUMMARY'!C22</f>
        <v>Net Gains / Losses</v>
      </c>
      <c r="C24" s="71"/>
      <c r="D24" s="71"/>
      <c r="E24" s="75"/>
      <c r="F24" s="414">
        <f>'ADJ SUMMARY'!E22</f>
        <v>0</v>
      </c>
      <c r="G24" s="68">
        <f t="shared" si="2"/>
        <v>0</v>
      </c>
      <c r="I24" s="414">
        <f t="shared" si="1"/>
        <v>0</v>
      </c>
    </row>
    <row r="25" spans="1:9">
      <c r="A25" s="404">
        <f>'ADJ SUMMARY'!A23</f>
        <v>2.0999999999999979</v>
      </c>
      <c r="B25" s="412" t="str">
        <f>'ADJ SUMMARY'!C23</f>
        <v>Weather Normalization</v>
      </c>
      <c r="C25" s="71"/>
      <c r="D25" s="71"/>
      <c r="E25" s="75"/>
      <c r="F25" s="414">
        <f>'ADJ SUMMARY'!E23</f>
        <v>0</v>
      </c>
      <c r="G25" s="68">
        <f t="shared" si="2"/>
        <v>0</v>
      </c>
      <c r="I25" s="414">
        <f t="shared" si="1"/>
        <v>0</v>
      </c>
    </row>
    <row r="26" spans="1:9">
      <c r="A26" s="404">
        <f>'ADJ SUMMARY'!A24</f>
        <v>2.1099999999999977</v>
      </c>
      <c r="B26" s="412" t="str">
        <f>'ADJ SUMMARY'!C24</f>
        <v>Eliminate Adder Schedules</v>
      </c>
      <c r="C26" s="71"/>
      <c r="D26" s="71"/>
      <c r="E26" s="75"/>
      <c r="F26" s="414">
        <f>'ADJ SUMMARY'!E24</f>
        <v>0</v>
      </c>
      <c r="G26" s="68">
        <f t="shared" si="2"/>
        <v>0</v>
      </c>
      <c r="I26" s="414">
        <f t="shared" si="1"/>
        <v>0</v>
      </c>
    </row>
    <row r="27" spans="1:9">
      <c r="A27" s="404">
        <f>'ADJ SUMMARY'!A25</f>
        <v>2.1199999999999974</v>
      </c>
      <c r="B27" s="412" t="str">
        <f>'ADJ SUMMARY'!C25</f>
        <v>Misc. Restating Non-Util / Non- Recurring Expenses</v>
      </c>
      <c r="C27" s="71"/>
      <c r="D27" s="71"/>
      <c r="E27" s="75"/>
      <c r="F27" s="414">
        <f>'ADJ SUMMARY'!E25</f>
        <v>0</v>
      </c>
      <c r="G27" s="68">
        <f t="shared" si="2"/>
        <v>0</v>
      </c>
      <c r="I27" s="414">
        <f t="shared" si="1"/>
        <v>0</v>
      </c>
    </row>
    <row r="28" spans="1:9">
      <c r="A28" s="404">
        <f>'ADJ SUMMARY'!A26</f>
        <v>2.1299999999999972</v>
      </c>
      <c r="B28" s="412" t="str">
        <f>'ADJ SUMMARY'!C26</f>
        <v>Eliminate WA Power Cost Defer</v>
      </c>
      <c r="C28" s="71"/>
      <c r="D28" s="71"/>
      <c r="E28" s="75"/>
      <c r="F28" s="414">
        <f>'ADJ SUMMARY'!E26</f>
        <v>0</v>
      </c>
      <c r="G28" s="68">
        <f t="shared" si="2"/>
        <v>0</v>
      </c>
      <c r="I28" s="414">
        <f t="shared" si="1"/>
        <v>0</v>
      </c>
    </row>
    <row r="29" spans="1:9">
      <c r="A29" s="404">
        <f>'ADJ SUMMARY'!A27</f>
        <v>2.139999999999997</v>
      </c>
      <c r="B29" s="412" t="str">
        <f>'ADJ SUMMARY'!C27</f>
        <v>Nez Perce Settlement Adjustment</v>
      </c>
      <c r="C29" s="71"/>
      <c r="D29" s="71"/>
      <c r="E29" s="75"/>
      <c r="F29" s="414">
        <f>'ADJ SUMMARY'!E27</f>
        <v>0</v>
      </c>
      <c r="G29" s="68">
        <f t="shared" si="2"/>
        <v>0</v>
      </c>
      <c r="I29" s="414">
        <f t="shared" si="1"/>
        <v>0</v>
      </c>
    </row>
    <row r="30" spans="1:9">
      <c r="A30" s="404">
        <f>'ADJ SUMMARY'!A29</f>
        <v>2.1599999999999966</v>
      </c>
      <c r="B30" s="412" t="str">
        <f>'ADJ SUMMARY'!C29</f>
        <v>Normalize CS2/Colstrip Major Maint</v>
      </c>
      <c r="C30" s="71"/>
      <c r="D30" s="71"/>
      <c r="E30" s="75"/>
      <c r="F30" s="414">
        <f>'ADJ SUMMARY'!E29</f>
        <v>0</v>
      </c>
      <c r="G30" s="68">
        <f>SUM(E30:F30)</f>
        <v>0</v>
      </c>
      <c r="I30" s="414">
        <f t="shared" si="1"/>
        <v>0</v>
      </c>
    </row>
    <row r="31" spans="1:9">
      <c r="A31" s="404">
        <f>'ADJ SUMMARY'!A30</f>
        <v>2.1699999999999964</v>
      </c>
      <c r="B31" s="412" t="str">
        <f>'ADJ SUMMARY'!C30</f>
        <v>Restate Debt Interest</v>
      </c>
      <c r="C31" s="71"/>
      <c r="D31" s="71"/>
      <c r="E31" s="75"/>
      <c r="F31" s="414">
        <f>'ADJ SUMMARY'!E30</f>
        <v>0</v>
      </c>
      <c r="G31" s="68">
        <f t="shared" si="2"/>
        <v>0</v>
      </c>
      <c r="I31" s="414">
        <f t="shared" si="1"/>
        <v>0</v>
      </c>
    </row>
    <row r="32" spans="1:9">
      <c r="A32" s="404">
        <f>'ADJ SUMMARY'!A31</f>
        <v>2.1799999999999962</v>
      </c>
      <c r="B32" s="412" t="str">
        <f>'ADJ SUMMARY'!C31</f>
        <v>Authorized Power Supply</v>
      </c>
      <c r="C32" s="71"/>
      <c r="D32" s="71"/>
      <c r="E32" s="75"/>
      <c r="F32" s="414">
        <f>'ADJ SUMMARY'!E31</f>
        <v>0</v>
      </c>
      <c r="G32" s="68">
        <f t="shared" ref="G32" si="3">SUM(E32:F32)</f>
        <v>0</v>
      </c>
      <c r="I32" s="414">
        <f t="shared" si="1"/>
        <v>0</v>
      </c>
    </row>
    <row r="33" spans="1:9">
      <c r="A33" s="404">
        <f>'ADJ SUMMARY'!A36</f>
        <v>3.01</v>
      </c>
      <c r="B33" s="412" t="str">
        <f>'ADJ SUMMARY'!C36</f>
        <v>Pro Forma Trans/Power Sup Non-ERM Rev/Exp</v>
      </c>
      <c r="C33" s="71"/>
      <c r="D33" s="71"/>
      <c r="E33" s="75"/>
      <c r="F33" s="414">
        <f>'ADJ SUMMARY'!E36</f>
        <v>0</v>
      </c>
      <c r="G33" s="68">
        <f t="shared" ref="G33:G38" si="4">SUM(E33:F33)</f>
        <v>0</v>
      </c>
      <c r="I33" s="414">
        <f t="shared" si="1"/>
        <v>0</v>
      </c>
    </row>
    <row r="34" spans="1:9">
      <c r="A34" s="404">
        <f>'ADJ SUMMARY'!A37</f>
        <v>3.0199999999999996</v>
      </c>
      <c r="B34" s="412" t="str">
        <f>'ADJ SUMMARY'!C37</f>
        <v>Pro Forma Labor Non-Exec</v>
      </c>
      <c r="C34" s="71"/>
      <c r="D34" s="71"/>
      <c r="E34" s="75"/>
      <c r="F34" s="414">
        <f>'ADJ SUMMARY'!E37</f>
        <v>0</v>
      </c>
      <c r="G34" s="68">
        <f t="shared" si="4"/>
        <v>0</v>
      </c>
      <c r="I34" s="414">
        <f t="shared" si="1"/>
        <v>0</v>
      </c>
    </row>
    <row r="35" spans="1:9">
      <c r="A35" s="404">
        <f>'ADJ SUMMARY'!A38</f>
        <v>3.0299999999999994</v>
      </c>
      <c r="B35" s="412" t="str">
        <f>'ADJ SUMMARY'!C38</f>
        <v>Pro Forma Labor Exec</v>
      </c>
      <c r="C35" s="71"/>
      <c r="D35" s="71"/>
      <c r="E35" s="75"/>
      <c r="F35" s="414">
        <f>'ADJ SUMMARY'!E38</f>
        <v>0</v>
      </c>
      <c r="G35" s="68">
        <f t="shared" si="4"/>
        <v>0</v>
      </c>
      <c r="I35" s="414">
        <f t="shared" si="1"/>
        <v>0</v>
      </c>
    </row>
    <row r="36" spans="1:9">
      <c r="A36" s="404">
        <f>'ADJ SUMMARY'!A39</f>
        <v>3.0399999999999991</v>
      </c>
      <c r="B36" s="412" t="str">
        <f>'ADJ SUMMARY'!C39</f>
        <v>Pro Forma Employee Benefits</v>
      </c>
      <c r="C36" s="71"/>
      <c r="D36" s="71"/>
      <c r="E36" s="75"/>
      <c r="F36" s="414">
        <f>'ADJ SUMMARY'!E39</f>
        <v>0</v>
      </c>
      <c r="G36" s="68">
        <f t="shared" si="4"/>
        <v>0</v>
      </c>
      <c r="I36" s="414">
        <f t="shared" si="1"/>
        <v>0</v>
      </c>
    </row>
    <row r="37" spans="1:9" ht="15.75" customHeight="1">
      <c r="A37" s="404">
        <f>'ADJ SUMMARY'!A40</f>
        <v>3.0499999999999989</v>
      </c>
      <c r="B37" s="412" t="str">
        <f>'ADJ SUMMARY'!C40</f>
        <v>Pro Forma Incentive Expenses</v>
      </c>
      <c r="C37" s="71"/>
      <c r="D37" s="71"/>
      <c r="E37" s="75"/>
      <c r="F37" s="414">
        <f>'ADJ SUMMARY'!E40</f>
        <v>0</v>
      </c>
      <c r="G37" s="68">
        <f>SUM(E37:F37)</f>
        <v>0</v>
      </c>
      <c r="I37" s="414">
        <f t="shared" si="1"/>
        <v>0</v>
      </c>
    </row>
    <row r="38" spans="1:9">
      <c r="A38" s="404">
        <f>'ADJ SUMMARY'!A41</f>
        <v>3.0599999999999987</v>
      </c>
      <c r="B38" s="412" t="str">
        <f>'ADJ SUMMARY'!C41</f>
        <v>Pro Forma Property Tax</v>
      </c>
      <c r="C38" s="71"/>
      <c r="D38" s="71"/>
      <c r="E38" s="75"/>
      <c r="F38" s="414">
        <f>'ADJ SUMMARY'!E41</f>
        <v>0</v>
      </c>
      <c r="G38" s="68">
        <f t="shared" si="4"/>
        <v>0</v>
      </c>
      <c r="I38" s="414">
        <f t="shared" si="1"/>
        <v>0</v>
      </c>
    </row>
    <row r="39" spans="1:9">
      <c r="A39" s="404">
        <f>'ADJ SUMMARY'!A42</f>
        <v>3.0699999999999985</v>
      </c>
      <c r="B39" s="412" t="str">
        <f>'ADJ SUMMARY'!C42</f>
        <v>Pro Forma IS/IT Expense</v>
      </c>
      <c r="C39" s="71"/>
      <c r="D39" s="71"/>
      <c r="E39" s="75"/>
      <c r="F39" s="414">
        <f>'ADJ SUMMARY'!E42</f>
        <v>0</v>
      </c>
      <c r="G39" s="68">
        <f t="shared" ref="G39" si="5">SUM(E39:F39)</f>
        <v>0</v>
      </c>
      <c r="I39" s="414">
        <f t="shared" si="1"/>
        <v>0</v>
      </c>
    </row>
    <row r="40" spans="1:9">
      <c r="A40" s="404">
        <f>'ADJ SUMMARY'!A43</f>
        <v>3.0799999999999983</v>
      </c>
      <c r="B40" s="412" t="str">
        <f>'ADJ SUMMARY'!C43</f>
        <v>Pro Forma Revenue Normalization</v>
      </c>
      <c r="C40" s="71"/>
      <c r="D40" s="71"/>
      <c r="E40" s="75"/>
      <c r="F40" s="414">
        <f>'ADJ SUMMARY'!E43</f>
        <v>0</v>
      </c>
      <c r="G40" s="68">
        <f t="shared" ref="G40" si="6">SUM(E40:F40)</f>
        <v>0</v>
      </c>
      <c r="I40" s="414">
        <f t="shared" si="1"/>
        <v>0</v>
      </c>
    </row>
    <row r="41" spans="1:9">
      <c r="A41" s="404">
        <f>'ADJ SUMMARY'!A44</f>
        <v>3.0899999999999981</v>
      </c>
      <c r="B41" s="412" t="str">
        <f>'ADJ SUMMARY'!C44</f>
        <v>Pro Forma Def. Debits, Credits &amp; Regulatory Amorts</v>
      </c>
      <c r="C41" s="71"/>
      <c r="D41" s="71"/>
      <c r="E41" s="75"/>
      <c r="F41" s="414">
        <f>'ADJ SUMMARY'!E44</f>
        <v>-5346</v>
      </c>
      <c r="G41" s="68">
        <f>SUM(E41:F41)</f>
        <v>-5346</v>
      </c>
      <c r="I41" s="414">
        <f t="shared" si="1"/>
        <v>50</v>
      </c>
    </row>
    <row r="42" spans="1:9">
      <c r="A42" s="404">
        <f>'ADJ SUMMARY'!A45</f>
        <v>3.0999999999999979</v>
      </c>
      <c r="B42" s="412" t="str">
        <f>'ADJ SUMMARY'!C45</f>
        <v>Pro Forma 2017 Threshhold Capital Adds</v>
      </c>
      <c r="C42" s="71"/>
      <c r="D42" s="71"/>
      <c r="E42" s="75"/>
      <c r="F42" s="414">
        <f>'ADJ SUMMARY'!E45</f>
        <v>5564.7925067219157</v>
      </c>
      <c r="G42" s="68">
        <f t="shared" ref="G42:G43" si="7">SUM(E42:F42)</f>
        <v>5564.7925067219157</v>
      </c>
      <c r="I42" s="414">
        <f t="shared" si="1"/>
        <v>-52</v>
      </c>
    </row>
    <row r="43" spans="1:9">
      <c r="A43" s="404">
        <f>'ADJ SUMMARY'!A46</f>
        <v>3.1099999999999977</v>
      </c>
      <c r="B43" s="412" t="str">
        <f>'ADJ SUMMARY'!C46</f>
        <v>Pro Forma O&amp;M Offsets</v>
      </c>
      <c r="C43" s="71"/>
      <c r="D43" s="71"/>
      <c r="E43" s="75"/>
      <c r="F43" s="414">
        <f>'ADJ SUMMARY'!E46</f>
        <v>0</v>
      </c>
      <c r="G43" s="68">
        <f t="shared" si="7"/>
        <v>0</v>
      </c>
      <c r="I43" s="414">
        <f t="shared" si="1"/>
        <v>0</v>
      </c>
    </row>
    <row r="44" spans="1:9">
      <c r="A44" s="404">
        <f>'ADJ SUMMARY'!A47</f>
        <v>3.1199999999999974</v>
      </c>
      <c r="B44" s="412" t="str">
        <f>'ADJ SUMMARY'!C47</f>
        <v>Pro Forma Director Fees Exp</v>
      </c>
      <c r="C44" s="71"/>
      <c r="D44" s="71"/>
      <c r="E44" s="75"/>
      <c r="F44" s="414">
        <f>'ADJ SUMMARY'!E47</f>
        <v>0</v>
      </c>
      <c r="G44" s="68">
        <f t="shared" ref="G44:G46" si="8">SUM(E44:F44)</f>
        <v>0</v>
      </c>
      <c r="I44" s="414">
        <f t="shared" si="1"/>
        <v>0</v>
      </c>
    </row>
    <row r="45" spans="1:9">
      <c r="A45" s="404">
        <f>'ADJ SUMMARY'!A48</f>
        <v>3.1299999999999972</v>
      </c>
      <c r="B45" s="412" t="str">
        <f>'ADJ SUMMARY'!C48</f>
        <v>PF Normalize CS2/Colstrip Major Maint</v>
      </c>
      <c r="C45" s="71"/>
      <c r="D45" s="71"/>
      <c r="E45" s="75"/>
      <c r="F45" s="414">
        <f>'ADJ SUMMARY'!E48</f>
        <v>0</v>
      </c>
      <c r="G45" s="68">
        <f t="shared" si="8"/>
        <v>0</v>
      </c>
      <c r="I45" s="414">
        <f t="shared" si="1"/>
        <v>0</v>
      </c>
    </row>
    <row r="46" spans="1:9">
      <c r="A46" s="404">
        <f>'ADJ SUMMARY'!A49</f>
        <v>3.139999999999997</v>
      </c>
      <c r="B46" s="412" t="str">
        <f>'ADJ SUMMARY'!C49</f>
        <v>Pro Forma Underground Equip Inspection</v>
      </c>
      <c r="C46" s="71"/>
      <c r="D46" s="71"/>
      <c r="E46" s="75"/>
      <c r="F46" s="414">
        <f>'ADJ SUMMARY'!E49</f>
        <v>0</v>
      </c>
      <c r="G46" s="68">
        <f t="shared" si="8"/>
        <v>0</v>
      </c>
      <c r="I46" s="414">
        <f t="shared" si="1"/>
        <v>0</v>
      </c>
    </row>
    <row r="47" spans="1:9">
      <c r="A47" s="404">
        <f>'ADJ SUMMARY'!A52</f>
        <v>4</v>
      </c>
      <c r="B47" s="412" t="str">
        <f>'ADJ SUMMARY'!C52</f>
        <v>Pro Forma Power Supply &amp; Transm Revs</v>
      </c>
      <c r="C47" s="71"/>
      <c r="D47" s="71"/>
      <c r="E47" s="75"/>
      <c r="F47" s="414">
        <f>'ADJ SUMMARY'!E52</f>
        <v>0</v>
      </c>
      <c r="G47" s="68">
        <f t="shared" ref="G47" si="9">SUM(E47:F47)</f>
        <v>0</v>
      </c>
      <c r="I47" s="414">
        <f t="shared" si="1"/>
        <v>0</v>
      </c>
    </row>
    <row r="48" spans="1:9" ht="5.25" customHeight="1">
      <c r="B48" s="412"/>
      <c r="C48" s="71"/>
      <c r="D48" s="636"/>
      <c r="E48" s="637"/>
      <c r="F48" s="638"/>
      <c r="G48" s="639"/>
      <c r="H48" s="640"/>
      <c r="I48" s="640"/>
    </row>
    <row r="49" spans="1:12">
      <c r="B49" s="412" t="s">
        <v>646</v>
      </c>
      <c r="C49" s="71"/>
      <c r="D49" s="71"/>
      <c r="E49" s="106">
        <f>SUM(E11:E46)</f>
        <v>1444926</v>
      </c>
      <c r="F49" s="106">
        <f>SUM(F11:F46)</f>
        <v>-1981.2074932780843</v>
      </c>
      <c r="G49" s="106">
        <f>SUM(G11:G46)</f>
        <v>1442944.7925067218</v>
      </c>
      <c r="H49" s="75"/>
      <c r="I49" s="75"/>
      <c r="K49" s="641">
        <f>G49-'ADJ SUMMARY'!E54</f>
        <v>0</v>
      </c>
      <c r="L49" s="431" t="s">
        <v>628</v>
      </c>
    </row>
    <row r="50" spans="1:12" ht="5.25" customHeight="1">
      <c r="C50" s="71"/>
      <c r="D50" s="71"/>
      <c r="E50" s="106"/>
      <c r="F50" s="106"/>
      <c r="G50" s="106"/>
    </row>
    <row r="51" spans="1:12">
      <c r="B51" s="90" t="s">
        <v>168</v>
      </c>
      <c r="C51" s="71"/>
      <c r="D51" s="71"/>
      <c r="E51" s="310">
        <f>'Tab 2 Rev. Req. Calc.'!O13</f>
        <v>2.6800000000000001E-2</v>
      </c>
      <c r="F51" s="310">
        <f>E51-I51</f>
        <v>2.6800000000000001E-2</v>
      </c>
      <c r="G51" s="111"/>
      <c r="I51" s="310"/>
    </row>
    <row r="52" spans="1:12" ht="6" customHeight="1">
      <c r="C52" s="71"/>
      <c r="D52" s="71"/>
      <c r="E52" s="106"/>
      <c r="F52" s="106"/>
      <c r="G52" s="106"/>
    </row>
    <row r="53" spans="1:12">
      <c r="B53" s="90" t="s">
        <v>149</v>
      </c>
      <c r="C53" s="71"/>
      <c r="D53" s="71"/>
      <c r="E53" s="106">
        <f>E49*E51</f>
        <v>38724.016800000005</v>
      </c>
      <c r="F53" s="106">
        <f>F49*F51</f>
        <v>-53.096360819852663</v>
      </c>
      <c r="G53" s="106">
        <f>SUM(E53:F53)</f>
        <v>38670.920439180154</v>
      </c>
      <c r="I53" s="106">
        <f>SUM(I11:I46)</f>
        <v>220.69999999999891</v>
      </c>
    </row>
    <row r="54" spans="1:12">
      <c r="C54" s="71"/>
      <c r="D54" s="71"/>
      <c r="E54" s="106"/>
      <c r="F54" s="106"/>
      <c r="G54" s="106"/>
      <c r="I54" s="106"/>
    </row>
    <row r="55" spans="1:12">
      <c r="B55" s="90" t="s">
        <v>596</v>
      </c>
      <c r="C55" s="71"/>
      <c r="D55" s="71"/>
      <c r="E55" s="416">
        <v>39302</v>
      </c>
      <c r="F55" s="416"/>
      <c r="G55" s="111">
        <f>SUM(E55:F55)</f>
        <v>39302</v>
      </c>
      <c r="I55" s="416"/>
    </row>
    <row r="56" spans="1:12" ht="5.25" customHeight="1">
      <c r="C56" s="71"/>
      <c r="D56" s="71"/>
      <c r="E56" s="106"/>
      <c r="F56" s="106"/>
      <c r="G56" s="106"/>
      <c r="I56" s="106"/>
    </row>
    <row r="57" spans="1:12">
      <c r="B57" s="90" t="s">
        <v>151</v>
      </c>
      <c r="C57" s="71"/>
      <c r="D57" s="71"/>
      <c r="E57" s="106">
        <f>E53-E55</f>
        <v>-577.98319999999512</v>
      </c>
      <c r="F57" s="106">
        <f>F53-F55</f>
        <v>-53.096360819852663</v>
      </c>
      <c r="G57" s="106">
        <f>SUM(E57:F57)</f>
        <v>-631.07956081984776</v>
      </c>
      <c r="I57" s="106"/>
    </row>
    <row r="58" spans="1:12" ht="18" customHeight="1">
      <c r="B58" s="90" t="s">
        <v>152</v>
      </c>
      <c r="D58" s="71"/>
      <c r="E58" s="926">
        <f>+'Tab 1 Rev. Req. Summary'!AI5</f>
        <v>0.35</v>
      </c>
      <c r="F58" s="926">
        <f>+E58</f>
        <v>0.35</v>
      </c>
      <c r="G58" s="111"/>
      <c r="I58" s="419"/>
    </row>
    <row r="59" spans="1:12" ht="5.25" customHeight="1" thickBot="1">
      <c r="D59" s="71"/>
      <c r="E59" s="106"/>
      <c r="F59" s="106"/>
      <c r="G59" s="106"/>
      <c r="I59" s="106"/>
    </row>
    <row r="60" spans="1:12" ht="13.5" thickBot="1">
      <c r="B60" s="90" t="s">
        <v>153</v>
      </c>
      <c r="D60" s="71"/>
      <c r="E60" s="437">
        <f>ROUND(E57*-E58,0)</f>
        <v>202</v>
      </c>
      <c r="F60" s="144">
        <f>ROUND(F57*-F58,0)</f>
        <v>19</v>
      </c>
      <c r="G60" s="144">
        <f>SUM(E60:F60)</f>
        <v>221</v>
      </c>
      <c r="I60" s="144">
        <f>I53</f>
        <v>220.69999999999891</v>
      </c>
      <c r="J60" s="436" t="s">
        <v>632</v>
      </c>
      <c r="K60" s="68">
        <f>'Tab 4 Adjustment Details'!AR52+'Tab 4 Adjustment Details'!Y51-I60</f>
        <v>-0.11627371305044676</v>
      </c>
    </row>
    <row r="61" spans="1:12" ht="13.5" thickTop="1">
      <c r="D61" s="71"/>
      <c r="E61" s="438">
        <f>E8</f>
        <v>2.1699999999999964</v>
      </c>
      <c r="F61" s="110"/>
      <c r="G61" s="110"/>
      <c r="I61" s="110"/>
    </row>
    <row r="62" spans="1:12" ht="13.5" thickBot="1">
      <c r="E62" s="439" t="s">
        <v>25</v>
      </c>
      <c r="F62" s="417"/>
    </row>
    <row r="63" spans="1:12" hidden="1">
      <c r="A63" s="405" t="s">
        <v>246</v>
      </c>
      <c r="B63" s="413" t="s">
        <v>245</v>
      </c>
    </row>
    <row r="64" spans="1:12" hidden="1">
      <c r="B64" s="411" t="s">
        <v>150</v>
      </c>
    </row>
    <row r="65" spans="2:8" hidden="1">
      <c r="B65" s="90" t="s">
        <v>154</v>
      </c>
      <c r="C65" s="124">
        <v>2430</v>
      </c>
      <c r="H65" s="68" t="s">
        <v>229</v>
      </c>
    </row>
    <row r="66" spans="2:8" hidden="1">
      <c r="B66" s="90" t="s">
        <v>155</v>
      </c>
      <c r="C66" s="123">
        <v>2935</v>
      </c>
      <c r="H66" s="68" t="s">
        <v>229</v>
      </c>
    </row>
    <row r="67" spans="2:8" hidden="1">
      <c r="B67" s="90" t="s">
        <v>156</v>
      </c>
      <c r="C67" s="76">
        <f>C65+C66</f>
        <v>5365</v>
      </c>
    </row>
    <row r="68" spans="2:8" hidden="1">
      <c r="C68" s="75"/>
    </row>
    <row r="69" spans="2:8" hidden="1">
      <c r="C69" s="80"/>
      <c r="D69" s="72"/>
      <c r="E69" s="72" t="s">
        <v>157</v>
      </c>
    </row>
    <row r="70" spans="2:8" hidden="1">
      <c r="C70" s="74" t="s">
        <v>126</v>
      </c>
      <c r="D70" s="74" t="s">
        <v>158</v>
      </c>
      <c r="E70" s="74" t="s">
        <v>31</v>
      </c>
    </row>
    <row r="71" spans="2:8" hidden="1">
      <c r="B71" s="90" t="s">
        <v>159</v>
      </c>
      <c r="C71" s="91" t="e">
        <f>#REF!</f>
        <v>#REF!</v>
      </c>
      <c r="D71" s="92" t="e">
        <f>ROUND(C71/$C$74,4)</f>
        <v>#REF!</v>
      </c>
      <c r="E71" s="91" t="e">
        <f>D71*E74</f>
        <v>#REF!</v>
      </c>
      <c r="F71" s="130"/>
    </row>
    <row r="72" spans="2:8" hidden="1">
      <c r="B72" s="90" t="s">
        <v>160</v>
      </c>
      <c r="C72" s="93" t="e">
        <f>#REF!</f>
        <v>#REF!</v>
      </c>
      <c r="D72" s="92" t="e">
        <f>ROUND(C72/$C$74,4)</f>
        <v>#REF!</v>
      </c>
      <c r="E72" s="93" t="e">
        <f>D72*E74</f>
        <v>#REF!</v>
      </c>
    </row>
    <row r="73" spans="2:8" hidden="1">
      <c r="B73" s="90" t="s">
        <v>161</v>
      </c>
      <c r="C73" s="93" t="e">
        <f>#REF!</f>
        <v>#REF!</v>
      </c>
      <c r="D73" s="92" t="e">
        <f>ROUND(C73/$C$74,4)-0.0001</f>
        <v>#REF!</v>
      </c>
      <c r="E73" s="93" t="e">
        <f>E74*D73</f>
        <v>#REF!</v>
      </c>
    </row>
    <row r="74" spans="2:8" hidden="1">
      <c r="B74" s="90" t="s">
        <v>162</v>
      </c>
      <c r="C74" s="94" t="e">
        <f>C71+C72+C73</f>
        <v>#REF!</v>
      </c>
      <c r="D74" s="95" t="e">
        <f>D71+D72+D73</f>
        <v>#REF!</v>
      </c>
      <c r="E74" s="94">
        <f>C67</f>
        <v>5365</v>
      </c>
    </row>
    <row r="75" spans="2:8" hidden="1">
      <c r="C75" s="96"/>
      <c r="D75" s="96"/>
      <c r="E75" s="96"/>
    </row>
    <row r="76" spans="2:8" hidden="1">
      <c r="B76" s="90" t="s">
        <v>163</v>
      </c>
      <c r="C76" s="91" t="e">
        <f>#REF!</f>
        <v>#REF!</v>
      </c>
      <c r="D76" s="92" t="e">
        <f>C76/C78</f>
        <v>#REF!</v>
      </c>
      <c r="E76" s="91" t="e">
        <f>D76*E78</f>
        <v>#REF!</v>
      </c>
    </row>
    <row r="77" spans="2:8" hidden="1">
      <c r="B77" s="90" t="s">
        <v>164</v>
      </c>
      <c r="C77" s="96" t="e">
        <f>#REF!</f>
        <v>#REF!</v>
      </c>
      <c r="D77" s="92" t="e">
        <f>C77/C78</f>
        <v>#REF!</v>
      </c>
      <c r="E77" s="96" t="e">
        <f>D77*E78</f>
        <v>#REF!</v>
      </c>
    </row>
    <row r="78" spans="2:8" hidden="1">
      <c r="B78" s="90" t="s">
        <v>162</v>
      </c>
      <c r="C78" s="94" t="e">
        <f>C76+C77</f>
        <v>#REF!</v>
      </c>
      <c r="D78" s="95" t="e">
        <f>D76+D77</f>
        <v>#REF!</v>
      </c>
      <c r="E78" s="94" t="e">
        <f>E71</f>
        <v>#REF!</v>
      </c>
    </row>
    <row r="79" spans="2:8" hidden="1">
      <c r="C79" s="96"/>
      <c r="D79" s="96"/>
      <c r="E79" s="96"/>
    </row>
    <row r="80" spans="2:8" hidden="1">
      <c r="B80" s="90" t="s">
        <v>165</v>
      </c>
      <c r="C80" s="91" t="e">
        <f>#REF!</f>
        <v>#REF!</v>
      </c>
      <c r="D80" s="97" t="e">
        <f>C80/C82</f>
        <v>#REF!</v>
      </c>
      <c r="E80" s="91" t="e">
        <f>E82*D80</f>
        <v>#REF!</v>
      </c>
    </row>
    <row r="81" spans="1:6" hidden="1">
      <c r="B81" s="90" t="s">
        <v>166</v>
      </c>
      <c r="C81" s="96" t="e">
        <f>#REF!</f>
        <v>#REF!</v>
      </c>
      <c r="D81" s="98" t="e">
        <f>C81/C82</f>
        <v>#REF!</v>
      </c>
      <c r="E81" s="96" t="e">
        <f>E82*D81</f>
        <v>#REF!</v>
      </c>
    </row>
    <row r="82" spans="1:6" hidden="1">
      <c r="B82" s="90" t="s">
        <v>162</v>
      </c>
      <c r="C82" s="94" t="e">
        <f>SUM(C80:C81)</f>
        <v>#REF!</v>
      </c>
      <c r="D82" s="99" t="e">
        <f>SUM(D80:D81)</f>
        <v>#REF!</v>
      </c>
      <c r="E82" s="94" t="e">
        <f>E72</f>
        <v>#REF!</v>
      </c>
    </row>
    <row r="83" spans="1:6" hidden="1">
      <c r="A83" s="406" t="str">
        <f>A1</f>
        <v>AVISTA UTILITIES</v>
      </c>
      <c r="C83" s="66"/>
      <c r="D83" s="67"/>
      <c r="E83" s="66"/>
      <c r="F83" s="67"/>
    </row>
    <row r="84" spans="1:6" hidden="1">
      <c r="A84" s="406" t="str">
        <f>A2</f>
        <v>Restate Debt Interest</v>
      </c>
      <c r="C84" s="66"/>
      <c r="D84" s="67"/>
      <c r="E84" s="66"/>
      <c r="F84" s="67"/>
    </row>
    <row r="85" spans="1:6" hidden="1">
      <c r="A85" s="406" t="s">
        <v>169</v>
      </c>
      <c r="C85" s="66"/>
      <c r="D85" s="67"/>
      <c r="E85" s="66"/>
      <c r="F85" s="67"/>
    </row>
    <row r="86" spans="1:6" hidden="1">
      <c r="A86" s="407" t="str">
        <f>A4</f>
        <v>TWELVE MONTHS ENDED DECEMBER 31, 2016</v>
      </c>
      <c r="C86" s="69"/>
      <c r="D86" s="67"/>
      <c r="E86" s="69"/>
      <c r="F86" s="67"/>
    </row>
    <row r="87" spans="1:6" hidden="1">
      <c r="A87" s="408" t="s">
        <v>146</v>
      </c>
      <c r="C87" s="66"/>
      <c r="D87" s="67"/>
      <c r="E87" s="67"/>
      <c r="F87" s="67"/>
    </row>
    <row r="88" spans="1:6" hidden="1">
      <c r="C88" s="71"/>
      <c r="D88" s="71"/>
      <c r="E88" s="73"/>
      <c r="F88" s="72" t="s">
        <v>24</v>
      </c>
    </row>
    <row r="89" spans="1:6" hidden="1">
      <c r="B89" s="411" t="s">
        <v>147</v>
      </c>
      <c r="C89" s="71"/>
      <c r="D89" s="71"/>
      <c r="E89" s="73"/>
      <c r="F89" s="74" t="s">
        <v>148</v>
      </c>
    </row>
    <row r="90" spans="1:6" hidden="1">
      <c r="A90" s="404" t="e">
        <f>'ADJ SUMMARY'!#REF!</f>
        <v>#REF!</v>
      </c>
      <c r="B90" s="90" t="e">
        <f>'ADJ SUMMARY'!#REF!</f>
        <v>#REF!</v>
      </c>
      <c r="C90" s="71"/>
      <c r="D90" s="71"/>
      <c r="E90" s="75"/>
      <c r="F90" s="128" t="e">
        <f>'ADJ SUMMARY'!#REF!</f>
        <v>#REF!</v>
      </c>
    </row>
    <row r="91" spans="1:6" hidden="1">
      <c r="A91" s="404" t="e">
        <f>'ADJ SUMMARY'!#REF!</f>
        <v>#REF!</v>
      </c>
      <c r="B91" s="90" t="e">
        <f>'ADJ SUMMARY'!#REF!</f>
        <v>#REF!</v>
      </c>
      <c r="C91" s="71"/>
      <c r="D91" s="71"/>
      <c r="E91" s="75"/>
      <c r="F91" s="128" t="e">
        <f>'ADJ SUMMARY'!#REF!</f>
        <v>#REF!</v>
      </c>
    </row>
    <row r="92" spans="1:6" hidden="1">
      <c r="A92" s="404" t="e">
        <f>'ADJ SUMMARY'!#REF!</f>
        <v>#REF!</v>
      </c>
      <c r="B92" s="90" t="e">
        <f>'ADJ SUMMARY'!#REF!</f>
        <v>#REF!</v>
      </c>
      <c r="C92" s="71"/>
      <c r="D92" s="71"/>
      <c r="E92" s="75"/>
      <c r="F92" s="128" t="e">
        <f>'ADJ SUMMARY'!#REF!</f>
        <v>#REF!</v>
      </c>
    </row>
    <row r="93" spans="1:6" hidden="1">
      <c r="A93" s="404" t="e">
        <f>'ADJ SUMMARY'!#REF!</f>
        <v>#REF!</v>
      </c>
      <c r="B93" s="90" t="e">
        <f>'ADJ SUMMARY'!#REF!</f>
        <v>#REF!</v>
      </c>
      <c r="C93" s="71"/>
      <c r="D93" s="71"/>
      <c r="E93" s="75"/>
      <c r="F93" s="128" t="e">
        <f>'ADJ SUMMARY'!#REF!</f>
        <v>#REF!</v>
      </c>
    </row>
    <row r="94" spans="1:6" hidden="1">
      <c r="A94" s="404" t="e">
        <f>'ADJ SUMMARY'!#REF!</f>
        <v>#REF!</v>
      </c>
      <c r="B94" s="90" t="e">
        <f>'ADJ SUMMARY'!#REF!</f>
        <v>#REF!</v>
      </c>
      <c r="C94" s="71"/>
      <c r="D94" s="71"/>
      <c r="E94" s="75"/>
      <c r="F94" s="128" t="e">
        <f>'ADJ SUMMARY'!#REF!</f>
        <v>#REF!</v>
      </c>
    </row>
    <row r="95" spans="1:6" hidden="1">
      <c r="A95" s="404" t="e">
        <f>'ADJ SUMMARY'!#REF!</f>
        <v>#REF!</v>
      </c>
      <c r="B95" s="90" t="e">
        <f>'ADJ SUMMARY'!#REF!</f>
        <v>#REF!</v>
      </c>
      <c r="C95" s="71"/>
      <c r="D95" s="71"/>
      <c r="E95" s="75"/>
      <c r="F95" s="128" t="e">
        <f>'ADJ SUMMARY'!#REF!</f>
        <v>#REF!</v>
      </c>
    </row>
    <row r="96" spans="1:6" hidden="1">
      <c r="A96" s="404" t="e">
        <f>'ADJ SUMMARY'!#REF!</f>
        <v>#REF!</v>
      </c>
      <c r="B96" s="90" t="e">
        <f>'ADJ SUMMARY'!#REF!</f>
        <v>#REF!</v>
      </c>
      <c r="C96" s="71"/>
      <c r="D96" s="71"/>
      <c r="E96" s="75"/>
      <c r="F96" s="128" t="e">
        <f>'ADJ SUMMARY'!#REF!</f>
        <v>#REF!</v>
      </c>
    </row>
    <row r="97" spans="1:6" hidden="1">
      <c r="A97" s="404" t="e">
        <f>'ADJ SUMMARY'!#REF!</f>
        <v>#REF!</v>
      </c>
      <c r="B97" s="90" t="e">
        <f>'ADJ SUMMARY'!#REF!</f>
        <v>#REF!</v>
      </c>
      <c r="C97" s="71"/>
      <c r="D97" s="71"/>
      <c r="E97" s="75"/>
      <c r="F97" s="128" t="e">
        <f>'ADJ SUMMARY'!#REF!</f>
        <v>#REF!</v>
      </c>
    </row>
    <row r="98" spans="1:6" hidden="1">
      <c r="A98" s="404" t="e">
        <f>'ADJ SUMMARY'!#REF!</f>
        <v>#REF!</v>
      </c>
      <c r="B98" s="90" t="e">
        <f>'ADJ SUMMARY'!#REF!</f>
        <v>#REF!</v>
      </c>
      <c r="C98" s="71"/>
      <c r="D98" s="71"/>
      <c r="E98" s="75"/>
      <c r="F98" s="128" t="e">
        <f>'ADJ SUMMARY'!#REF!</f>
        <v>#REF!</v>
      </c>
    </row>
    <row r="99" spans="1:6" hidden="1">
      <c r="A99" s="404" t="e">
        <f>'ADJ SUMMARY'!#REF!</f>
        <v>#REF!</v>
      </c>
      <c r="B99" s="90" t="e">
        <f>'ADJ SUMMARY'!#REF!</f>
        <v>#REF!</v>
      </c>
      <c r="C99" s="71"/>
      <c r="D99" s="71"/>
      <c r="E99" s="75"/>
      <c r="F99" s="128" t="e">
        <f>'ADJ SUMMARY'!#REF!</f>
        <v>#REF!</v>
      </c>
    </row>
    <row r="100" spans="1:6" hidden="1">
      <c r="A100" s="404" t="e">
        <f>'ADJ SUMMARY'!#REF!</f>
        <v>#REF!</v>
      </c>
      <c r="B100" s="90" t="e">
        <f>'ADJ SUMMARY'!#REF!</f>
        <v>#REF!</v>
      </c>
      <c r="C100" s="71"/>
      <c r="D100" s="71"/>
      <c r="E100" s="75"/>
      <c r="F100" s="128" t="e">
        <f>'ADJ SUMMARY'!#REF!</f>
        <v>#REF!</v>
      </c>
    </row>
    <row r="101" spans="1:6" hidden="1">
      <c r="A101" s="404" t="e">
        <f>'ADJ SUMMARY'!#REF!</f>
        <v>#REF!</v>
      </c>
      <c r="B101" s="90" t="e">
        <f>'ADJ SUMMARY'!#REF!</f>
        <v>#REF!</v>
      </c>
      <c r="C101" s="71"/>
      <c r="D101" s="71"/>
      <c r="E101" s="75"/>
      <c r="F101" s="128" t="e">
        <f>'ADJ SUMMARY'!#REF!</f>
        <v>#REF!</v>
      </c>
    </row>
    <row r="102" spans="1:6" hidden="1">
      <c r="A102" s="404" t="e">
        <f>'ADJ SUMMARY'!#REF!</f>
        <v>#REF!</v>
      </c>
      <c r="B102" s="90" t="e">
        <f>'ADJ SUMMARY'!#REF!</f>
        <v>#REF!</v>
      </c>
      <c r="C102" s="71"/>
      <c r="D102" s="71"/>
      <c r="E102" s="75"/>
      <c r="F102" s="128" t="e">
        <f>'ADJ SUMMARY'!#REF!</f>
        <v>#REF!</v>
      </c>
    </row>
    <row r="103" spans="1:6" hidden="1">
      <c r="A103" s="404" t="e">
        <f>'ADJ SUMMARY'!#REF!</f>
        <v>#REF!</v>
      </c>
      <c r="B103" s="90" t="e">
        <f>'ADJ SUMMARY'!#REF!</f>
        <v>#REF!</v>
      </c>
      <c r="C103" s="71"/>
      <c r="D103" s="71"/>
      <c r="E103" s="75"/>
      <c r="F103" s="128" t="e">
        <f>'ADJ SUMMARY'!#REF!</f>
        <v>#REF!</v>
      </c>
    </row>
    <row r="104" spans="1:6" hidden="1">
      <c r="A104" s="404" t="e">
        <f>'ADJ SUMMARY'!#REF!</f>
        <v>#REF!</v>
      </c>
      <c r="B104" s="90" t="e">
        <f>'ADJ SUMMARY'!#REF!</f>
        <v>#REF!</v>
      </c>
      <c r="C104" s="71"/>
      <c r="D104" s="71"/>
      <c r="E104" s="75"/>
      <c r="F104" s="128" t="e">
        <f>'ADJ SUMMARY'!#REF!</f>
        <v>#REF!</v>
      </c>
    </row>
    <row r="105" spans="1:6" hidden="1">
      <c r="A105" s="404" t="e">
        <f>'ADJ SUMMARY'!#REF!</f>
        <v>#REF!</v>
      </c>
      <c r="B105" s="90" t="e">
        <f>'ADJ SUMMARY'!#REF!</f>
        <v>#REF!</v>
      </c>
      <c r="C105" s="71"/>
      <c r="D105" s="71"/>
      <c r="E105" s="75"/>
      <c r="F105" s="128" t="e">
        <f>'ADJ SUMMARY'!#REF!</f>
        <v>#REF!</v>
      </c>
    </row>
    <row r="106" spans="1:6" hidden="1">
      <c r="A106" s="404" t="e">
        <f>'ADJ SUMMARY'!#REF!</f>
        <v>#REF!</v>
      </c>
      <c r="B106" s="90" t="e">
        <f>'ADJ SUMMARY'!#REF!</f>
        <v>#REF!</v>
      </c>
      <c r="C106" s="71"/>
      <c r="D106" s="71"/>
      <c r="E106" s="75"/>
      <c r="F106" s="128" t="e">
        <f>'ADJ SUMMARY'!#REF!</f>
        <v>#REF!</v>
      </c>
    </row>
    <row r="107" spans="1:6" hidden="1">
      <c r="A107" s="404" t="e">
        <f>'ADJ SUMMARY'!#REF!</f>
        <v>#REF!</v>
      </c>
      <c r="B107" s="90" t="e">
        <f>'ADJ SUMMARY'!#REF!</f>
        <v>#REF!</v>
      </c>
      <c r="C107" s="71"/>
      <c r="D107" s="71"/>
      <c r="E107" s="75"/>
      <c r="F107" s="128" t="e">
        <f>'ADJ SUMMARY'!#REF!</f>
        <v>#REF!</v>
      </c>
    </row>
    <row r="108" spans="1:6" hidden="1">
      <c r="A108" s="404" t="e">
        <f>'ADJ SUMMARY'!#REF!</f>
        <v>#REF!</v>
      </c>
      <c r="B108" s="90" t="e">
        <f>'ADJ SUMMARY'!#REF!</f>
        <v>#REF!</v>
      </c>
      <c r="C108" s="71"/>
      <c r="D108" s="71"/>
      <c r="E108" s="75"/>
      <c r="F108" s="128" t="e">
        <f>'ADJ SUMMARY'!#REF!</f>
        <v>#REF!</v>
      </c>
    </row>
    <row r="109" spans="1:6" hidden="1">
      <c r="A109" s="404" t="e">
        <f>'ADJ SUMMARY'!#REF!</f>
        <v>#REF!</v>
      </c>
      <c r="B109" s="90" t="e">
        <f>'ADJ SUMMARY'!#REF!</f>
        <v>#REF!</v>
      </c>
      <c r="C109" s="71"/>
      <c r="D109" s="71"/>
      <c r="E109" s="75"/>
      <c r="F109" s="128" t="e">
        <f>'ADJ SUMMARY'!#REF!</f>
        <v>#REF!</v>
      </c>
    </row>
    <row r="110" spans="1:6" hidden="1">
      <c r="A110" s="404" t="e">
        <f>'ADJ SUMMARY'!#REF!</f>
        <v>#REF!</v>
      </c>
      <c r="B110" s="90" t="e">
        <f>'ADJ SUMMARY'!#REF!</f>
        <v>#REF!</v>
      </c>
      <c r="C110" s="71"/>
      <c r="D110" s="71"/>
      <c r="E110" s="75"/>
      <c r="F110" s="128" t="e">
        <f>'ADJ SUMMARY'!#REF!</f>
        <v>#REF!</v>
      </c>
    </row>
    <row r="111" spans="1:6" ht="5.25" hidden="1" customHeight="1">
      <c r="C111" s="71"/>
      <c r="D111" s="71"/>
      <c r="E111" s="75"/>
      <c r="F111" s="128"/>
    </row>
    <row r="112" spans="1:6" ht="13.5" hidden="1" customHeight="1">
      <c r="A112" s="404" t="e">
        <f>'ADJ SUMMARY'!#REF!</f>
        <v>#REF!</v>
      </c>
      <c r="B112" s="90" t="e">
        <f>'ADJ SUMMARY'!#REF!</f>
        <v>#REF!</v>
      </c>
      <c r="C112" s="71"/>
      <c r="D112" s="71"/>
      <c r="E112" s="75"/>
      <c r="F112" s="128" t="e">
        <f>'ADJ SUMMARY'!#REF!</f>
        <v>#REF!</v>
      </c>
    </row>
    <row r="113" spans="1:6" hidden="1">
      <c r="A113" s="404" t="e">
        <f>'ADJ SUMMARY'!#REF!</f>
        <v>#REF!</v>
      </c>
      <c r="B113" s="90" t="e">
        <f>'ADJ SUMMARY'!#REF!</f>
        <v>#REF!</v>
      </c>
      <c r="C113" s="71"/>
      <c r="D113" s="71"/>
      <c r="E113" s="75"/>
      <c r="F113" s="128" t="e">
        <f>'ADJ SUMMARY'!#REF!</f>
        <v>#REF!</v>
      </c>
    </row>
    <row r="114" spans="1:6" hidden="1">
      <c r="A114" s="404" t="e">
        <f>'ADJ SUMMARY'!#REF!</f>
        <v>#REF!</v>
      </c>
      <c r="B114" s="90" t="e">
        <f>'ADJ SUMMARY'!#REF!</f>
        <v>#REF!</v>
      </c>
      <c r="C114" s="71"/>
      <c r="D114" s="71"/>
      <c r="E114" s="75"/>
      <c r="F114" s="128" t="e">
        <f>'ADJ SUMMARY'!#REF!</f>
        <v>#REF!</v>
      </c>
    </row>
    <row r="115" spans="1:6" hidden="1">
      <c r="A115" s="404" t="e">
        <f>'ADJ SUMMARY'!#REF!</f>
        <v>#REF!</v>
      </c>
      <c r="B115" s="90" t="e">
        <f>'ADJ SUMMARY'!#REF!</f>
        <v>#REF!</v>
      </c>
      <c r="C115" s="71"/>
      <c r="D115" s="71"/>
      <c r="E115" s="75"/>
      <c r="F115" s="128" t="e">
        <f>'ADJ SUMMARY'!#REF!</f>
        <v>#REF!</v>
      </c>
    </row>
    <row r="116" spans="1:6" hidden="1">
      <c r="A116" s="404" t="e">
        <f>'ADJ SUMMARY'!#REF!</f>
        <v>#REF!</v>
      </c>
      <c r="B116" s="90" t="e">
        <f>'ADJ SUMMARY'!#REF!</f>
        <v>#REF!</v>
      </c>
      <c r="C116" s="71"/>
      <c r="D116" s="71"/>
      <c r="E116" s="75"/>
      <c r="F116" s="128" t="e">
        <f>'ADJ SUMMARY'!#REF!</f>
        <v>#REF!</v>
      </c>
    </row>
    <row r="117" spans="1:6" hidden="1">
      <c r="A117" s="404" t="e">
        <f>'ADJ SUMMARY'!#REF!</f>
        <v>#REF!</v>
      </c>
      <c r="B117" s="90" t="e">
        <f>'ADJ SUMMARY'!#REF!</f>
        <v>#REF!</v>
      </c>
      <c r="C117" s="71"/>
      <c r="D117" s="71"/>
      <c r="E117" s="75"/>
      <c r="F117" s="128" t="e">
        <f>'ADJ SUMMARY'!#REF!</f>
        <v>#REF!</v>
      </c>
    </row>
    <row r="118" spans="1:6" hidden="1">
      <c r="A118" s="404" t="e">
        <f>'ADJ SUMMARY'!#REF!</f>
        <v>#REF!</v>
      </c>
      <c r="B118" s="90" t="e">
        <f>'ADJ SUMMARY'!#REF!</f>
        <v>#REF!</v>
      </c>
      <c r="C118" s="71"/>
      <c r="D118" s="71"/>
      <c r="E118" s="75"/>
      <c r="F118" s="128" t="e">
        <f>'ADJ SUMMARY'!#REF!</f>
        <v>#REF!</v>
      </c>
    </row>
    <row r="119" spans="1:6" hidden="1">
      <c r="A119" s="404" t="e">
        <f>'ADJ SUMMARY'!#REF!</f>
        <v>#REF!</v>
      </c>
      <c r="B119" s="90" t="e">
        <f>'ADJ SUMMARY'!#REF!</f>
        <v>#REF!</v>
      </c>
      <c r="C119" s="71"/>
      <c r="D119" s="71"/>
      <c r="E119" s="75"/>
      <c r="F119" s="128" t="e">
        <f>'ADJ SUMMARY'!#REF!</f>
        <v>#REF!</v>
      </c>
    </row>
    <row r="120" spans="1:6" hidden="1">
      <c r="A120" s="404" t="e">
        <f>'ADJ SUMMARY'!#REF!</f>
        <v>#REF!</v>
      </c>
      <c r="B120" s="90" t="e">
        <f>'ADJ SUMMARY'!#REF!</f>
        <v>#REF!</v>
      </c>
      <c r="C120" s="71"/>
      <c r="D120" s="71"/>
      <c r="E120" s="75"/>
      <c r="F120" s="128" t="e">
        <f>'ADJ SUMMARY'!#REF!</f>
        <v>#REF!</v>
      </c>
    </row>
    <row r="121" spans="1:6" hidden="1">
      <c r="A121" s="404" t="e">
        <f>'ADJ SUMMARY'!#REF!</f>
        <v>#REF!</v>
      </c>
      <c r="B121" s="90" t="e">
        <f>'ADJ SUMMARY'!#REF!</f>
        <v>#REF!</v>
      </c>
      <c r="C121" s="71"/>
      <c r="D121" s="71"/>
      <c r="E121" s="75"/>
      <c r="F121" s="128" t="e">
        <f>'ADJ SUMMARY'!#REF!</f>
        <v>#REF!</v>
      </c>
    </row>
    <row r="122" spans="1:6" hidden="1">
      <c r="A122" s="404" t="e">
        <f>'ADJ SUMMARY'!#REF!</f>
        <v>#REF!</v>
      </c>
      <c r="B122" s="90" t="e">
        <f>'ADJ SUMMARY'!#REF!</f>
        <v>#REF!</v>
      </c>
      <c r="C122" s="71"/>
      <c r="D122" s="71"/>
      <c r="E122" s="75"/>
      <c r="F122" s="128" t="e">
        <f>'ADJ SUMMARY'!#REF!</f>
        <v>#REF!</v>
      </c>
    </row>
    <row r="123" spans="1:6" hidden="1">
      <c r="A123" s="404" t="e">
        <f>'ADJ SUMMARY'!#REF!</f>
        <v>#REF!</v>
      </c>
      <c r="B123" s="90" t="e">
        <f>'ADJ SUMMARY'!#REF!</f>
        <v>#REF!</v>
      </c>
      <c r="C123" s="71"/>
      <c r="D123" s="71"/>
      <c r="E123" s="75"/>
      <c r="F123" s="128" t="e">
        <f>'ADJ SUMMARY'!#REF!</f>
        <v>#REF!</v>
      </c>
    </row>
    <row r="124" spans="1:6" hidden="1">
      <c r="A124" s="404" t="e">
        <f>'ADJ SUMMARY'!#REF!</f>
        <v>#REF!</v>
      </c>
      <c r="B124" s="90" t="e">
        <f>'ADJ SUMMARY'!#REF!</f>
        <v>#REF!</v>
      </c>
      <c r="C124" s="71"/>
      <c r="D124" s="71"/>
      <c r="E124" s="75"/>
      <c r="F124" s="128" t="e">
        <f>'ADJ SUMMARY'!#REF!</f>
        <v>#REF!</v>
      </c>
    </row>
    <row r="125" spans="1:6" hidden="1">
      <c r="A125" s="404" t="e">
        <f>'ADJ SUMMARY'!#REF!</f>
        <v>#REF!</v>
      </c>
      <c r="B125" s="90" t="e">
        <f>'ADJ SUMMARY'!#REF!</f>
        <v>#REF!</v>
      </c>
      <c r="C125" s="71"/>
      <c r="D125" s="71"/>
      <c r="E125" s="75"/>
      <c r="F125" s="128" t="e">
        <f>'ADJ SUMMARY'!#REF!</f>
        <v>#REF!</v>
      </c>
    </row>
    <row r="126" spans="1:6" ht="13.5" hidden="1" customHeight="1">
      <c r="A126" s="404" t="e">
        <f>'ADJ SUMMARY'!#REF!</f>
        <v>#REF!</v>
      </c>
      <c r="B126" s="90" t="e">
        <f>'ADJ SUMMARY'!#REF!</f>
        <v>#REF!</v>
      </c>
      <c r="C126" s="71"/>
      <c r="D126" s="71"/>
      <c r="E126" s="75"/>
      <c r="F126" s="128" t="e">
        <f>'ADJ SUMMARY'!#REF!</f>
        <v>#REF!</v>
      </c>
    </row>
    <row r="127" spans="1:6" ht="0.75" hidden="1" customHeight="1">
      <c r="A127" s="404" t="e">
        <f>'ADJ SUMMARY'!#REF!</f>
        <v>#REF!</v>
      </c>
      <c r="B127" s="90" t="e">
        <f>'ADJ SUMMARY'!#REF!</f>
        <v>#REF!</v>
      </c>
      <c r="C127" s="71"/>
      <c r="D127" s="71"/>
      <c r="E127" s="75"/>
      <c r="F127" s="128" t="e">
        <f>'ADJ SUMMARY'!#REF!</f>
        <v>#REF!</v>
      </c>
    </row>
    <row r="128" spans="1:6" ht="13.5" hidden="1" customHeight="1">
      <c r="B128" s="90" t="s">
        <v>186</v>
      </c>
      <c r="C128" s="71"/>
      <c r="D128" s="71"/>
      <c r="E128" s="75"/>
      <c r="F128" s="76" t="e">
        <f>SUM(F90:F127)</f>
        <v>#REF!</v>
      </c>
    </row>
    <row r="129" spans="1:9" hidden="1">
      <c r="C129" s="71"/>
      <c r="D129" s="71"/>
      <c r="E129" s="71"/>
      <c r="F129" s="68"/>
      <c r="G129" s="145"/>
    </row>
    <row r="130" spans="1:9" hidden="1">
      <c r="B130" s="90" t="str">
        <f>B51</f>
        <v>Weighted Average Cost of Debt</v>
      </c>
      <c r="C130" s="87"/>
      <c r="D130" s="87"/>
      <c r="E130" s="88"/>
      <c r="F130" s="176" t="e">
        <f>'Tab 2 Rev. Req. Calc.'!#REF!</f>
        <v>#REF!</v>
      </c>
      <c r="H130" s="177" t="s">
        <v>243</v>
      </c>
      <c r="I130" s="96"/>
    </row>
    <row r="131" spans="1:9" hidden="1">
      <c r="C131" s="71"/>
      <c r="D131" s="71"/>
      <c r="F131" s="68"/>
    </row>
    <row r="132" spans="1:9" hidden="1">
      <c r="B132" s="90" t="s">
        <v>149</v>
      </c>
      <c r="C132" s="71"/>
      <c r="D132" s="71"/>
      <c r="E132" s="75"/>
      <c r="F132" s="75" t="e">
        <f>F128*F130</f>
        <v>#REF!</v>
      </c>
    </row>
    <row r="133" spans="1:9" hidden="1">
      <c r="C133" s="71"/>
      <c r="D133" s="71"/>
      <c r="E133" s="71"/>
      <c r="F133" s="68"/>
    </row>
    <row r="134" spans="1:9" hidden="1">
      <c r="B134" s="90" t="s">
        <v>247</v>
      </c>
      <c r="C134" s="71"/>
      <c r="D134" s="71"/>
      <c r="F134" s="154">
        <v>21469</v>
      </c>
      <c r="H134" s="159" t="s">
        <v>250</v>
      </c>
    </row>
    <row r="135" spans="1:9" hidden="1">
      <c r="C135" s="71"/>
      <c r="D135" s="71"/>
      <c r="E135" s="71"/>
      <c r="F135" s="68"/>
    </row>
    <row r="136" spans="1:9" hidden="1">
      <c r="B136" s="90" t="s">
        <v>151</v>
      </c>
      <c r="C136" s="71"/>
      <c r="D136" s="71"/>
      <c r="E136" s="75"/>
      <c r="F136" s="75" t="e">
        <f>F132-F134</f>
        <v>#REF!</v>
      </c>
    </row>
    <row r="137" spans="1:9" hidden="1">
      <c r="B137" s="90" t="s">
        <v>152</v>
      </c>
      <c r="D137" s="71"/>
      <c r="E137" s="78"/>
      <c r="F137" s="79">
        <v>0.35</v>
      </c>
    </row>
    <row r="138" spans="1:9" hidden="1">
      <c r="D138" s="71"/>
      <c r="E138" s="71"/>
      <c r="F138" s="68"/>
    </row>
    <row r="139" spans="1:9" hidden="1">
      <c r="B139" s="90" t="s">
        <v>153</v>
      </c>
      <c r="D139" s="71"/>
      <c r="E139" s="75"/>
      <c r="F139" s="75" t="e">
        <f>F136*-F137</f>
        <v>#REF!</v>
      </c>
      <c r="G139" s="75"/>
    </row>
    <row r="140" spans="1:9" ht="13.5" hidden="1" thickTop="1">
      <c r="D140" s="71"/>
      <c r="E140" s="75"/>
      <c r="F140" s="89"/>
    </row>
    <row r="141" spans="1:9" hidden="1">
      <c r="A141" s="409"/>
      <c r="F141" s="68"/>
    </row>
    <row r="142" spans="1:9" hidden="1">
      <c r="A142" s="409"/>
      <c r="B142" s="411" t="s">
        <v>150</v>
      </c>
      <c r="F142" s="68"/>
    </row>
    <row r="143" spans="1:9" hidden="1">
      <c r="A143" s="409"/>
      <c r="B143" s="90" t="s">
        <v>154</v>
      </c>
      <c r="C143" s="75">
        <f>C65</f>
        <v>2430</v>
      </c>
      <c r="F143" s="68"/>
    </row>
    <row r="144" spans="1:9" hidden="1">
      <c r="A144" s="409"/>
      <c r="B144" s="90" t="s">
        <v>155</v>
      </c>
      <c r="C144" s="68">
        <f>C66</f>
        <v>2935</v>
      </c>
      <c r="F144" s="68"/>
    </row>
    <row r="145" spans="1:6" hidden="1">
      <c r="A145" s="409"/>
      <c r="B145" s="90" t="s">
        <v>156</v>
      </c>
      <c r="C145" s="76">
        <f>C143+C144</f>
        <v>5365</v>
      </c>
      <c r="F145" s="68"/>
    </row>
    <row r="146" spans="1:6" hidden="1">
      <c r="A146" s="409"/>
      <c r="C146" s="75"/>
      <c r="F146" s="68"/>
    </row>
    <row r="147" spans="1:6" hidden="1">
      <c r="A147" s="409"/>
      <c r="C147" s="80"/>
      <c r="D147" s="72"/>
      <c r="E147" s="72" t="s">
        <v>157</v>
      </c>
      <c r="F147" s="68"/>
    </row>
    <row r="148" spans="1:6" hidden="1">
      <c r="A148" s="409"/>
      <c r="C148" s="74" t="s">
        <v>126</v>
      </c>
      <c r="D148" s="74" t="s">
        <v>158</v>
      </c>
      <c r="E148" s="74" t="s">
        <v>31</v>
      </c>
      <c r="F148" s="68"/>
    </row>
    <row r="149" spans="1:6" hidden="1">
      <c r="A149" s="409"/>
      <c r="B149" s="90" t="s">
        <v>159</v>
      </c>
      <c r="C149" s="75" t="e">
        <f>$C$71</f>
        <v>#REF!</v>
      </c>
      <c r="D149" s="77" t="e">
        <f>C149/C152</f>
        <v>#REF!</v>
      </c>
      <c r="E149" s="75" t="e">
        <f>D149*E152</f>
        <v>#REF!</v>
      </c>
      <c r="F149" s="68"/>
    </row>
    <row r="150" spans="1:6" hidden="1">
      <c r="A150" s="409"/>
      <c r="B150" s="90" t="s">
        <v>160</v>
      </c>
      <c r="C150" s="68" t="e">
        <f>$C$72</f>
        <v>#REF!</v>
      </c>
      <c r="D150" s="86" t="e">
        <f>C150/C152</f>
        <v>#REF!</v>
      </c>
      <c r="E150" s="81" t="e">
        <f>D150*E152</f>
        <v>#REF!</v>
      </c>
      <c r="F150" s="68"/>
    </row>
    <row r="151" spans="1:6" hidden="1">
      <c r="A151" s="409"/>
      <c r="B151" s="90" t="s">
        <v>161</v>
      </c>
      <c r="C151" s="68" t="e">
        <f>$C$73</f>
        <v>#REF!</v>
      </c>
      <c r="D151" s="86" t="e">
        <f>C151/C152</f>
        <v>#REF!</v>
      </c>
      <c r="E151" s="81" t="e">
        <f>E152*D151</f>
        <v>#REF!</v>
      </c>
      <c r="F151" s="68"/>
    </row>
    <row r="152" spans="1:6" hidden="1">
      <c r="A152" s="409"/>
      <c r="B152" s="90" t="s">
        <v>162</v>
      </c>
      <c r="C152" s="76" t="e">
        <f>C149+C150+C151</f>
        <v>#REF!</v>
      </c>
      <c r="D152" s="82" t="e">
        <f>D149+D150+D151</f>
        <v>#REF!</v>
      </c>
      <c r="E152" s="76">
        <f>C145</f>
        <v>5365</v>
      </c>
      <c r="F152" s="68"/>
    </row>
    <row r="153" spans="1:6" hidden="1">
      <c r="A153" s="409"/>
      <c r="F153" s="68"/>
    </row>
    <row r="154" spans="1:6" hidden="1">
      <c r="A154" s="409"/>
      <c r="B154" s="90" t="s">
        <v>163</v>
      </c>
      <c r="C154" s="75" t="e">
        <f>$C$76</f>
        <v>#REF!</v>
      </c>
      <c r="D154" s="77" t="e">
        <f>C154/C156</f>
        <v>#REF!</v>
      </c>
      <c r="E154" s="75" t="e">
        <f>D154*E156</f>
        <v>#REF!</v>
      </c>
      <c r="F154" s="68"/>
    </row>
    <row r="155" spans="1:6" hidden="1">
      <c r="A155" s="409"/>
      <c r="B155" s="90" t="s">
        <v>164</v>
      </c>
      <c r="C155" s="68" t="e">
        <f>$C$77</f>
        <v>#REF!</v>
      </c>
      <c r="D155" s="77" t="e">
        <f>C155/C156</f>
        <v>#REF!</v>
      </c>
      <c r="E155" s="68" t="e">
        <f>D155*E156</f>
        <v>#REF!</v>
      </c>
      <c r="F155" s="68"/>
    </row>
    <row r="156" spans="1:6" hidden="1">
      <c r="A156" s="409"/>
      <c r="B156" s="90" t="s">
        <v>162</v>
      </c>
      <c r="C156" s="76" t="e">
        <f>C154+C155</f>
        <v>#REF!</v>
      </c>
      <c r="D156" s="82" t="e">
        <f>D154+D155</f>
        <v>#REF!</v>
      </c>
      <c r="E156" s="76" t="e">
        <f>E149</f>
        <v>#REF!</v>
      </c>
      <c r="F156" s="68"/>
    </row>
    <row r="157" spans="1:6" hidden="1">
      <c r="A157" s="409"/>
      <c r="F157" s="68"/>
    </row>
    <row r="158" spans="1:6" hidden="1">
      <c r="A158" s="409"/>
      <c r="B158" s="90" t="s">
        <v>165</v>
      </c>
      <c r="C158" s="75" t="e">
        <f>$C$80</f>
        <v>#REF!</v>
      </c>
      <c r="D158" s="83" t="e">
        <f>C158/C160</f>
        <v>#REF!</v>
      </c>
      <c r="E158" s="75" t="e">
        <f>E160*D158</f>
        <v>#REF!</v>
      </c>
      <c r="F158" s="68"/>
    </row>
    <row r="159" spans="1:6" hidden="1">
      <c r="A159" s="409"/>
      <c r="B159" s="90" t="s">
        <v>166</v>
      </c>
      <c r="C159" s="68" t="e">
        <f>C$81</f>
        <v>#REF!</v>
      </c>
      <c r="D159" s="84" t="e">
        <f>C159/C160</f>
        <v>#REF!</v>
      </c>
      <c r="E159" s="68" t="e">
        <f>E160*D159</f>
        <v>#REF!</v>
      </c>
      <c r="F159" s="68"/>
    </row>
    <row r="160" spans="1:6" hidden="1">
      <c r="A160" s="409"/>
      <c r="B160" s="90" t="s">
        <v>162</v>
      </c>
      <c r="C160" s="76" t="e">
        <f>SUM(C158:C159)</f>
        <v>#REF!</v>
      </c>
      <c r="D160" s="85" t="e">
        <f>SUM(D158:D159)</f>
        <v>#REF!</v>
      </c>
      <c r="E160" s="76" t="e">
        <f>E150</f>
        <v>#REF!</v>
      </c>
      <c r="F160" s="68"/>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r:id="rId1"/>
  <headerFooter alignWithMargins="0"/>
  <rowBreaks count="1" manualBreakCount="1">
    <brk id="82" max="16383" man="1"/>
  </rowBreaks>
  <colBreaks count="1" manualBreakCount="1">
    <brk id="9" max="62" man="1"/>
  </col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122"/>
  <sheetViews>
    <sheetView zoomScaleNormal="100" workbookViewId="0">
      <selection sqref="A1:N1"/>
    </sheetView>
  </sheetViews>
  <sheetFormatPr defaultColWidth="9.140625" defaultRowHeight="12.75"/>
  <cols>
    <col min="1" max="1" width="6.42578125" style="385" customWidth="1"/>
    <col min="2" max="2" width="12.140625" style="26" customWidth="1"/>
    <col min="3" max="3" width="26" style="26" customWidth="1"/>
    <col min="4" max="4" width="9.42578125" style="26" customWidth="1"/>
    <col min="5" max="5" width="10.85546875" style="26" customWidth="1"/>
    <col min="6" max="6" width="1.5703125" style="26" customWidth="1"/>
    <col min="7" max="7" width="11.42578125" style="26" customWidth="1"/>
    <col min="8" max="8" width="11.28515625" style="58" customWidth="1"/>
    <col min="9" max="9" width="2" style="26" customWidth="1"/>
    <col min="10" max="10" width="12.85546875" style="55" customWidth="1"/>
    <col min="11" max="11" width="12" style="26" customWidth="1"/>
    <col min="12" max="12" width="1.140625" style="26" customWidth="1"/>
    <col min="13" max="13" width="13.42578125" style="26" customWidth="1"/>
    <col min="14" max="14" width="9.28515625" style="26" customWidth="1"/>
    <col min="15" max="15" width="7.7109375" style="26" hidden="1" customWidth="1"/>
    <col min="16" max="16" width="7.7109375" style="260" hidden="1" customWidth="1"/>
    <col min="17" max="17" width="18" style="26" bestFit="1" customWidth="1"/>
    <col min="18" max="18" width="8" style="106" bestFit="1" customWidth="1"/>
    <col min="19" max="19" width="7.42578125" style="26" bestFit="1" customWidth="1"/>
    <col min="20" max="16384" width="9.140625" style="26"/>
  </cols>
  <sheetData>
    <row r="1" spans="1:20" ht="21.75" customHeight="1">
      <c r="A1" s="1135" t="s">
        <v>116</v>
      </c>
      <c r="B1" s="1135"/>
      <c r="C1" s="1135"/>
      <c r="D1" s="1135"/>
      <c r="E1" s="1135"/>
      <c r="F1" s="1135"/>
      <c r="G1" s="1135"/>
      <c r="H1" s="1135"/>
      <c r="I1" s="1135"/>
      <c r="J1" s="1135"/>
      <c r="K1" s="1135"/>
      <c r="L1" s="1135"/>
      <c r="M1" s="1135"/>
      <c r="N1" s="1135"/>
      <c r="O1" s="265"/>
      <c r="Q1" s="163"/>
    </row>
    <row r="2" spans="1:20" ht="15.75" customHeight="1">
      <c r="A2" s="1135" t="s">
        <v>266</v>
      </c>
      <c r="B2" s="1135"/>
      <c r="C2" s="1135"/>
      <c r="D2" s="1135"/>
      <c r="E2" s="1135"/>
      <c r="F2" s="1135"/>
      <c r="G2" s="1135"/>
      <c r="H2" s="1135"/>
      <c r="I2" s="1135"/>
      <c r="J2" s="1135"/>
      <c r="K2" s="1135"/>
      <c r="L2" s="1135"/>
      <c r="M2" s="1135"/>
      <c r="N2" s="1135"/>
      <c r="O2" s="265"/>
      <c r="Q2" s="163"/>
    </row>
    <row r="3" spans="1:20" ht="15.75" customHeight="1">
      <c r="A3" s="1135" t="s">
        <v>262</v>
      </c>
      <c r="B3" s="1135"/>
      <c r="C3" s="1135"/>
      <c r="D3" s="1135"/>
      <c r="E3" s="1135"/>
      <c r="F3" s="1135"/>
      <c r="G3" s="1135"/>
      <c r="H3" s="1135"/>
      <c r="I3" s="1135"/>
      <c r="J3" s="1135"/>
      <c r="K3" s="1135"/>
      <c r="L3" s="1135"/>
      <c r="M3" s="1135"/>
      <c r="N3" s="1135"/>
      <c r="O3" s="265"/>
      <c r="Q3" s="163"/>
    </row>
    <row r="4" spans="1:20" s="28" customFormat="1">
      <c r="A4" s="385"/>
      <c r="B4" s="26"/>
      <c r="C4" s="26"/>
      <c r="D4" s="26"/>
      <c r="E4" s="169"/>
      <c r="F4" s="47"/>
      <c r="G4" s="26"/>
      <c r="H4" s="169"/>
      <c r="J4" s="26"/>
      <c r="K4" s="26"/>
      <c r="L4" s="26"/>
      <c r="M4" s="26"/>
      <c r="N4" s="26"/>
      <c r="O4" s="26"/>
      <c r="P4" s="260"/>
      <c r="Q4" s="152"/>
      <c r="R4" s="110"/>
    </row>
    <row r="5" spans="1:20">
      <c r="D5" s="767" t="s">
        <v>786</v>
      </c>
      <c r="E5" s="767"/>
      <c r="F5" s="767"/>
      <c r="G5" s="767"/>
      <c r="H5" s="26"/>
      <c r="I5" s="31"/>
      <c r="J5" s="26"/>
      <c r="K5" s="28"/>
      <c r="L5" s="257"/>
      <c r="M5" s="1125" t="s">
        <v>257</v>
      </c>
      <c r="N5" s="1125"/>
      <c r="O5" s="264"/>
      <c r="Q5" s="163"/>
    </row>
    <row r="6" spans="1:20">
      <c r="D6" s="1137" t="s">
        <v>258</v>
      </c>
      <c r="E6" s="1137"/>
      <c r="G6" s="1138"/>
      <c r="H6" s="1138"/>
      <c r="I6" s="31"/>
      <c r="J6" s="1125" t="s">
        <v>259</v>
      </c>
      <c r="K6" s="1125"/>
      <c r="L6" s="28"/>
      <c r="M6" s="1125" t="s">
        <v>260</v>
      </c>
      <c r="N6" s="1125"/>
      <c r="O6" s="264"/>
      <c r="Q6" s="163"/>
    </row>
    <row r="7" spans="1:20">
      <c r="D7" s="1136" t="s">
        <v>78</v>
      </c>
      <c r="E7" s="1136"/>
      <c r="G7" s="1136" t="s">
        <v>78</v>
      </c>
      <c r="H7" s="1136"/>
      <c r="I7" s="31"/>
      <c r="J7" s="1136" t="s">
        <v>78</v>
      </c>
      <c r="K7" s="1136"/>
      <c r="L7" s="28"/>
      <c r="M7" s="30" t="s">
        <v>261</v>
      </c>
      <c r="N7" s="30" t="s">
        <v>24</v>
      </c>
      <c r="O7" s="264"/>
    </row>
    <row r="8" spans="1:20">
      <c r="A8" s="386" t="s">
        <v>79</v>
      </c>
      <c r="B8" s="34" t="s">
        <v>80</v>
      </c>
      <c r="C8" s="30"/>
      <c r="D8" s="34" t="s">
        <v>81</v>
      </c>
      <c r="E8" s="34" t="s">
        <v>24</v>
      </c>
      <c r="F8" s="30"/>
      <c r="G8" s="34" t="s">
        <v>81</v>
      </c>
      <c r="H8" s="34" t="s">
        <v>24</v>
      </c>
      <c r="I8" s="31"/>
      <c r="J8" s="34" t="s">
        <v>81</v>
      </c>
      <c r="K8" s="34" t="s">
        <v>24</v>
      </c>
      <c r="M8" s="173">
        <f>'Tab 2 Rev. Req. Calc.'!E22</f>
        <v>0.75282499999999997</v>
      </c>
      <c r="N8" s="212">
        <f>'Tab 2 Rev. Req. Calc.'!N14</f>
        <v>7.0800000000000002E-2</v>
      </c>
      <c r="O8" s="42"/>
      <c r="Q8" s="163"/>
    </row>
    <row r="9" spans="1:20">
      <c r="A9" s="388">
        <f>'Tab 4 Adjustment Details'!E$10</f>
        <v>1</v>
      </c>
      <c r="B9" s="54" t="str">
        <f>TRIM(CONCATENATE('Tab 4 Adjustment Details'!E$8," ",'Tab 4 Adjustment Details'!E$9," "))</f>
        <v>Results of Operations</v>
      </c>
      <c r="C9" s="55"/>
      <c r="D9" s="57">
        <v>0</v>
      </c>
      <c r="E9" s="57">
        <v>0</v>
      </c>
      <c r="F9" s="55"/>
      <c r="G9" s="56">
        <f>'Tab 4 Adjustment Details'!E$57</f>
        <v>110557</v>
      </c>
      <c r="H9" s="57">
        <f>'Tab 4 Adjustment Details'!E$82</f>
        <v>1444926</v>
      </c>
      <c r="I9" s="58"/>
      <c r="J9" s="56">
        <f>G9-D9</f>
        <v>110557</v>
      </c>
      <c r="K9" s="56">
        <f>H9-E9</f>
        <v>1444926</v>
      </c>
      <c r="L9" s="48"/>
      <c r="M9" s="201">
        <f>J9/$M$8*-1</f>
        <v>-146856.17507388836</v>
      </c>
      <c r="N9" s="201">
        <f>K9*$N$8/$M$8</f>
        <v>135889.16521103843</v>
      </c>
      <c r="O9" s="201">
        <f>(H9*$N$8/$M$8)-(G9/$M$8)</f>
        <v>-10967.009862849925</v>
      </c>
      <c r="P9" s="261">
        <f>SUM(M9:N9)</f>
        <v>-10967.009862849925</v>
      </c>
      <c r="Q9" s="39"/>
    </row>
    <row r="10" spans="1:20" s="55" customFormat="1">
      <c r="A10" s="388">
        <f>'Tab 4 Adjustment Details'!F$10</f>
        <v>1.01</v>
      </c>
      <c r="B10" s="54" t="str">
        <f>TRIM(CONCATENATE('Tab 4 Adjustment Details'!F$7," ",'Tab 4 Adjustment Details'!F$8," ",'Tab 4 Adjustment Details'!F$9))</f>
        <v>Deferred FIT Rate Base</v>
      </c>
      <c r="D10" s="57">
        <v>0</v>
      </c>
      <c r="E10" s="57">
        <v>0</v>
      </c>
      <c r="G10" s="57">
        <f>'Tab 4 Adjustment Details'!F$57</f>
        <v>7.5602799999999997</v>
      </c>
      <c r="H10" s="57">
        <f>'Tab 4 Adjustment Details'!F$82</f>
        <v>806</v>
      </c>
      <c r="I10" s="139"/>
      <c r="J10" s="56">
        <f t="shared" ref="J10:J12" si="0">G10-D10</f>
        <v>7.5602799999999997</v>
      </c>
      <c r="K10" s="56">
        <f t="shared" ref="K10:K12" si="1">H10-E10</f>
        <v>806</v>
      </c>
      <c r="L10" s="48"/>
      <c r="M10" s="201">
        <f t="shared" ref="M10:M12" si="2">J10/$M$8*-1</f>
        <v>-10.042546408527878</v>
      </c>
      <c r="N10" s="201">
        <f t="shared" ref="N10:N12" si="3">K10*$N$8/$M$8</f>
        <v>75.800883339421517</v>
      </c>
      <c r="O10" s="201">
        <f>(H10*$N$8/$M$8)-(G10/$M$8)</f>
        <v>65.758336930893634</v>
      </c>
      <c r="P10" s="261">
        <f>SUM(M10:N10)</f>
        <v>65.758336930893634</v>
      </c>
      <c r="Q10" s="39"/>
      <c r="R10" s="146"/>
    </row>
    <row r="11" spans="1:20" s="55" customFormat="1">
      <c r="A11" s="388">
        <f>'Tab 4 Adjustment Details'!G$10</f>
        <v>1.02</v>
      </c>
      <c r="B11" s="54" t="str">
        <f>TRIM(CONCATENATE('Tab 4 Adjustment Details'!G$7," ",'Tab 4 Adjustment Details'!G$8," ",'Tab 4 Adjustment Details'!G$9))</f>
        <v>Deferred Debits and Credits</v>
      </c>
      <c r="D11" s="57">
        <v>0</v>
      </c>
      <c r="E11" s="57">
        <v>0</v>
      </c>
      <c r="G11" s="57">
        <f>'Tab 4 Adjustment Details'!G$57</f>
        <v>-7.8000000000000007</v>
      </c>
      <c r="H11" s="57">
        <f>'Tab 4 Adjustment Details'!G$82</f>
        <v>0</v>
      </c>
      <c r="I11" s="139"/>
      <c r="J11" s="56">
        <f t="shared" si="0"/>
        <v>-7.8000000000000007</v>
      </c>
      <c r="K11" s="56">
        <f t="shared" si="1"/>
        <v>0</v>
      </c>
      <c r="L11" s="213"/>
      <c r="M11" s="201">
        <f t="shared" si="2"/>
        <v>10.3609736658586</v>
      </c>
      <c r="N11" s="201">
        <f t="shared" si="3"/>
        <v>0</v>
      </c>
      <c r="O11" s="201">
        <f t="shared" ref="O11:O35" si="4">(H11*$N$8/$M$8)-(G11/$M$8)</f>
        <v>10.3609736658586</v>
      </c>
      <c r="P11" s="261">
        <f t="shared" ref="P11:P12" si="5">SUM(M11:N11)</f>
        <v>10.3609736658586</v>
      </c>
      <c r="Q11" s="39"/>
      <c r="R11" s="146"/>
    </row>
    <row r="12" spans="1:20" ht="13.5" customHeight="1">
      <c r="A12" s="388">
        <f>'Tab 4 Adjustment Details'!H$10</f>
        <v>1.03</v>
      </c>
      <c r="B12" s="54" t="str">
        <f>TRIM(CONCATENATE('Tab 4 Adjustment Details'!H$7," ",'Tab 4 Adjustment Details'!H$8," ",'Tab 4 Adjustment Details'!H$9))</f>
        <v>Working Capital</v>
      </c>
      <c r="C12" s="55"/>
      <c r="D12" s="57">
        <v>0</v>
      </c>
      <c r="E12" s="57">
        <v>0</v>
      </c>
      <c r="F12" s="55"/>
      <c r="G12" s="57">
        <f>'Tab 4 Adjustment Details'!H$57</f>
        <v>-28.196279999999998</v>
      </c>
      <c r="H12" s="57">
        <f>'Tab 4 Adjustment Details'!H$82</f>
        <v>-3006</v>
      </c>
      <c r="I12" s="64"/>
      <c r="J12" s="56">
        <f t="shared" si="0"/>
        <v>-28.196279999999998</v>
      </c>
      <c r="K12" s="56">
        <f t="shared" si="1"/>
        <v>-3006</v>
      </c>
      <c r="M12" s="201">
        <f t="shared" si="2"/>
        <v>37.453963404509679</v>
      </c>
      <c r="N12" s="201">
        <f t="shared" si="3"/>
        <v>-282.70155746687482</v>
      </c>
      <c r="O12" s="201">
        <f t="shared" si="4"/>
        <v>-245.24759406236512</v>
      </c>
      <c r="P12" s="261">
        <f t="shared" si="5"/>
        <v>-245.24759406236512</v>
      </c>
      <c r="Q12" s="202"/>
      <c r="R12" s="267"/>
      <c r="S12" s="256"/>
    </row>
    <row r="13" spans="1:20">
      <c r="A13" s="389"/>
      <c r="B13" s="26" t="s">
        <v>83</v>
      </c>
      <c r="D13" s="40">
        <f>SUM(D9:D12)</f>
        <v>0</v>
      </c>
      <c r="E13" s="40">
        <f>SUM(E9:E12)</f>
        <v>0</v>
      </c>
      <c r="G13" s="40">
        <f>SUM(G9:G12)</f>
        <v>110528.564</v>
      </c>
      <c r="H13" s="40">
        <f>SUM(H9:H12)</f>
        <v>1442726</v>
      </c>
      <c r="I13" s="62"/>
      <c r="J13" s="40">
        <f>SUM(J9:J12)</f>
        <v>110528.564</v>
      </c>
      <c r="K13" s="40">
        <f>SUM(K9:K12)</f>
        <v>1442726</v>
      </c>
      <c r="L13" s="30"/>
      <c r="M13" s="40">
        <f>SUM(M9:M12)</f>
        <v>-146818.40268322651</v>
      </c>
      <c r="N13" s="40">
        <f>SUM(N9:N12)</f>
        <v>135682.26453691098</v>
      </c>
      <c r="O13" s="201">
        <f t="shared" si="4"/>
        <v>-11136.138146315527</v>
      </c>
      <c r="Q13" s="163"/>
    </row>
    <row r="14" spans="1:20">
      <c r="A14" s="387"/>
      <c r="G14" s="41"/>
      <c r="H14" s="41"/>
      <c r="I14" s="64"/>
      <c r="J14" s="37"/>
      <c r="K14" s="190"/>
      <c r="L14" s="30"/>
      <c r="O14" s="201">
        <f t="shared" si="4"/>
        <v>0</v>
      </c>
      <c r="Q14" s="163"/>
      <c r="S14" s="257"/>
      <c r="T14" s="55"/>
    </row>
    <row r="15" spans="1:20" s="48" customFormat="1">
      <c r="A15" s="388">
        <f>'Tab 4 Adjustment Details'!I$10</f>
        <v>2.0099999999999998</v>
      </c>
      <c r="B15" s="54" t="str">
        <f>TRIM(CONCATENATE('Tab 4 Adjustment Details'!I$7," ",'Tab 4 Adjustment Details'!I$8," ",'Tab 4 Adjustment Details'!I$9))</f>
        <v>Eliminate B &amp; O Taxes</v>
      </c>
      <c r="C15" s="55"/>
      <c r="D15" s="57">
        <v>0</v>
      </c>
      <c r="E15" s="57">
        <v>0</v>
      </c>
      <c r="F15" s="55"/>
      <c r="G15" s="57">
        <f>'Tab 4 Adjustment Details'!I$57</f>
        <v>-95.550000000000011</v>
      </c>
      <c r="H15" s="57">
        <f>'Tab 4 Adjustment Details'!I$82</f>
        <v>0</v>
      </c>
      <c r="I15" s="64"/>
      <c r="J15" s="56">
        <f t="shared" ref="J15:J31" si="6">G15-D15</f>
        <v>-95.550000000000011</v>
      </c>
      <c r="K15" s="56">
        <f t="shared" ref="K15:K31" si="7">H15-E15</f>
        <v>0</v>
      </c>
      <c r="L15" s="214"/>
      <c r="M15" s="201">
        <f t="shared" ref="M15:M31" si="8">J15/$M$8*-1</f>
        <v>126.92192740676786</v>
      </c>
      <c r="N15" s="201">
        <f t="shared" ref="N15:N31" si="9">K15*$N$8/$M$8</f>
        <v>0</v>
      </c>
      <c r="O15" s="201">
        <f t="shared" si="4"/>
        <v>126.92192740676786</v>
      </c>
      <c r="P15" s="261">
        <f t="shared" ref="P15:P24" si="10">SUM(M15:N15)</f>
        <v>126.92192740676786</v>
      </c>
      <c r="Q15" s="39"/>
      <c r="R15" s="242"/>
      <c r="S15" s="258"/>
      <c r="T15" s="55"/>
    </row>
    <row r="16" spans="1:20" s="48" customFormat="1">
      <c r="A16" s="388">
        <f>'Tab 4 Adjustment Details'!J$10</f>
        <v>2.0199999999999996</v>
      </c>
      <c r="B16" s="54" t="str">
        <f>TRIM(CONCATENATE('Tab 4 Adjustment Details'!J$7," ",'Tab 4 Adjustment Details'!J$8," ",'Tab 4 Adjustment Details'!J$9))</f>
        <v>Restate Property Tax</v>
      </c>
      <c r="C16" s="55"/>
      <c r="D16" s="57">
        <v>0</v>
      </c>
      <c r="E16" s="57">
        <v>0</v>
      </c>
      <c r="F16" s="55"/>
      <c r="G16" s="57">
        <f>'Tab 4 Adjustment Details'!J$57</f>
        <v>162.5</v>
      </c>
      <c r="H16" s="57">
        <f>'Tab 4 Adjustment Details'!J$82</f>
        <v>0</v>
      </c>
      <c r="I16" s="64"/>
      <c r="J16" s="56">
        <f t="shared" si="6"/>
        <v>162.5</v>
      </c>
      <c r="K16" s="56">
        <f t="shared" si="7"/>
        <v>0</v>
      </c>
      <c r="L16" s="214"/>
      <c r="M16" s="201">
        <f t="shared" si="8"/>
        <v>-215.85361803872084</v>
      </c>
      <c r="N16" s="201">
        <f t="shared" si="9"/>
        <v>0</v>
      </c>
      <c r="O16" s="201">
        <f t="shared" ref="O16" si="11">(H16*$N$8/$M$8)-(G16/$M$8)</f>
        <v>-215.85361803872084</v>
      </c>
      <c r="P16" s="261">
        <f t="shared" ref="P16" si="12">SUM(M16:N16)</f>
        <v>-215.85361803872084</v>
      </c>
      <c r="Q16" s="39"/>
      <c r="R16" s="242"/>
      <c r="S16" s="258"/>
      <c r="T16" s="55"/>
    </row>
    <row r="17" spans="1:20" s="48" customFormat="1">
      <c r="A17" s="388">
        <f>'Tab 4 Adjustment Details'!K$10</f>
        <v>2.0299999999999994</v>
      </c>
      <c r="B17" s="54" t="str">
        <f>TRIM(CONCATENATE('Tab 4 Adjustment Details'!K$7," ",'Tab 4 Adjustment Details'!K$8," ",'Tab 4 Adjustment Details'!K$9))</f>
        <v>Uncollect. Expense</v>
      </c>
      <c r="C17" s="55"/>
      <c r="D17" s="57">
        <v>0</v>
      </c>
      <c r="E17" s="57">
        <v>0</v>
      </c>
      <c r="F17" s="55"/>
      <c r="G17" s="57">
        <f>'Tab 4 Adjustment Details'!K$57</f>
        <v>-858.65000000000009</v>
      </c>
      <c r="H17" s="57">
        <f>'Tab 4 Adjustment Details'!K$82</f>
        <v>0</v>
      </c>
      <c r="I17" s="64"/>
      <c r="J17" s="56">
        <f t="shared" si="6"/>
        <v>-858.65000000000009</v>
      </c>
      <c r="K17" s="56">
        <f t="shared" si="7"/>
        <v>0</v>
      </c>
      <c r="L17" s="214"/>
      <c r="M17" s="201">
        <f t="shared" si="8"/>
        <v>1140.570517716601</v>
      </c>
      <c r="N17" s="201">
        <f t="shared" si="9"/>
        <v>0</v>
      </c>
      <c r="O17" s="201">
        <f t="shared" si="4"/>
        <v>1140.570517716601</v>
      </c>
      <c r="P17" s="261">
        <f t="shared" si="10"/>
        <v>1140.570517716601</v>
      </c>
      <c r="Q17" s="39"/>
      <c r="R17" s="242"/>
      <c r="S17" s="256"/>
    </row>
    <row r="18" spans="1:20" s="48" customFormat="1">
      <c r="A18" s="388">
        <f>'Tab 4 Adjustment Details'!L$10</f>
        <v>2.0399999999999991</v>
      </c>
      <c r="B18" s="54" t="str">
        <f>TRIM(CONCATENATE('Tab 4 Adjustment Details'!L$7," ",'Tab 4 Adjustment Details'!L$8," ",'Tab 4 Adjustment Details'!L$9))</f>
        <v>Regulatory Expense</v>
      </c>
      <c r="C18" s="55"/>
      <c r="D18" s="57">
        <v>0</v>
      </c>
      <c r="E18" s="57">
        <v>0</v>
      </c>
      <c r="F18" s="55"/>
      <c r="G18" s="57">
        <f>'Tab 4 Adjustment Details'!L$57</f>
        <v>-4.5500000000000007</v>
      </c>
      <c r="H18" s="57">
        <f>'Tab 4 Adjustment Details'!L$82</f>
        <v>0</v>
      </c>
      <c r="I18" s="64"/>
      <c r="J18" s="56">
        <f t="shared" si="6"/>
        <v>-4.5500000000000007</v>
      </c>
      <c r="K18" s="56">
        <f t="shared" si="7"/>
        <v>0</v>
      </c>
      <c r="L18" s="214"/>
      <c r="M18" s="201">
        <f t="shared" si="8"/>
        <v>6.0439013050841845</v>
      </c>
      <c r="N18" s="201">
        <f t="shared" si="9"/>
        <v>0</v>
      </c>
      <c r="O18" s="201">
        <f t="shared" si="4"/>
        <v>6.0439013050841845</v>
      </c>
      <c r="P18" s="261">
        <f t="shared" si="10"/>
        <v>6.0439013050841845</v>
      </c>
      <c r="Q18" s="39"/>
      <c r="R18" s="242"/>
      <c r="S18" s="256"/>
    </row>
    <row r="19" spans="1:20" s="48" customFormat="1">
      <c r="A19" s="388">
        <f>'Tab 4 Adjustment Details'!M$10</f>
        <v>2.0499999999999989</v>
      </c>
      <c r="B19" s="54" t="str">
        <f>TRIM(CONCATENATE('Tab 4 Adjustment Details'!M$7," ",'Tab 4 Adjustment Details'!M$8," ",'Tab 4 Adjustment Details'!M$9))</f>
        <v>Injuries and Damages</v>
      </c>
      <c r="C19" s="55"/>
      <c r="D19" s="57">
        <v>0</v>
      </c>
      <c r="E19" s="57">
        <v>0</v>
      </c>
      <c r="F19" s="55"/>
      <c r="G19" s="57">
        <f>'Tab 4 Adjustment Details'!M$57</f>
        <v>-98.15</v>
      </c>
      <c r="H19" s="57">
        <f>'Tab 4 Adjustment Details'!M$82</f>
        <v>0</v>
      </c>
      <c r="I19" s="64"/>
      <c r="J19" s="56">
        <f t="shared" si="6"/>
        <v>-98.15</v>
      </c>
      <c r="K19" s="56">
        <f t="shared" si="7"/>
        <v>0</v>
      </c>
      <c r="L19" s="214"/>
      <c r="M19" s="201">
        <f t="shared" si="8"/>
        <v>130.3755852953874</v>
      </c>
      <c r="N19" s="201">
        <f t="shared" si="9"/>
        <v>0</v>
      </c>
      <c r="O19" s="201">
        <f t="shared" si="4"/>
        <v>130.3755852953874</v>
      </c>
      <c r="P19" s="261">
        <f t="shared" si="10"/>
        <v>130.3755852953874</v>
      </c>
      <c r="Q19" s="39"/>
      <c r="R19" s="242"/>
      <c r="S19" s="256"/>
    </row>
    <row r="20" spans="1:20" s="135" customFormat="1">
      <c r="A20" s="388">
        <f>'Tab 4 Adjustment Details'!N$10</f>
        <v>2.0599999999999987</v>
      </c>
      <c r="B20" s="54" t="str">
        <f>TRIM(CONCATENATE('Tab 4 Adjustment Details'!N$7," ",'Tab 4 Adjustment Details'!N$8," ",'Tab 4 Adjustment Details'!N$9))</f>
        <v>FIT/DFIT/ ITC Expense</v>
      </c>
      <c r="C20" s="55"/>
      <c r="D20" s="57">
        <v>0</v>
      </c>
      <c r="E20" s="57">
        <v>0</v>
      </c>
      <c r="F20" s="55"/>
      <c r="G20" s="57">
        <f>'Tab 4 Adjustment Details'!N$57</f>
        <v>-68.999999999999986</v>
      </c>
      <c r="H20" s="57">
        <f>'Tab 4 Adjustment Details'!N$82</f>
        <v>0</v>
      </c>
      <c r="I20" s="133"/>
      <c r="J20" s="56">
        <f t="shared" si="6"/>
        <v>-68.999999999999986</v>
      </c>
      <c r="K20" s="56">
        <f t="shared" si="7"/>
        <v>0</v>
      </c>
      <c r="L20" s="134"/>
      <c r="M20" s="201">
        <f t="shared" si="8"/>
        <v>91.654767044133749</v>
      </c>
      <c r="N20" s="201">
        <f t="shared" si="9"/>
        <v>0</v>
      </c>
      <c r="O20" s="201">
        <f t="shared" si="4"/>
        <v>91.654767044133749</v>
      </c>
      <c r="P20" s="261">
        <f t="shared" si="10"/>
        <v>91.654767044133749</v>
      </c>
      <c r="Q20" s="39"/>
      <c r="R20" s="243"/>
      <c r="S20" s="256"/>
    </row>
    <row r="21" spans="1:20">
      <c r="A21" s="388">
        <f>'Tab 4 Adjustment Details'!O$10</f>
        <v>2.0699999999999985</v>
      </c>
      <c r="B21" s="54" t="str">
        <f>TRIM(CONCATENATE('Tab 4 Adjustment Details'!O$7," ",'Tab 4 Adjustment Details'!O$8," ",'Tab 4 Adjustment Details'!O$9))</f>
        <v>Office Space Charges to Non-Utility</v>
      </c>
      <c r="C21" s="55"/>
      <c r="D21" s="57">
        <v>0</v>
      </c>
      <c r="E21" s="57">
        <v>0</v>
      </c>
      <c r="F21" s="55"/>
      <c r="G21" s="57">
        <f>'Tab 4 Adjustment Details'!O$57</f>
        <v>20.149999999999999</v>
      </c>
      <c r="H21" s="57">
        <f>'Tab 4 Adjustment Details'!O$82</f>
        <v>0</v>
      </c>
      <c r="I21" s="64"/>
      <c r="J21" s="56">
        <f t="shared" si="6"/>
        <v>20.149999999999999</v>
      </c>
      <c r="K21" s="56">
        <f t="shared" si="7"/>
        <v>0</v>
      </c>
      <c r="L21" s="30"/>
      <c r="M21" s="201">
        <f t="shared" si="8"/>
        <v>-26.76584863680138</v>
      </c>
      <c r="N21" s="201">
        <f t="shared" si="9"/>
        <v>0</v>
      </c>
      <c r="O21" s="201">
        <f t="shared" si="4"/>
        <v>-26.76584863680138</v>
      </c>
      <c r="P21" s="261">
        <f t="shared" si="10"/>
        <v>-26.76584863680138</v>
      </c>
      <c r="Q21" s="39"/>
      <c r="S21" s="256"/>
    </row>
    <row r="22" spans="1:20" s="135" customFormat="1">
      <c r="A22" s="388">
        <f>'Tab 4 Adjustment Details'!P$10</f>
        <v>2.0799999999999983</v>
      </c>
      <c r="B22" s="54" t="str">
        <f>TRIM(CONCATENATE('Tab 4 Adjustment Details'!P$7," ",'Tab 4 Adjustment Details'!P$8," ",'Tab 4 Adjustment Details'!P$9))</f>
        <v>Restate Excise Taxes</v>
      </c>
      <c r="C22" s="55"/>
      <c r="D22" s="57">
        <v>0</v>
      </c>
      <c r="E22" s="57">
        <v>0</v>
      </c>
      <c r="F22" s="55"/>
      <c r="G22" s="57">
        <f>'Tab 4 Adjustment Details'!P$57</f>
        <v>40.299999999999997</v>
      </c>
      <c r="H22" s="57">
        <f>'Tab 4 Adjustment Details'!P$82</f>
        <v>0</v>
      </c>
      <c r="I22" s="148"/>
      <c r="J22" s="56">
        <f t="shared" si="6"/>
        <v>40.299999999999997</v>
      </c>
      <c r="K22" s="56">
        <f t="shared" si="7"/>
        <v>0</v>
      </c>
      <c r="L22" s="134"/>
      <c r="M22" s="201">
        <f t="shared" si="8"/>
        <v>-53.531697273602759</v>
      </c>
      <c r="N22" s="201">
        <f t="shared" si="9"/>
        <v>0</v>
      </c>
      <c r="O22" s="201">
        <f t="shared" si="4"/>
        <v>-53.531697273602759</v>
      </c>
      <c r="P22" s="261">
        <f t="shared" si="10"/>
        <v>-53.531697273602759</v>
      </c>
      <c r="Q22" s="202"/>
      <c r="R22" s="243"/>
    </row>
    <row r="23" spans="1:20" s="135" customFormat="1">
      <c r="A23" s="388">
        <f>'Tab 4 Adjustment Details'!Q$10</f>
        <v>2.0899999999999981</v>
      </c>
      <c r="B23" s="54" t="str">
        <f>TRIM(CONCATENATE('Tab 4 Adjustment Details'!Q$7," ",'Tab 4 Adjustment Details'!Q$8," ",'Tab 4 Adjustment Details'!Q$9))</f>
        <v>Net Gains / Losses</v>
      </c>
      <c r="C23" s="55"/>
      <c r="D23" s="57">
        <v>0</v>
      </c>
      <c r="E23" s="57">
        <v>0</v>
      </c>
      <c r="F23" s="55"/>
      <c r="G23" s="57">
        <f>'Tab 4 Adjustment Details'!Q$57</f>
        <v>61.1</v>
      </c>
      <c r="H23" s="57">
        <f>'Tab 4 Adjustment Details'!Q$82</f>
        <v>0</v>
      </c>
      <c r="I23" s="148"/>
      <c r="J23" s="56">
        <f t="shared" si="6"/>
        <v>61.1</v>
      </c>
      <c r="K23" s="56">
        <f t="shared" si="7"/>
        <v>0</v>
      </c>
      <c r="L23" s="134"/>
      <c r="M23" s="201">
        <f t="shared" si="8"/>
        <v>-81.16096038255904</v>
      </c>
      <c r="N23" s="201">
        <f t="shared" si="9"/>
        <v>0</v>
      </c>
      <c r="O23" s="201">
        <f t="shared" si="4"/>
        <v>-81.16096038255904</v>
      </c>
      <c r="P23" s="261">
        <f t="shared" si="10"/>
        <v>-81.16096038255904</v>
      </c>
      <c r="Q23" s="202"/>
      <c r="R23" s="243"/>
      <c r="S23" s="256"/>
      <c r="T23" s="257"/>
    </row>
    <row r="24" spans="1:20">
      <c r="A24" s="388">
        <f>'Tab 4 Adjustment Details'!R$10</f>
        <v>2.0999999999999979</v>
      </c>
      <c r="B24" s="54" t="str">
        <f>TRIM(CONCATENATE('Tab 4 Adjustment Details'!R$7," ",'Tab 4 Adjustment Details'!R$8," ",'Tab 4 Adjustment Details'!R$9))</f>
        <v>Weather Normalization</v>
      </c>
      <c r="C24" s="55"/>
      <c r="D24" s="57">
        <v>0</v>
      </c>
      <c r="E24" s="57">
        <v>0</v>
      </c>
      <c r="F24" s="55"/>
      <c r="G24" s="57">
        <f>'Tab 4 Adjustment Details'!R$57</f>
        <v>824.85</v>
      </c>
      <c r="H24" s="57">
        <f>'Tab 4 Adjustment Details'!R$82</f>
        <v>0</v>
      </c>
      <c r="I24" s="150"/>
      <c r="J24" s="56">
        <f t="shared" si="6"/>
        <v>824.85</v>
      </c>
      <c r="K24" s="56">
        <f t="shared" si="7"/>
        <v>0</v>
      </c>
      <c r="L24" s="30"/>
      <c r="M24" s="201">
        <f t="shared" si="8"/>
        <v>-1095.6729651645469</v>
      </c>
      <c r="N24" s="201">
        <f t="shared" si="9"/>
        <v>0</v>
      </c>
      <c r="O24" s="201">
        <f t="shared" si="4"/>
        <v>-1095.6729651645469</v>
      </c>
      <c r="P24" s="261">
        <f t="shared" si="10"/>
        <v>-1095.6729651645469</v>
      </c>
      <c r="Q24" s="202"/>
      <c r="T24" s="258"/>
    </row>
    <row r="25" spans="1:20" s="135" customFormat="1">
      <c r="A25" s="388">
        <f>'Tab 4 Adjustment Details'!S$10</f>
        <v>2.1099999999999977</v>
      </c>
      <c r="B25" s="54" t="str">
        <f>TRIM(CONCATENATE('Tab 4 Adjustment Details'!S$7," ",'Tab 4 Adjustment Details'!S$8," ",'Tab 4 Adjustment Details'!S$9))</f>
        <v>Eliminate Adder Schedules</v>
      </c>
      <c r="C25" s="55"/>
      <c r="D25" s="57">
        <v>0</v>
      </c>
      <c r="E25" s="57">
        <v>0</v>
      </c>
      <c r="F25" s="55"/>
      <c r="G25" s="57">
        <f>'Tab 4 Adjustment Details'!S$57</f>
        <v>0</v>
      </c>
      <c r="H25" s="57">
        <f>'Tab 4 Adjustment Details'!T$82</f>
        <v>0</v>
      </c>
      <c r="I25" s="133"/>
      <c r="J25" s="56">
        <f t="shared" si="6"/>
        <v>0</v>
      </c>
      <c r="K25" s="56">
        <f t="shared" si="7"/>
        <v>0</v>
      </c>
      <c r="M25" s="201">
        <f t="shared" si="8"/>
        <v>0</v>
      </c>
      <c r="N25" s="201">
        <f t="shared" si="9"/>
        <v>0</v>
      </c>
      <c r="O25" s="201">
        <f t="shared" ref="O25" si="13">(H25*$N$8/$M$8)-(G25/$M$8)</f>
        <v>0</v>
      </c>
      <c r="P25" s="261">
        <f t="shared" ref="P25" si="14">SUM(M25:N25)</f>
        <v>0</v>
      </c>
      <c r="Q25" s="202"/>
      <c r="R25" s="243"/>
      <c r="S25" s="256"/>
    </row>
    <row r="26" spans="1:20" s="135" customFormat="1">
      <c r="A26" s="388">
        <f>'Tab 4 Adjustment Details'!T$10</f>
        <v>2.1199999999999974</v>
      </c>
      <c r="B26" s="54" t="str">
        <f>TRIM(CONCATENATE('Tab 4 Adjustment Details'!T$7," ",'Tab 4 Adjustment Details'!T$8," ",'Tab 4 Adjustment Details'!T$9))</f>
        <v>Misc. Restating Non-Util / Non- Recurring Expenses</v>
      </c>
      <c r="C26" s="55"/>
      <c r="D26" s="57">
        <v>0</v>
      </c>
      <c r="E26" s="57">
        <v>0</v>
      </c>
      <c r="F26" s="55"/>
      <c r="G26" s="57">
        <f>'Tab 4 Adjustment Details'!T$57</f>
        <v>-969.15</v>
      </c>
      <c r="H26" s="57">
        <f>'Tab 4 Adjustment Details'!T$82</f>
        <v>0</v>
      </c>
      <c r="I26" s="133"/>
      <c r="J26" s="56">
        <f t="shared" si="6"/>
        <v>-969.15</v>
      </c>
      <c r="K26" s="56">
        <f t="shared" si="7"/>
        <v>0</v>
      </c>
      <c r="M26" s="201">
        <f t="shared" si="8"/>
        <v>1287.350977982931</v>
      </c>
      <c r="N26" s="201">
        <f t="shared" si="9"/>
        <v>0</v>
      </c>
      <c r="O26" s="201">
        <f>(H26*$N$8/$M$8)-(G26/$M$8)</f>
        <v>1287.350977982931</v>
      </c>
      <c r="P26" s="261">
        <f>SUM(M26:N26)</f>
        <v>1287.350977982931</v>
      </c>
      <c r="Q26" s="202"/>
      <c r="R26" s="243"/>
      <c r="S26" s="256"/>
    </row>
    <row r="27" spans="1:20" s="48" customFormat="1">
      <c r="A27" s="388">
        <f>'Tab 4 Adjustment Details'!U$10</f>
        <v>2.1299999999999972</v>
      </c>
      <c r="B27" s="54" t="str">
        <f>TRIM(CONCATENATE('Tab 4 Adjustment Details'!U$7," ",'Tab 4 Adjustment Details'!U$8," ",'Tab 4 Adjustment Details'!U$9))</f>
        <v>Eliminate WA Power Cost Defer</v>
      </c>
      <c r="C27" s="55"/>
      <c r="D27" s="57">
        <v>0</v>
      </c>
      <c r="E27" s="57">
        <v>0</v>
      </c>
      <c r="F27" s="55"/>
      <c r="G27" s="57">
        <f>'Tab 4 Adjustment Details'!U$57</f>
        <v>4386</v>
      </c>
      <c r="H27" s="57">
        <f>'Tab 4 Adjustment Details'!U$82</f>
        <v>0</v>
      </c>
      <c r="I27" s="64"/>
      <c r="J27" s="56">
        <f t="shared" si="6"/>
        <v>4386</v>
      </c>
      <c r="K27" s="56">
        <f t="shared" si="7"/>
        <v>0</v>
      </c>
      <c r="L27" s="214"/>
      <c r="M27" s="201">
        <f t="shared" si="8"/>
        <v>-5826.0551921097203</v>
      </c>
      <c r="N27" s="201">
        <f t="shared" si="9"/>
        <v>0</v>
      </c>
      <c r="O27" s="201">
        <f>(H27*$N$8/$M$8)-(G27/$M$8)</f>
        <v>-5826.0551921097203</v>
      </c>
      <c r="P27" s="261">
        <f>SUM(M27:N27)</f>
        <v>-5826.0551921097203</v>
      </c>
      <c r="Q27" s="39"/>
      <c r="R27" s="242"/>
    </row>
    <row r="28" spans="1:20" s="48" customFormat="1" ht="12" customHeight="1">
      <c r="A28" s="388">
        <f>'Tab 4 Adjustment Details'!V$10</f>
        <v>2.139999999999997</v>
      </c>
      <c r="B28" s="54" t="str">
        <f>TRIM(CONCATENATE('Tab 4 Adjustment Details'!V$7," ",'Tab 4 Adjustment Details'!V$8," ",'Tab 4 Adjustment Details'!V$9))</f>
        <v>Nez Perce Settlement Adjustment</v>
      </c>
      <c r="C28" s="55"/>
      <c r="D28" s="57">
        <v>0</v>
      </c>
      <c r="E28" s="57">
        <v>0</v>
      </c>
      <c r="F28" s="55"/>
      <c r="G28" s="57">
        <f>'Tab 4 Adjustment Details'!V$57</f>
        <v>2.6</v>
      </c>
      <c r="H28" s="57">
        <f>'Tab 4 Adjustment Details'!V$82</f>
        <v>0</v>
      </c>
      <c r="I28" s="64"/>
      <c r="J28" s="56">
        <f t="shared" si="6"/>
        <v>2.6</v>
      </c>
      <c r="K28" s="56">
        <f t="shared" si="7"/>
        <v>0</v>
      </c>
      <c r="L28" s="214"/>
      <c r="M28" s="201">
        <f t="shared" si="8"/>
        <v>-3.4536578886195333</v>
      </c>
      <c r="N28" s="201">
        <f t="shared" si="9"/>
        <v>0</v>
      </c>
      <c r="O28" s="201">
        <f>(H28*$N$8/$M$8)-(G28/$M$8)</f>
        <v>-3.4536578886195333</v>
      </c>
      <c r="P28" s="261">
        <f>SUM(M28:N28)</f>
        <v>-3.4536578886195333</v>
      </c>
      <c r="Q28" s="39"/>
      <c r="R28" s="242"/>
      <c r="S28" s="256"/>
    </row>
    <row r="29" spans="1:20" s="48" customFormat="1" ht="12" customHeight="1">
      <c r="A29" s="388">
        <f>'Tab 4 Adjustment Details'!W$10</f>
        <v>2.1499999999999968</v>
      </c>
      <c r="B29" s="54" t="str">
        <f>TRIM(CONCATENATE('Tab 4 Adjustment Details'!W$7," ",'Tab 4 Adjustment Details'!W$8," ",'Tab 4 Adjustment Details'!W$9))</f>
        <v>Restating Incentives</v>
      </c>
      <c r="C29" s="55"/>
      <c r="D29" s="57">
        <v>0</v>
      </c>
      <c r="E29" s="57">
        <v>0</v>
      </c>
      <c r="F29" s="55"/>
      <c r="G29" s="57">
        <f>'Tab 4 Adjustment Details'!W$57</f>
        <v>406.9</v>
      </c>
      <c r="H29" s="57">
        <f>'Tab 4 Adjustment Details'!W$82</f>
        <v>0</v>
      </c>
      <c r="I29" s="64"/>
      <c r="J29" s="56">
        <f t="shared" ref="J29" si="15">G29-D29</f>
        <v>406.9</v>
      </c>
      <c r="K29" s="56">
        <f t="shared" ref="K29" si="16">H29-E29</f>
        <v>0</v>
      </c>
      <c r="L29" s="214"/>
      <c r="M29" s="201">
        <f t="shared" ref="M29" si="17">J29/$M$8*-1</f>
        <v>-540.49745956895697</v>
      </c>
      <c r="N29" s="201">
        <f t="shared" ref="N29" si="18">K29*$N$8/$M$8</f>
        <v>0</v>
      </c>
      <c r="O29" s="201">
        <f>(H29*$N$8/$M$8)-(G29/$M$8)</f>
        <v>-540.49745956895697</v>
      </c>
      <c r="P29" s="261">
        <f>SUM(M29:N29)</f>
        <v>-540.49745956895697</v>
      </c>
      <c r="Q29" s="39"/>
      <c r="R29" s="242"/>
      <c r="S29" s="256"/>
    </row>
    <row r="30" spans="1:20">
      <c r="A30" s="615">
        <f>'Tab 4 Adjustment Details'!X$10</f>
        <v>2.1599999999999966</v>
      </c>
      <c r="B30" s="477" t="str">
        <f>TRIM(CONCATENATE('Tab 4 Adjustment Details'!X$7," ",'Tab 4 Adjustment Details'!X$8," ",'Tab 4 Adjustment Details'!X$9))</f>
        <v>Normalize CS2/Colstrip Major Maint</v>
      </c>
      <c r="C30" s="191"/>
      <c r="D30" s="57">
        <v>0</v>
      </c>
      <c r="E30" s="57">
        <v>0</v>
      </c>
      <c r="F30" s="140"/>
      <c r="G30" s="114">
        <f>'Tab 4 Adjustment Details'!X$57</f>
        <v>763.1</v>
      </c>
      <c r="H30" s="114">
        <f>'Tab 4 Adjustment Details'!X$82</f>
        <v>0</v>
      </c>
      <c r="I30" s="64"/>
      <c r="J30" s="56">
        <f>G30-D30</f>
        <v>763.1</v>
      </c>
      <c r="K30" s="56">
        <f>H30-E30</f>
        <v>0</v>
      </c>
      <c r="L30" s="31"/>
      <c r="M30" s="201">
        <f>J30/$M$8*-1</f>
        <v>-1013.648590309833</v>
      </c>
      <c r="N30" s="201">
        <f>K30*$N$8/$M$8</f>
        <v>0</v>
      </c>
      <c r="O30" s="201">
        <f t="shared" ref="O30" si="19">(H30*$N$8/$M$8)-(G30/$M$8)</f>
        <v>-1013.648590309833</v>
      </c>
      <c r="P30" s="261">
        <f t="shared" ref="P30" si="20">SUM(M30:N30)</f>
        <v>-1013.648590309833</v>
      </c>
      <c r="Q30" s="202"/>
      <c r="R30" s="181"/>
      <c r="S30" s="256"/>
    </row>
    <row r="31" spans="1:20" s="169" customFormat="1">
      <c r="A31" s="390">
        <f>'Tab 4 Adjustment Details'!Y$10</f>
        <v>2.1699999999999964</v>
      </c>
      <c r="B31" s="167" t="str">
        <f>TRIM(CONCATENATE('Tab 4 Adjustment Details'!Y$7," ",'Tab 4 Adjustment Details'!Y$8," ",'Tab 4 Adjustment Details'!Y$9))</f>
        <v>Restate Debt Interest</v>
      </c>
      <c r="C31" s="168"/>
      <c r="D31" s="57">
        <v>0</v>
      </c>
      <c r="E31" s="57">
        <v>0</v>
      </c>
      <c r="F31" s="168"/>
      <c r="G31" s="147">
        <f>'Tab 4 Adjustment Details'!Y$57</f>
        <v>-202.00000000000003</v>
      </c>
      <c r="H31" s="147">
        <f>'Tab 4 Adjustment Details'!Y$82</f>
        <v>0</v>
      </c>
      <c r="I31" s="199"/>
      <c r="J31" s="56">
        <f t="shared" si="6"/>
        <v>-202.00000000000003</v>
      </c>
      <c r="K31" s="56">
        <f t="shared" si="7"/>
        <v>0</v>
      </c>
      <c r="L31" s="215"/>
      <c r="M31" s="201">
        <f t="shared" si="8"/>
        <v>268.32265134659457</v>
      </c>
      <c r="N31" s="201">
        <f t="shared" si="9"/>
        <v>0</v>
      </c>
      <c r="O31" s="201">
        <f>(H31*$N$8/$M$8)-(G31/$M$8)</f>
        <v>268.32265134659457</v>
      </c>
      <c r="P31" s="261">
        <f>SUM(M31:N31)</f>
        <v>268.32265134659457</v>
      </c>
      <c r="Q31" s="202"/>
      <c r="R31" s="181"/>
      <c r="S31" s="256"/>
    </row>
    <row r="32" spans="1:20" s="169" customFormat="1">
      <c r="A32" s="390">
        <f>'Tab 4 Adjustment Details'!Z$10</f>
        <v>2.1799999999999962</v>
      </c>
      <c r="B32" s="167" t="str">
        <f>TRIM(CONCATENATE('Tab 4 Adjustment Details'!Z$7," ",'Tab 4 Adjustment Details'!Z$8," ",'Tab 4 Adjustment Details'!Z$9))</f>
        <v>Authorized Power Supply</v>
      </c>
      <c r="C32" s="168"/>
      <c r="D32" s="57">
        <v>0</v>
      </c>
      <c r="E32" s="57">
        <v>0</v>
      </c>
      <c r="F32" s="168"/>
      <c r="G32" s="147">
        <f>'Tab 4 Adjustment Details'!Z$57</f>
        <v>-7696</v>
      </c>
      <c r="H32" s="147">
        <f>'Tab 4 Adjustment Details'!Z$82</f>
        <v>0</v>
      </c>
      <c r="I32" s="199"/>
      <c r="J32" s="56">
        <f t="shared" ref="J32" si="21">G32-D32</f>
        <v>-7696</v>
      </c>
      <c r="K32" s="56">
        <f t="shared" ref="K32" si="22">H32-E32</f>
        <v>0</v>
      </c>
      <c r="L32" s="215"/>
      <c r="M32" s="201">
        <f t="shared" ref="M32" si="23">J32/$M$8*-1</f>
        <v>10222.827350313819</v>
      </c>
      <c r="N32" s="201">
        <f t="shared" ref="N32" si="24">K32*$N$8/$M$8</f>
        <v>0</v>
      </c>
      <c r="O32" s="201">
        <f>(H32*$N$8/$M$8)-(G32/$M$8)</f>
        <v>10222.827350313819</v>
      </c>
      <c r="P32" s="261">
        <f>SUM(M32:N32)</f>
        <v>10222.827350313819</v>
      </c>
      <c r="Q32" s="202"/>
      <c r="R32" s="553"/>
      <c r="S32" s="256"/>
    </row>
    <row r="33" spans="1:19" s="112" customFormat="1">
      <c r="A33" s="391"/>
      <c r="B33" s="54"/>
      <c r="C33" s="55"/>
      <c r="D33" s="226"/>
      <c r="E33" s="226"/>
      <c r="F33" s="55"/>
      <c r="G33" s="129"/>
      <c r="H33" s="129"/>
      <c r="I33" s="64"/>
      <c r="J33" s="230"/>
      <c r="K33" s="226"/>
      <c r="L33" s="216"/>
      <c r="M33" s="231"/>
      <c r="N33" s="231"/>
      <c r="O33" s="201"/>
      <c r="P33" s="260"/>
      <c r="Q33" s="254"/>
      <c r="R33" s="272"/>
      <c r="S33" s="256"/>
    </row>
    <row r="34" spans="1:19" ht="13.5" thickBot="1">
      <c r="A34" s="392"/>
      <c r="B34" s="26" t="s">
        <v>84</v>
      </c>
      <c r="D34" s="45">
        <f>SUM(D13:D33)</f>
        <v>0</v>
      </c>
      <c r="E34" s="45">
        <f>SUM(E13:E33)</f>
        <v>0</v>
      </c>
      <c r="G34" s="45">
        <f>SUM(G13:G33)</f>
        <v>107203.01400000002</v>
      </c>
      <c r="H34" s="45">
        <f>SUM(H13:H33)</f>
        <v>1442726</v>
      </c>
      <c r="I34" s="62"/>
      <c r="J34" s="45">
        <f>SUM(J13:J33)</f>
        <v>107203.01400000002</v>
      </c>
      <c r="K34" s="45">
        <f>SUM(K13:K33)</f>
        <v>1442726</v>
      </c>
      <c r="L34" s="30"/>
      <c r="M34" s="45">
        <f>SUM(M13:M33)</f>
        <v>-142400.97499418858</v>
      </c>
      <c r="N34" s="45">
        <f>SUM(N13:N33)</f>
        <v>135682.26453691098</v>
      </c>
      <c r="O34" s="201">
        <f t="shared" si="4"/>
        <v>-6718.7104572776007</v>
      </c>
      <c r="Q34" s="163"/>
      <c r="R34" s="181"/>
      <c r="S34" s="256"/>
    </row>
    <row r="35" spans="1:19" ht="14.25" customHeight="1" thickTop="1">
      <c r="A35" s="644" t="s">
        <v>309</v>
      </c>
      <c r="B35" s="163"/>
      <c r="C35" s="163"/>
      <c r="D35" s="163"/>
      <c r="E35" s="163"/>
      <c r="G35" s="125"/>
      <c r="H35" s="36"/>
      <c r="I35" s="62"/>
      <c r="J35" s="37"/>
      <c r="K35" s="140"/>
      <c r="L35" s="30"/>
      <c r="O35" s="201">
        <f t="shared" si="4"/>
        <v>0</v>
      </c>
      <c r="Q35" s="163"/>
      <c r="R35" s="181"/>
      <c r="S35" s="256"/>
    </row>
    <row r="36" spans="1:19">
      <c r="A36" s="388">
        <f>'Tab 4 Adjustment Details'!AD$10</f>
        <v>3.01</v>
      </c>
      <c r="B36" s="167" t="str">
        <f>TRIM(CONCATENATE('Tab 4 Adjustment Details'!AD$7," ",'Tab 4 Adjustment Details'!AD$8," ",'Tab 4 Adjustment Details'!AD$9))</f>
        <v>Pro Forma Trans/Power Sup Non-ERM Rev/Exp</v>
      </c>
      <c r="C36" s="168"/>
      <c r="D36" s="57">
        <v>0</v>
      </c>
      <c r="E36" s="57">
        <v>0</v>
      </c>
      <c r="F36" s="55"/>
      <c r="G36" s="57">
        <f>'Tab 4 Adjustment Details'!AD$57</f>
        <v>-65.650000000000006</v>
      </c>
      <c r="H36" s="57">
        <f>'Tab 4 Adjustment Details'!AD$82</f>
        <v>0</v>
      </c>
      <c r="I36" s="64"/>
      <c r="J36" s="56">
        <f t="shared" ref="J36:J46" si="25">G36-D36</f>
        <v>-65.650000000000006</v>
      </c>
      <c r="K36" s="56">
        <f t="shared" ref="K36:K46" si="26">H36-E36</f>
        <v>0</v>
      </c>
      <c r="L36" s="30"/>
      <c r="M36" s="201">
        <f t="shared" ref="M36:M46" si="27">J36/$M$8*-1</f>
        <v>87.204861687643216</v>
      </c>
      <c r="N36" s="201">
        <f t="shared" ref="N36:N46" si="28">K36*$N$8/$M$8</f>
        <v>0</v>
      </c>
      <c r="O36" s="201">
        <f t="shared" ref="O36:O45" si="29">(H36*$N$8/$M$8)-(G36/$M$8)</f>
        <v>87.204861687643216</v>
      </c>
      <c r="P36" s="261">
        <f t="shared" ref="P36:P45" si="30">SUM(M36:N36)</f>
        <v>87.204861687643216</v>
      </c>
      <c r="Q36" s="202"/>
      <c r="R36" s="181"/>
      <c r="S36" s="256"/>
    </row>
    <row r="37" spans="1:19">
      <c r="A37" s="388">
        <f>'Tab 4 Adjustment Details'!AE$10</f>
        <v>3.0199999999999996</v>
      </c>
      <c r="B37" s="167" t="str">
        <f>TRIM(CONCATENATE('Tab 4 Adjustment Details'!AE$7," ",'Tab 4 Adjustment Details'!AE$8," ",'Tab 4 Adjustment Details'!AE$9))</f>
        <v>Pro Forma Labor Non-Exec</v>
      </c>
      <c r="C37" s="168"/>
      <c r="D37" s="57">
        <v>0</v>
      </c>
      <c r="E37" s="57">
        <v>0</v>
      </c>
      <c r="F37" s="55"/>
      <c r="G37" s="57">
        <f>'Tab 4 Adjustment Details'!AE$57</f>
        <v>-997.19360000000017</v>
      </c>
      <c r="H37" s="57">
        <f>'Tab 4 Adjustment Details'!AE$82</f>
        <v>0</v>
      </c>
      <c r="I37" s="64"/>
      <c r="J37" s="56">
        <f t="shared" si="25"/>
        <v>-997.19360000000017</v>
      </c>
      <c r="K37" s="56">
        <f t="shared" si="26"/>
        <v>0</v>
      </c>
      <c r="L37" s="30"/>
      <c r="M37" s="201">
        <f t="shared" si="27"/>
        <v>1324.6021319695815</v>
      </c>
      <c r="N37" s="201">
        <f t="shared" si="28"/>
        <v>0</v>
      </c>
      <c r="O37" s="201">
        <f t="shared" si="29"/>
        <v>1324.6021319695815</v>
      </c>
      <c r="P37" s="261">
        <f t="shared" si="30"/>
        <v>1324.6021319695815</v>
      </c>
      <c r="Q37" s="202"/>
      <c r="R37" s="181"/>
      <c r="S37" s="256"/>
    </row>
    <row r="38" spans="1:19" ht="12" customHeight="1">
      <c r="A38" s="388">
        <f>'Tab 4 Adjustment Details'!AF$10</f>
        <v>3.0299999999999994</v>
      </c>
      <c r="B38" s="167" t="str">
        <f>TRIM(CONCATENATE('Tab 4 Adjustment Details'!AF$7," ",'Tab 4 Adjustment Details'!AF$8," ",'Tab 4 Adjustment Details'!AF$9))</f>
        <v>Pro Forma Labor Exec</v>
      </c>
      <c r="C38" s="168"/>
      <c r="D38" s="57">
        <v>0</v>
      </c>
      <c r="E38" s="57">
        <v>0</v>
      </c>
      <c r="F38" s="55"/>
      <c r="G38" s="57">
        <f>'Tab 4 Adjustment Details'!AF$57</f>
        <v>21.450000000000003</v>
      </c>
      <c r="H38" s="57">
        <f>'Tab 4 Adjustment Details'!AF$82</f>
        <v>0</v>
      </c>
      <c r="I38" s="64"/>
      <c r="J38" s="56">
        <f t="shared" si="25"/>
        <v>21.450000000000003</v>
      </c>
      <c r="K38" s="56">
        <f t="shared" si="26"/>
        <v>0</v>
      </c>
      <c r="L38" s="30"/>
      <c r="M38" s="201">
        <f t="shared" si="27"/>
        <v>-28.492677581111153</v>
      </c>
      <c r="N38" s="201">
        <f t="shared" si="28"/>
        <v>0</v>
      </c>
      <c r="O38" s="201">
        <f t="shared" si="29"/>
        <v>-28.492677581111153</v>
      </c>
      <c r="P38" s="261">
        <f t="shared" si="30"/>
        <v>-28.492677581111153</v>
      </c>
      <c r="Q38" s="202"/>
      <c r="R38" s="181"/>
      <c r="S38" s="256"/>
    </row>
    <row r="39" spans="1:19">
      <c r="A39" s="388">
        <f>'Tab 4 Adjustment Details'!AG$10</f>
        <v>3.0399999999999991</v>
      </c>
      <c r="B39" s="167" t="str">
        <f>TRIM(CONCATENATE('Tab 4 Adjustment Details'!AG$7," ",'Tab 4 Adjustment Details'!AG$8," ",'Tab 4 Adjustment Details'!AG$9))</f>
        <v>Pro Forma Employee Benefits</v>
      </c>
      <c r="C39" s="168"/>
      <c r="D39" s="57">
        <v>0</v>
      </c>
      <c r="E39" s="57">
        <v>0</v>
      </c>
      <c r="F39" s="55"/>
      <c r="G39" s="57">
        <f>'Tab 4 Adjustment Details'!AG$57</f>
        <v>234</v>
      </c>
      <c r="H39" s="57">
        <f>'Tab 4 Adjustment Details'!AG$82</f>
        <v>0</v>
      </c>
      <c r="I39" s="64"/>
      <c r="J39" s="56">
        <f t="shared" si="25"/>
        <v>234</v>
      </c>
      <c r="K39" s="56">
        <f t="shared" si="26"/>
        <v>0</v>
      </c>
      <c r="M39" s="201">
        <f t="shared" si="27"/>
        <v>-310.82920997575798</v>
      </c>
      <c r="N39" s="201">
        <f t="shared" si="28"/>
        <v>0</v>
      </c>
      <c r="O39" s="201">
        <f t="shared" si="29"/>
        <v>-310.82920997575798</v>
      </c>
      <c r="P39" s="261">
        <f t="shared" si="30"/>
        <v>-310.82920997575798</v>
      </c>
      <c r="Q39" s="202"/>
      <c r="R39" s="241"/>
      <c r="S39" s="259"/>
    </row>
    <row r="40" spans="1:19" s="169" customFormat="1">
      <c r="A40" s="390">
        <f>'Tab 4 Adjustment Details'!AH$10</f>
        <v>3.0499999999999989</v>
      </c>
      <c r="B40" s="167" t="str">
        <f>TRIM(CONCATENATE('Tab 4 Adjustment Details'!AH$7," ",'Tab 4 Adjustment Details'!AH$8," ",'Tab 4 Adjustment Details'!AH$9))</f>
        <v>Pro Forma Incentive Expenses</v>
      </c>
      <c r="C40" s="168"/>
      <c r="D40" s="57">
        <v>0</v>
      </c>
      <c r="E40" s="57">
        <v>0</v>
      </c>
      <c r="F40" s="168"/>
      <c r="G40" s="147">
        <f>'Tab 4 Adjustment Details'!AH$57</f>
        <v>-77.349999999999994</v>
      </c>
      <c r="H40" s="147">
        <f>'Tab 4 Adjustment Details'!AH$82</f>
        <v>0</v>
      </c>
      <c r="I40" s="199"/>
      <c r="J40" s="56">
        <f>G40-D40</f>
        <v>-77.349999999999994</v>
      </c>
      <c r="K40" s="56">
        <f>H40-E40</f>
        <v>0</v>
      </c>
      <c r="L40" s="215"/>
      <c r="M40" s="201">
        <f>J40/$M$8*-1</f>
        <v>102.7463221864311</v>
      </c>
      <c r="N40" s="201">
        <f>K40*$N$8/$M$8</f>
        <v>0</v>
      </c>
      <c r="O40" s="201">
        <f>(H40*$N$8/$M$8)-(G40/$M$8)</f>
        <v>102.7463221864311</v>
      </c>
      <c r="P40" s="261">
        <f>SUM(M40:N40)</f>
        <v>102.7463221864311</v>
      </c>
      <c r="Q40" s="202"/>
      <c r="R40" s="244"/>
      <c r="S40" s="256"/>
    </row>
    <row r="41" spans="1:19" s="48" customFormat="1">
      <c r="A41" s="388">
        <f>'Tab 4 Adjustment Details'!AI$10</f>
        <v>3.0599999999999987</v>
      </c>
      <c r="B41" s="54" t="str">
        <f>TRIM(CONCATENATE('Tab 4 Adjustment Details'!AI$7," ",'Tab 4 Adjustment Details'!AI$8," ",'Tab 4 Adjustment Details'!AI$9))</f>
        <v>Pro Forma Property Tax</v>
      </c>
      <c r="C41" s="55"/>
      <c r="D41" s="57">
        <v>0</v>
      </c>
      <c r="E41" s="57">
        <v>0</v>
      </c>
      <c r="F41" s="55"/>
      <c r="G41" s="57">
        <f>'Tab 4 Adjustment Details'!AI$57</f>
        <v>-1597.7</v>
      </c>
      <c r="H41" s="57">
        <f>'Tab 4 Adjustment Details'!AI$82</f>
        <v>0</v>
      </c>
      <c r="I41" s="64"/>
      <c r="J41" s="56">
        <f t="shared" si="25"/>
        <v>-1597.7</v>
      </c>
      <c r="K41" s="56">
        <f t="shared" si="26"/>
        <v>0</v>
      </c>
      <c r="L41" s="214"/>
      <c r="M41" s="201">
        <f t="shared" si="27"/>
        <v>2122.2727725567033</v>
      </c>
      <c r="N41" s="201">
        <f t="shared" si="28"/>
        <v>0</v>
      </c>
      <c r="O41" s="201">
        <f>(H41*$N$8/$M$8)-(G41/$M$8)</f>
        <v>2122.2727725567033</v>
      </c>
      <c r="P41" s="261">
        <f>SUM(M41:N41)</f>
        <v>2122.2727725567033</v>
      </c>
      <c r="Q41" s="39"/>
      <c r="R41" s="242"/>
      <c r="S41" s="256"/>
    </row>
    <row r="42" spans="1:19" s="48" customFormat="1">
      <c r="A42" s="388">
        <f>'Tab 4 Adjustment Details'!AJ$10</f>
        <v>3.0699999999999985</v>
      </c>
      <c r="B42" s="54" t="str">
        <f>TRIM(CONCATENATE('Tab 4 Adjustment Details'!AJ$7," ",'Tab 4 Adjustment Details'!AJ$8," ",'Tab 4 Adjustment Details'!AJ$9))</f>
        <v>Pro Forma IS/IT Expense</v>
      </c>
      <c r="C42" s="55"/>
      <c r="D42" s="57">
        <v>0</v>
      </c>
      <c r="E42" s="57">
        <v>0</v>
      </c>
      <c r="F42" s="55"/>
      <c r="G42" s="57">
        <f>'Tab 4 Adjustment Details'!AJ$57</f>
        <v>-451.1</v>
      </c>
      <c r="H42" s="57">
        <f>'Tab 4 Adjustment Details'!AJ$82</f>
        <v>0</v>
      </c>
      <c r="I42" s="64"/>
      <c r="J42" s="56">
        <f t="shared" ref="J42" si="31">G42-D42</f>
        <v>-451.1</v>
      </c>
      <c r="K42" s="56">
        <f t="shared" ref="K42" si="32">H42-E42</f>
        <v>0</v>
      </c>
      <c r="L42" s="214"/>
      <c r="M42" s="201">
        <f t="shared" ref="M42" si="33">J42/$M$8*-1</f>
        <v>599.20964367548902</v>
      </c>
      <c r="N42" s="201">
        <f t="shared" ref="N42" si="34">K42*$N$8/$M$8</f>
        <v>0</v>
      </c>
      <c r="O42" s="201">
        <f>(H42*$N$8/$M$8)-(G42/$M$8)</f>
        <v>599.20964367548902</v>
      </c>
      <c r="P42" s="261">
        <f>SUM(M42:N42)</f>
        <v>599.20964367548902</v>
      </c>
      <c r="Q42" s="39"/>
      <c r="R42" s="242"/>
      <c r="S42" s="256"/>
    </row>
    <row r="43" spans="1:19" s="163" customFormat="1" ht="11.25" customHeight="1">
      <c r="A43" s="390">
        <f>'Tab 4 Adjustment Details'!AK$10</f>
        <v>3.0799999999999983</v>
      </c>
      <c r="B43" s="167" t="str">
        <f>TRIM(CONCATENATE('Tab 4 Adjustment Details'!AK$7," ",'Tab 4 Adjustment Details'!AK$8," ",'Tab 4 Adjustment Details'!AK$9))</f>
        <v>Pro Forma Revenue Normalization</v>
      </c>
      <c r="C43" s="168"/>
      <c r="D43" s="57">
        <v>0</v>
      </c>
      <c r="E43" s="57">
        <v>0</v>
      </c>
      <c r="F43" s="168"/>
      <c r="G43" s="170">
        <f>'Tab 4 Adjustment Details'!AK$57</f>
        <v>-3285.75</v>
      </c>
      <c r="H43" s="170">
        <f>'Tab 4 Adjustment Details'!AK$82</f>
        <v>0</v>
      </c>
      <c r="I43" s="200"/>
      <c r="J43" s="56">
        <f t="shared" si="25"/>
        <v>-3285.75</v>
      </c>
      <c r="K43" s="56">
        <f t="shared" si="26"/>
        <v>0</v>
      </c>
      <c r="L43" s="43"/>
      <c r="M43" s="201">
        <f t="shared" si="27"/>
        <v>4364.5601567429349</v>
      </c>
      <c r="N43" s="201">
        <f t="shared" si="28"/>
        <v>0</v>
      </c>
      <c r="O43" s="201">
        <f t="shared" ref="O43" si="35">(H43*$N$8/$M$8)-(G43/$M$8)</f>
        <v>4364.5601567429349</v>
      </c>
      <c r="P43" s="261">
        <f t="shared" ref="P43" si="36">SUM(M43:N43)</f>
        <v>4364.5601567429349</v>
      </c>
      <c r="Q43" s="202"/>
      <c r="R43" s="181"/>
      <c r="S43" s="256"/>
    </row>
    <row r="44" spans="1:19">
      <c r="A44" s="388">
        <f>'Tab 4 Adjustment Details'!AL$10</f>
        <v>3.0899999999999981</v>
      </c>
      <c r="B44" s="54" t="str">
        <f>TRIM(CONCATENATE('Tab 4 Adjustment Details'!AL$7," ",'Tab 4 Adjustment Details'!AL$8," ",'Tab 4 Adjustment Details'!AL$9))</f>
        <v>Pro Forma Def. Debits, Credits &amp; Regulatory Amorts</v>
      </c>
      <c r="C44" s="55"/>
      <c r="D44" s="57">
        <v>0</v>
      </c>
      <c r="E44" s="57">
        <v>0</v>
      </c>
      <c r="F44" s="55"/>
      <c r="G44" s="57">
        <f>'Tab 4 Adjustment Details'!AL$57</f>
        <v>1016.5045200000001</v>
      </c>
      <c r="H44" s="57">
        <f>'Tab 4 Adjustment Details'!AL$82</f>
        <v>-5346</v>
      </c>
      <c r="I44" s="64"/>
      <c r="J44" s="56">
        <f>G44-D44</f>
        <v>1016.5045200000001</v>
      </c>
      <c r="K44" s="56">
        <f>H44-E44</f>
        <v>-5346</v>
      </c>
      <c r="M44" s="201">
        <f>J44/$M$8*-1</f>
        <v>-1350.2534055059277</v>
      </c>
      <c r="N44" s="201">
        <f>K44*$N$8/$M$8</f>
        <v>-502.76863812971146</v>
      </c>
      <c r="O44" s="201">
        <f>(H44*$N$8/$M$8)-(G44/$M$8)</f>
        <v>-1853.0220436356392</v>
      </c>
      <c r="P44" s="261">
        <f>SUM(M44:N44)</f>
        <v>-1853.0220436356392</v>
      </c>
      <c r="Q44" s="202"/>
      <c r="R44" s="241"/>
      <c r="S44" s="259"/>
    </row>
    <row r="45" spans="1:19">
      <c r="A45" s="615">
        <f>'Tab 4 Adjustment Details'!AM$10</f>
        <v>3.0999999999999979</v>
      </c>
      <c r="B45" s="477" t="str">
        <f>TRIM(CONCATENATE('Tab 4 Adjustment Details'!AM$7," ",'Tab 4 Adjustment Details'!AM$8," ",'Tab 4 Adjustment Details'!AM$9))</f>
        <v>Pro Forma 2017 Threshhold Capital Adds</v>
      </c>
      <c r="C45" s="191"/>
      <c r="D45" s="57">
        <v>0</v>
      </c>
      <c r="E45" s="57">
        <v>0</v>
      </c>
      <c r="F45" s="140"/>
      <c r="G45" s="114">
        <f>'Tab 4 Adjustment Details'!AM$57</f>
        <v>-31.65224628694844</v>
      </c>
      <c r="H45" s="114">
        <f>'Tab 4 Adjustment Details'!AM$82</f>
        <v>5564.7925067219157</v>
      </c>
      <c r="I45" s="64"/>
      <c r="J45" s="56">
        <f t="shared" si="25"/>
        <v>-31.65224628694844</v>
      </c>
      <c r="K45" s="56">
        <f t="shared" si="26"/>
        <v>5564.7925067219157</v>
      </c>
      <c r="L45" s="31"/>
      <c r="M45" s="201">
        <f t="shared" si="27"/>
        <v>42.044626954403007</v>
      </c>
      <c r="N45" s="201">
        <f t="shared" si="28"/>
        <v>523.34514591825678</v>
      </c>
      <c r="O45" s="201">
        <f t="shared" si="29"/>
        <v>565.38977287265982</v>
      </c>
      <c r="P45" s="261">
        <f t="shared" si="30"/>
        <v>565.38977287265982</v>
      </c>
      <c r="R45" s="181"/>
      <c r="S45" s="256"/>
    </row>
    <row r="46" spans="1:19">
      <c r="A46" s="615">
        <f>'Tab 4 Adjustment Details'!AN$10</f>
        <v>3.1099999999999977</v>
      </c>
      <c r="B46" s="477" t="str">
        <f>TRIM(CONCATENATE('Tab 4 Adjustment Details'!AN$7," ",'Tab 4 Adjustment Details'!AN$8," ",'Tab 4 Adjustment Details'!AN$9))</f>
        <v>Pro Forma O&amp;M Offsets</v>
      </c>
      <c r="C46" s="191"/>
      <c r="D46" s="57">
        <v>0</v>
      </c>
      <c r="E46" s="57">
        <v>0</v>
      </c>
      <c r="F46" s="140"/>
      <c r="G46" s="114">
        <f>'Tab 4 Adjustment Details'!AN$57</f>
        <v>641.54999999999995</v>
      </c>
      <c r="H46" s="114">
        <f>'Tab 4 Adjustment Details'!AN$82</f>
        <v>0</v>
      </c>
      <c r="I46" s="64"/>
      <c r="J46" s="56">
        <f t="shared" si="25"/>
        <v>641.54999999999995</v>
      </c>
      <c r="K46" s="56">
        <f t="shared" si="26"/>
        <v>0</v>
      </c>
      <c r="L46" s="28"/>
      <c r="M46" s="201">
        <f t="shared" si="27"/>
        <v>-852.19008401686972</v>
      </c>
      <c r="N46" s="201">
        <f t="shared" si="28"/>
        <v>0</v>
      </c>
      <c r="O46" s="201">
        <f t="shared" ref="O46" si="37">(H46*$N$8/$M$8)-(G46/$M$8)</f>
        <v>-852.19008401686972</v>
      </c>
      <c r="P46" s="261">
        <f t="shared" ref="P46" si="38">SUM(M46:N46)</f>
        <v>-852.19008401686972</v>
      </c>
      <c r="Q46" s="266"/>
      <c r="R46" s="241"/>
      <c r="S46" s="259"/>
    </row>
    <row r="47" spans="1:19">
      <c r="A47" s="615">
        <f>'Tab 4 Adjustment Details'!AO$10</f>
        <v>3.1199999999999974</v>
      </c>
      <c r="B47" s="477" t="str">
        <f>TRIM(CONCATENATE('Tab 4 Adjustment Details'!AO$7," ",'Tab 4 Adjustment Details'!AO$8," ",'Tab 4 Adjustment Details'!AO$9))</f>
        <v>Pro Forma Director Fees Exp</v>
      </c>
      <c r="C47" s="191"/>
      <c r="D47" s="57">
        <v>0</v>
      </c>
      <c r="E47" s="57">
        <v>0</v>
      </c>
      <c r="F47" s="140"/>
      <c r="G47" s="114">
        <f>'Tab 4 Adjustment Details'!AO$57</f>
        <v>0</v>
      </c>
      <c r="H47" s="114">
        <f>'Tab 4 Adjustment Details'!AO$82</f>
        <v>0</v>
      </c>
      <c r="I47" s="64"/>
      <c r="J47" s="56">
        <f t="shared" ref="J47:J48" si="39">G47-D47</f>
        <v>0</v>
      </c>
      <c r="K47" s="56">
        <f t="shared" ref="K47:K48" si="40">H47-E47</f>
        <v>0</v>
      </c>
      <c r="L47" s="28"/>
      <c r="M47" s="201">
        <f t="shared" ref="M47:M48" si="41">J47/$M$8*-1</f>
        <v>0</v>
      </c>
      <c r="N47" s="201">
        <f t="shared" ref="N47:N48" si="42">K47*$N$8/$M$8</f>
        <v>0</v>
      </c>
      <c r="O47" s="201">
        <f t="shared" ref="O47:O48" si="43">(H47*$N$8/$M$8)-(G47/$M$8)</f>
        <v>0</v>
      </c>
      <c r="P47" s="261">
        <f t="shared" ref="P47:P48" si="44">SUM(M47:N47)</f>
        <v>0</v>
      </c>
      <c r="Q47" s="266"/>
      <c r="R47" s="241"/>
      <c r="S47" s="259"/>
    </row>
    <row r="48" spans="1:19">
      <c r="A48" s="615">
        <f>'Tab 4 Adjustment Details'!AP$10</f>
        <v>3.1299999999999972</v>
      </c>
      <c r="B48" s="477" t="str">
        <f>TRIM(CONCATENATE('Tab 4 Adjustment Details'!AP$7," ",'Tab 4 Adjustment Details'!AP$8," ",'Tab 4 Adjustment Details'!AP$9))</f>
        <v>PF Normalize CS2/Colstrip Major Maint</v>
      </c>
      <c r="C48" s="191"/>
      <c r="D48" s="57">
        <v>0</v>
      </c>
      <c r="E48" s="57">
        <v>0</v>
      </c>
      <c r="F48" s="140"/>
      <c r="G48" s="114">
        <f>'Tab 4 Adjustment Details'!AP$57</f>
        <v>-225.55</v>
      </c>
      <c r="H48" s="114">
        <f>'Tab 4 Adjustment Details'!AP$82</f>
        <v>0</v>
      </c>
      <c r="I48" s="64"/>
      <c r="J48" s="56">
        <f t="shared" si="39"/>
        <v>-225.55</v>
      </c>
      <c r="K48" s="56">
        <f t="shared" si="40"/>
        <v>0</v>
      </c>
      <c r="L48" s="28"/>
      <c r="M48" s="201">
        <f t="shared" si="41"/>
        <v>299.60482183774451</v>
      </c>
      <c r="N48" s="201">
        <f t="shared" si="42"/>
        <v>0</v>
      </c>
      <c r="O48" s="201">
        <f t="shared" si="43"/>
        <v>299.60482183774451</v>
      </c>
      <c r="P48" s="261">
        <f t="shared" si="44"/>
        <v>299.60482183774451</v>
      </c>
      <c r="Q48" s="266"/>
      <c r="R48" s="241"/>
      <c r="S48" s="259"/>
    </row>
    <row r="49" spans="1:23">
      <c r="A49" s="615">
        <f>'Tab 4 Adjustment Details'!AQ$10</f>
        <v>3.139999999999997</v>
      </c>
      <c r="B49" s="477" t="str">
        <f>TRIM(CONCATENATE('Tab 4 Adjustment Details'!AQ$7," ",'Tab 4 Adjustment Details'!AQ$8," ",'Tab 4 Adjustment Details'!AQ$9))</f>
        <v>Pro Forma Underground Equip Inspection</v>
      </c>
      <c r="C49" s="191"/>
      <c r="D49" s="57">
        <v>0</v>
      </c>
      <c r="E49" s="57">
        <v>0</v>
      </c>
      <c r="F49" s="140"/>
      <c r="G49" s="114">
        <f>'Tab 4 Adjustment Details'!AQ$57</f>
        <v>-345.8</v>
      </c>
      <c r="H49" s="114">
        <f>'Tab 4 Adjustment Details'!AQ$82</f>
        <v>0</v>
      </c>
      <c r="I49" s="64"/>
      <c r="J49" s="56">
        <f t="shared" ref="J49" si="45">G49-D49</f>
        <v>-345.8</v>
      </c>
      <c r="K49" s="56">
        <f t="shared" ref="K49" si="46">H49-E49</f>
        <v>0</v>
      </c>
      <c r="L49" s="28"/>
      <c r="M49" s="201">
        <f t="shared" ref="M49" si="47">J49/$M$8*-1</f>
        <v>459.33649918639793</v>
      </c>
      <c r="N49" s="201">
        <f t="shared" ref="N49" si="48">K49*$N$8/$M$8</f>
        <v>0</v>
      </c>
      <c r="O49" s="201">
        <f t="shared" ref="O49" si="49">(H49*$N$8/$M$8)-(G49/$M$8)</f>
        <v>459.33649918639793</v>
      </c>
      <c r="P49" s="261">
        <f t="shared" ref="P49" si="50">SUM(M49:N49)</f>
        <v>459.33649918639793</v>
      </c>
      <c r="Q49" s="266"/>
      <c r="R49" s="241"/>
      <c r="S49" s="259"/>
    </row>
    <row r="50" spans="1:23">
      <c r="A50" s="388">
        <f>'Tab 4 Adjustment Details'!AS$10</f>
        <v>4</v>
      </c>
      <c r="B50" s="167" t="str">
        <f>TRIM(CONCATENATE('Tab 4 Adjustment Details'!AS$7," ",'Tab 4 Adjustment Details'!AS$8," ",'Tab 4 Adjustment Details'!AS$9))</f>
        <v>Pro Forma Power Supply &amp; Transm Revs</v>
      </c>
      <c r="C50" s="168"/>
      <c r="D50" s="57">
        <v>0</v>
      </c>
      <c r="E50" s="57">
        <v>0</v>
      </c>
      <c r="F50" s="55"/>
      <c r="G50" s="57">
        <f>'Tab 4 Adjustment Details'!AS$57</f>
        <v>0</v>
      </c>
      <c r="H50" s="57">
        <f>'Tab 4 Adjustment Details'!AS$82</f>
        <v>0</v>
      </c>
      <c r="I50" s="150"/>
      <c r="J50" s="56">
        <f>G50-D50</f>
        <v>0</v>
      </c>
      <c r="K50" s="56">
        <f>H50-E50</f>
        <v>0</v>
      </c>
      <c r="L50" s="30"/>
      <c r="M50" s="201">
        <f>J50/$M$8*-1</f>
        <v>0</v>
      </c>
      <c r="N50" s="201">
        <f>K50*$N$8/$M$8</f>
        <v>0</v>
      </c>
      <c r="O50" s="201">
        <f>(H50*$N$8/$M$8)-(G50/$M$8)</f>
        <v>0</v>
      </c>
      <c r="P50" s="261">
        <f t="shared" ref="P50" si="51">SUM(M50:N50)</f>
        <v>0</v>
      </c>
      <c r="Q50" s="202"/>
      <c r="R50" s="181"/>
      <c r="S50" s="256"/>
    </row>
    <row r="51" spans="1:23">
      <c r="A51" s="393"/>
      <c r="B51" s="100"/>
      <c r="C51" s="28"/>
      <c r="D51" s="28"/>
      <c r="E51" s="44"/>
      <c r="F51" s="44"/>
      <c r="G51" s="158"/>
      <c r="H51" s="158"/>
      <c r="I51" s="64"/>
      <c r="J51" s="37"/>
      <c r="K51" s="140"/>
      <c r="L51" s="30"/>
      <c r="N51" s="161"/>
      <c r="O51" s="161"/>
      <c r="R51" s="246"/>
      <c r="S51" s="259"/>
    </row>
    <row r="52" spans="1:23" ht="13.5" thickBot="1">
      <c r="A52" s="393"/>
      <c r="B52" s="28" t="s">
        <v>187</v>
      </c>
      <c r="C52" s="28"/>
      <c r="D52" s="192">
        <f>SUM(D34:D51)</f>
        <v>0</v>
      </c>
      <c r="E52" s="192">
        <f>SUM(E34:E51)</f>
        <v>0</v>
      </c>
      <c r="F52" s="44"/>
      <c r="G52" s="192">
        <f>SUM(G34:G51)</f>
        <v>102038.77267371307</v>
      </c>
      <c r="H52" s="471">
        <f>SUM(H34:H51)</f>
        <v>1442944.7925067218</v>
      </c>
      <c r="I52" s="62"/>
      <c r="J52" s="192">
        <f>SUM(J34:J51)</f>
        <v>102038.77267371307</v>
      </c>
      <c r="K52" s="192">
        <f>SUM(K34:K51)</f>
        <v>1442944.7925067218</v>
      </c>
      <c r="L52" s="30"/>
      <c r="M52" s="192">
        <f>SUM(M34:M51)</f>
        <v>-135541.15853447097</v>
      </c>
      <c r="N52" s="192">
        <f>SUM(N34:N51)</f>
        <v>135702.84104469951</v>
      </c>
      <c r="O52" s="125"/>
      <c r="P52" s="271">
        <f>SUM(P8:P43)+P31+SUM(P36:P46)</f>
        <v>7932.3378418129905</v>
      </c>
      <c r="Q52" s="261"/>
      <c r="S52" s="259"/>
      <c r="V52" s="695"/>
    </row>
    <row r="53" spans="1:23" ht="13.5" thickTop="1">
      <c r="A53" s="393"/>
      <c r="B53" s="28"/>
      <c r="C53" s="28"/>
      <c r="D53" s="125"/>
      <c r="E53" s="125"/>
      <c r="F53" s="44"/>
      <c r="G53" s="125"/>
      <c r="H53" s="746"/>
      <c r="I53" s="62"/>
      <c r="J53" s="125"/>
      <c r="K53" s="125"/>
      <c r="L53" s="735"/>
      <c r="M53" s="125"/>
      <c r="N53" s="125"/>
      <c r="O53" s="125"/>
      <c r="P53" s="271"/>
      <c r="Q53" s="261"/>
      <c r="S53" s="259"/>
      <c r="V53" s="695"/>
    </row>
    <row r="54" spans="1:23">
      <c r="A54" s="393"/>
      <c r="B54" s="28"/>
      <c r="C54" s="28"/>
      <c r="D54" s="125"/>
      <c r="E54" s="125"/>
      <c r="F54" s="44"/>
      <c r="G54" s="125"/>
      <c r="H54" s="746"/>
      <c r="I54" s="62"/>
      <c r="J54" s="125"/>
      <c r="K54" s="125"/>
      <c r="L54" s="735"/>
      <c r="M54" s="125"/>
      <c r="N54" s="125"/>
      <c r="O54" s="125"/>
      <c r="P54" s="271"/>
      <c r="Q54" s="261"/>
      <c r="S54" s="259"/>
      <c r="V54" s="695"/>
    </row>
    <row r="55" spans="1:23">
      <c r="A55" s="393"/>
      <c r="B55" s="28"/>
      <c r="C55" s="28"/>
      <c r="D55" s="28"/>
      <c r="E55" s="44"/>
      <c r="F55" s="125"/>
      <c r="G55" s="125"/>
      <c r="H55" s="62"/>
      <c r="I55" s="36"/>
      <c r="J55" s="190"/>
      <c r="K55" s="30"/>
      <c r="L55" s="28"/>
      <c r="M55" s="202"/>
      <c r="N55" s="232">
        <f>M52+N52</f>
        <v>161.68251022853656</v>
      </c>
      <c r="O55" s="232"/>
      <c r="Q55" s="39"/>
      <c r="S55" s="152"/>
      <c r="V55" s="39"/>
      <c r="W55" s="39"/>
    </row>
    <row r="56" spans="1:23">
      <c r="A56" s="393"/>
      <c r="B56" s="28"/>
      <c r="C56" s="28"/>
      <c r="D56" s="28"/>
      <c r="E56" s="44"/>
      <c r="F56" s="125"/>
      <c r="G56" s="125"/>
      <c r="H56" s="62"/>
      <c r="I56" s="36"/>
      <c r="J56" s="190"/>
      <c r="K56" s="30"/>
      <c r="L56" s="160"/>
      <c r="M56" s="203" t="s">
        <v>735</v>
      </c>
      <c r="N56" s="270"/>
      <c r="O56" s="232"/>
      <c r="P56" s="271"/>
      <c r="Q56" s="39"/>
      <c r="S56" s="252"/>
      <c r="T56" s="39"/>
      <c r="V56" s="153"/>
    </row>
    <row r="57" spans="1:23" ht="13.5" thickBot="1">
      <c r="A57" s="393"/>
      <c r="B57" s="28"/>
      <c r="C57" s="28"/>
      <c r="D57" s="28"/>
      <c r="E57" s="44"/>
      <c r="F57" s="125"/>
      <c r="G57" s="125"/>
      <c r="H57" s="62"/>
      <c r="I57" s="36"/>
      <c r="J57" s="190"/>
      <c r="K57" s="30"/>
      <c r="M57" s="203" t="s">
        <v>263</v>
      </c>
      <c r="N57" s="233">
        <f>SUM(N55:N56)</f>
        <v>161.68251022853656</v>
      </c>
      <c r="O57" s="268"/>
      <c r="S57" s="253"/>
    </row>
    <row r="58" spans="1:23" ht="13.5" thickTop="1">
      <c r="A58" s="393"/>
      <c r="B58" s="152"/>
      <c r="C58" s="28"/>
      <c r="D58" s="28"/>
      <c r="E58" s="44"/>
      <c r="F58" s="125"/>
      <c r="G58" s="125"/>
      <c r="H58" s="62"/>
      <c r="I58" s="36"/>
      <c r="J58" s="190"/>
      <c r="K58" s="30"/>
      <c r="M58" s="204" t="s">
        <v>264</v>
      </c>
      <c r="N58" s="643"/>
      <c r="O58" s="205"/>
      <c r="Q58" s="39"/>
      <c r="S58" s="249"/>
    </row>
    <row r="59" spans="1:23" ht="13.5" thickBot="1">
      <c r="A59" s="393"/>
      <c r="B59" s="28"/>
      <c r="C59" s="28"/>
      <c r="D59" s="28"/>
      <c r="E59" s="44"/>
      <c r="F59" s="131"/>
      <c r="G59" s="125"/>
      <c r="H59" s="62"/>
      <c r="I59" s="36"/>
      <c r="J59" s="190"/>
      <c r="K59" s="31"/>
      <c r="L59" s="28"/>
      <c r="M59" s="206" t="s">
        <v>265</v>
      </c>
      <c r="N59" s="207">
        <f>N58+N57</f>
        <v>161.68251022853656</v>
      </c>
      <c r="O59" s="269"/>
      <c r="P59" s="261"/>
      <c r="S59" s="152"/>
    </row>
    <row r="60" spans="1:23" s="28" customFormat="1" ht="13.5" hidden="1" thickTop="1">
      <c r="A60" s="385"/>
      <c r="B60" s="26"/>
      <c r="C60" s="26"/>
      <c r="D60" s="30" t="e">
        <f>#REF!</f>
        <v>#REF!</v>
      </c>
      <c r="E60" s="26"/>
      <c r="G60" s="26"/>
      <c r="H60" s="58"/>
      <c r="J60" s="140"/>
      <c r="K60" s="31"/>
      <c r="P60" s="262"/>
      <c r="R60" s="110"/>
      <c r="S60" s="152"/>
    </row>
    <row r="61" spans="1:23" s="28" customFormat="1" ht="13.5" hidden="1" thickTop="1">
      <c r="A61" s="394"/>
      <c r="B61" s="26"/>
      <c r="C61" s="26"/>
      <c r="D61" s="30"/>
      <c r="E61" s="26"/>
      <c r="F61" s="26"/>
      <c r="G61" s="26"/>
      <c r="H61" s="58"/>
      <c r="I61" s="37"/>
      <c r="J61" s="140"/>
      <c r="K61" s="31"/>
      <c r="P61" s="262"/>
      <c r="R61" s="110"/>
      <c r="S61" s="152"/>
    </row>
    <row r="62" spans="1:23" s="28" customFormat="1" ht="13.5" hidden="1" thickTop="1">
      <c r="A62" s="394"/>
      <c r="B62" s="26"/>
      <c r="C62" s="26"/>
      <c r="D62" s="30" t="s">
        <v>77</v>
      </c>
      <c r="E62" s="26"/>
      <c r="F62" s="26"/>
      <c r="G62" s="26"/>
      <c r="H62" s="58"/>
      <c r="I62" s="37"/>
      <c r="J62" s="140"/>
      <c r="K62" s="31"/>
      <c r="P62" s="262"/>
      <c r="R62" s="110"/>
      <c r="S62" s="152"/>
    </row>
    <row r="63" spans="1:23" s="28" customFormat="1" ht="13.5" hidden="1" thickTop="1">
      <c r="A63" s="394"/>
      <c r="B63" s="26"/>
      <c r="C63" s="26"/>
      <c r="D63" s="30" t="s">
        <v>85</v>
      </c>
      <c r="E63" s="26"/>
      <c r="F63" s="26"/>
      <c r="G63" s="26"/>
      <c r="H63" s="58"/>
      <c r="I63" s="37"/>
      <c r="J63" s="140"/>
      <c r="K63" s="31"/>
      <c r="P63" s="262"/>
      <c r="R63" s="110"/>
      <c r="S63" s="152"/>
    </row>
    <row r="64" spans="1:23" s="28" customFormat="1" ht="13.5" hidden="1" thickTop="1">
      <c r="A64" s="385"/>
      <c r="B64" s="26"/>
      <c r="C64" s="26"/>
      <c r="D64" s="47" t="e">
        <f>#REF!</f>
        <v>#REF!</v>
      </c>
      <c r="E64" s="26"/>
      <c r="F64" s="26"/>
      <c r="G64" s="169"/>
      <c r="H64" s="171"/>
      <c r="I64" s="37"/>
      <c r="J64" s="140"/>
      <c r="K64" s="30"/>
      <c r="L64" s="26"/>
      <c r="M64" s="26"/>
      <c r="N64" s="26"/>
      <c r="O64" s="26"/>
      <c r="P64" s="262"/>
      <c r="R64" s="110"/>
      <c r="S64" s="152"/>
    </row>
    <row r="65" spans="1:19" ht="13.5" hidden="1" thickTop="1">
      <c r="I65" s="28"/>
      <c r="J65" s="140"/>
      <c r="K65" s="30"/>
      <c r="S65" s="152"/>
    </row>
    <row r="66" spans="1:19" ht="13.5" hidden="1" thickTop="1">
      <c r="I66" s="28"/>
      <c r="J66" s="140"/>
      <c r="K66" s="30"/>
      <c r="S66" s="152"/>
    </row>
    <row r="67" spans="1:19" ht="13.5" hidden="1" thickTop="1">
      <c r="F67" s="33"/>
      <c r="G67" s="34" t="s">
        <v>85</v>
      </c>
      <c r="I67" s="28"/>
      <c r="J67" s="140"/>
      <c r="K67" s="30"/>
      <c r="S67" s="152"/>
    </row>
    <row r="68" spans="1:19" ht="13.5" hidden="1" thickTop="1">
      <c r="A68" s="386" t="s">
        <v>79</v>
      </c>
      <c r="B68" s="34" t="s">
        <v>80</v>
      </c>
      <c r="C68" s="30"/>
      <c r="D68" s="30"/>
      <c r="F68" s="34" t="s">
        <v>81</v>
      </c>
      <c r="G68" s="34" t="s">
        <v>24</v>
      </c>
      <c r="H68" s="65" t="s">
        <v>82</v>
      </c>
      <c r="I68" s="28"/>
      <c r="J68" s="140"/>
      <c r="K68" s="30"/>
      <c r="S68" s="152"/>
    </row>
    <row r="69" spans="1:19" ht="13.5" hidden="1" thickTop="1">
      <c r="A69" s="388" t="e">
        <f>#REF!</f>
        <v>#REF!</v>
      </c>
      <c r="B69" s="167" t="e">
        <f>TRIM(CONCATENATE(#REF!," ",#REF!," ",#REF!))</f>
        <v>#REF!</v>
      </c>
      <c r="C69" s="174"/>
      <c r="D69" s="174"/>
      <c r="E69" s="174"/>
      <c r="F69" s="183" t="e">
        <f>#REF!</f>
        <v>#REF!</v>
      </c>
      <c r="G69" s="183" t="e">
        <f>#REF!</f>
        <v>#REF!</v>
      </c>
      <c r="H69" s="182"/>
      <c r="I69" s="28"/>
      <c r="J69" s="140"/>
      <c r="K69" s="214"/>
      <c r="L69" s="48"/>
      <c r="M69" s="48"/>
      <c r="N69" s="48"/>
      <c r="O69" s="48"/>
      <c r="S69" s="152"/>
    </row>
    <row r="70" spans="1:19" s="48" customFormat="1" ht="13.5" hidden="1" thickTop="1">
      <c r="A70" s="388" t="e">
        <f>#REF!</f>
        <v>#REF!</v>
      </c>
      <c r="B70" s="54" t="e">
        <f>TRIM(CONCATENATE(#REF!," ",#REF!," ",#REF!))</f>
        <v>#REF!</v>
      </c>
      <c r="F70" s="57" t="e">
        <f>#REF!</f>
        <v>#REF!</v>
      </c>
      <c r="G70" s="57" t="e">
        <f>#REF!</f>
        <v>#REF!</v>
      </c>
      <c r="H70" s="58"/>
      <c r="I70" s="50"/>
      <c r="J70" s="140"/>
      <c r="K70" s="214"/>
      <c r="P70" s="260"/>
      <c r="R70" s="242"/>
      <c r="S70" s="250"/>
    </row>
    <row r="71" spans="1:19" s="48" customFormat="1" ht="13.5" hidden="1" thickTop="1">
      <c r="A71" s="388" t="e">
        <f>#REF!</f>
        <v>#REF!</v>
      </c>
      <c r="B71" s="54" t="e">
        <f>TRIM(CONCATENATE(#REF!," ",#REF!," ",#REF!))</f>
        <v>#REF!</v>
      </c>
      <c r="F71" s="57" t="e">
        <f>#REF!</f>
        <v>#REF!</v>
      </c>
      <c r="G71" s="57" t="e">
        <f>#REF!</f>
        <v>#REF!</v>
      </c>
      <c r="H71" s="58"/>
      <c r="I71" s="50"/>
      <c r="J71" s="140"/>
      <c r="K71" s="214"/>
      <c r="P71" s="260"/>
      <c r="R71" s="242"/>
      <c r="S71" s="250"/>
    </row>
    <row r="72" spans="1:19" s="48" customFormat="1" ht="13.5" hidden="1" thickTop="1">
      <c r="A72" s="388" t="e">
        <f>#REF!</f>
        <v>#REF!</v>
      </c>
      <c r="B72" s="54" t="e">
        <f>TRIM(CONCATENATE(#REF!," ",#REF!," ",#REF!))</f>
        <v>#REF!</v>
      </c>
      <c r="F72" s="57" t="e">
        <f>#REF!</f>
        <v>#REF!</v>
      </c>
      <c r="G72" s="57" t="e">
        <f>#REF!</f>
        <v>#REF!</v>
      </c>
      <c r="H72" s="58"/>
      <c r="I72" s="51"/>
      <c r="J72" s="140"/>
      <c r="K72" s="214"/>
      <c r="P72" s="260"/>
      <c r="R72" s="242"/>
      <c r="S72" s="250"/>
    </row>
    <row r="73" spans="1:19" s="48" customFormat="1" ht="13.5" hidden="1" thickTop="1">
      <c r="A73" s="388" t="e">
        <f>#REF!</f>
        <v>#REF!</v>
      </c>
      <c r="B73" s="54" t="e">
        <f>TRIM(CONCATENATE(#REF!," ",#REF!," ",#REF!))</f>
        <v>#REF!</v>
      </c>
      <c r="F73" s="57" t="e">
        <f>#REF!</f>
        <v>#REF!</v>
      </c>
      <c r="G73" s="57" t="e">
        <f>#REF!</f>
        <v>#REF!</v>
      </c>
      <c r="H73" s="58"/>
      <c r="I73" s="51"/>
      <c r="J73" s="189"/>
      <c r="K73" s="214"/>
      <c r="P73" s="260"/>
      <c r="R73" s="242"/>
      <c r="S73" s="250"/>
    </row>
    <row r="74" spans="1:19" s="48" customFormat="1" ht="13.5" hidden="1" thickTop="1">
      <c r="A74" s="388" t="e">
        <f>#REF!</f>
        <v>#REF!</v>
      </c>
      <c r="B74" s="54" t="e">
        <f>TRIM(CONCATENATE(#REF!," ",#REF!," ",#REF!))</f>
        <v>#REF!</v>
      </c>
      <c r="F74" s="57" t="e">
        <f>#REF!</f>
        <v>#REF!</v>
      </c>
      <c r="G74" s="57" t="e">
        <f>#REF!</f>
        <v>#REF!</v>
      </c>
      <c r="H74" s="58"/>
      <c r="I74" s="52"/>
      <c r="J74" s="140"/>
      <c r="K74" s="214"/>
      <c r="P74" s="260"/>
      <c r="R74" s="242"/>
      <c r="S74" s="250"/>
    </row>
    <row r="75" spans="1:19" s="48" customFormat="1" ht="13.5" hidden="1" thickTop="1">
      <c r="A75" s="388" t="e">
        <f>#REF!</f>
        <v>#REF!</v>
      </c>
      <c r="B75" s="54" t="e">
        <f>TRIM(CONCATENATE(#REF!," ",#REF!," ",#REF!))</f>
        <v>#REF!</v>
      </c>
      <c r="F75" s="57" t="e">
        <f>#REF!</f>
        <v>#REF!</v>
      </c>
      <c r="G75" s="57" t="e">
        <f>#REF!</f>
        <v>#REF!</v>
      </c>
      <c r="I75" s="53"/>
      <c r="J75" s="140"/>
      <c r="K75" s="214"/>
      <c r="P75" s="260"/>
      <c r="R75" s="242"/>
      <c r="S75" s="250"/>
    </row>
    <row r="76" spans="1:19" s="48" customFormat="1" ht="13.5" hidden="1" thickTop="1">
      <c r="A76" s="388" t="e">
        <f>#REF!</f>
        <v>#REF!</v>
      </c>
      <c r="B76" s="54" t="e">
        <f>TRIM(CONCATENATE(#REF!," ",#REF!," ",#REF!))</f>
        <v>#REF!</v>
      </c>
      <c r="F76" s="57" t="e">
        <f>#REF!</f>
        <v>#REF!</v>
      </c>
      <c r="G76" s="57" t="e">
        <f>#REF!</f>
        <v>#REF!</v>
      </c>
      <c r="H76" s="58"/>
      <c r="I76" s="53"/>
      <c r="J76" s="140"/>
      <c r="K76" s="214"/>
      <c r="P76" s="260"/>
      <c r="R76" s="242"/>
      <c r="S76" s="250"/>
    </row>
    <row r="77" spans="1:19" s="48" customFormat="1" ht="13.5" hidden="1" thickTop="1">
      <c r="A77" s="388"/>
      <c r="B77" s="54"/>
      <c r="F77" s="57"/>
      <c r="G77" s="57"/>
      <c r="H77" s="58"/>
      <c r="I77" s="53"/>
      <c r="J77" s="140"/>
      <c r="K77" s="214"/>
      <c r="P77" s="260"/>
      <c r="R77" s="242"/>
      <c r="S77" s="250"/>
    </row>
    <row r="78" spans="1:19" s="48" customFormat="1" ht="13.5" hidden="1" thickTop="1">
      <c r="A78" s="388"/>
      <c r="B78" s="54"/>
      <c r="F78" s="57"/>
      <c r="G78" s="57"/>
      <c r="H78" s="58"/>
      <c r="I78" s="53"/>
      <c r="J78" s="140"/>
      <c r="K78" s="30"/>
      <c r="L78" s="26"/>
      <c r="M78" s="26"/>
      <c r="N78" s="26"/>
      <c r="O78" s="26"/>
      <c r="P78" s="260"/>
      <c r="R78" s="242"/>
      <c r="S78" s="250"/>
    </row>
    <row r="79" spans="1:19" ht="13.5" hidden="1" thickTop="1">
      <c r="B79" s="26" t="s">
        <v>83</v>
      </c>
      <c r="F79" s="40" t="e">
        <f>SUM(F69:F78)</f>
        <v>#REF!</v>
      </c>
      <c r="G79" s="40" t="e">
        <f>SUM(G69:G78)</f>
        <v>#REF!</v>
      </c>
      <c r="H79" s="61" t="e">
        <f>F79/G79</f>
        <v>#REF!</v>
      </c>
      <c r="I79" s="37"/>
      <c r="J79" s="140"/>
      <c r="K79" s="30"/>
      <c r="S79" s="152"/>
    </row>
    <row r="80" spans="1:19" ht="13.5" hidden="1" thickTop="1">
      <c r="A80" s="393"/>
      <c r="F80" s="41"/>
      <c r="G80" s="41"/>
      <c r="I80" s="37"/>
      <c r="J80" s="140"/>
      <c r="K80" s="214"/>
      <c r="L80" s="48"/>
      <c r="M80" s="48"/>
      <c r="N80" s="48"/>
      <c r="O80" s="48"/>
      <c r="S80" s="152"/>
    </row>
    <row r="81" spans="1:19" s="48" customFormat="1" ht="13.5" hidden="1" thickTop="1">
      <c r="A81" s="388" t="e">
        <f>#REF!</f>
        <v>#REF!</v>
      </c>
      <c r="B81" s="54" t="e">
        <f>TRIM(CONCATENATE(#REF!," ",#REF!," ",#REF!))</f>
        <v>#REF!</v>
      </c>
      <c r="F81" s="57" t="e">
        <f>#REF!</f>
        <v>#REF!</v>
      </c>
      <c r="G81" s="57" t="e">
        <f>#REF!</f>
        <v>#REF!</v>
      </c>
      <c r="I81" s="53"/>
      <c r="J81" s="140"/>
      <c r="K81" s="214"/>
      <c r="P81" s="260"/>
      <c r="R81" s="242"/>
      <c r="S81" s="250"/>
    </row>
    <row r="82" spans="1:19" s="48" customFormat="1" ht="13.5" hidden="1" thickTop="1">
      <c r="A82" s="388" t="e">
        <f>#REF!</f>
        <v>#REF!</v>
      </c>
      <c r="B82" s="54" t="e">
        <f>TRIM(CONCATENATE(#REF!," ",#REF!," ",#REF!))</f>
        <v>#REF!</v>
      </c>
      <c r="C82" s="55"/>
      <c r="F82" s="57" t="e">
        <f>#REF!</f>
        <v>#REF!</v>
      </c>
      <c r="G82" s="57" t="e">
        <f>#REF!</f>
        <v>#REF!</v>
      </c>
      <c r="H82" s="58"/>
      <c r="I82" s="53"/>
      <c r="J82" s="140"/>
      <c r="K82" s="214"/>
      <c r="P82" s="260"/>
      <c r="R82" s="242"/>
      <c r="S82" s="250"/>
    </row>
    <row r="83" spans="1:19" s="48" customFormat="1" ht="13.5" hidden="1" thickTop="1">
      <c r="A83" s="388" t="e">
        <f>#REF!</f>
        <v>#REF!</v>
      </c>
      <c r="B83" s="54" t="e">
        <f>TRIM(CONCATENATE(#REF!," ",#REF!," ",#REF!))</f>
        <v>#REF!</v>
      </c>
      <c r="C83" s="55"/>
      <c r="F83" s="57" t="e">
        <f>#REF!</f>
        <v>#REF!</v>
      </c>
      <c r="G83" s="57" t="e">
        <f>#REF!</f>
        <v>#REF!</v>
      </c>
      <c r="H83" s="58"/>
      <c r="I83" s="53"/>
      <c r="J83" s="140"/>
      <c r="K83" s="214"/>
      <c r="P83" s="260"/>
      <c r="R83" s="242"/>
      <c r="S83" s="250"/>
    </row>
    <row r="84" spans="1:19" s="48" customFormat="1" ht="13.5" hidden="1" thickTop="1">
      <c r="A84" s="388" t="e">
        <f>#REF!</f>
        <v>#REF!</v>
      </c>
      <c r="B84" s="54" t="e">
        <f>TRIM(CONCATENATE(#REF!," ",#REF!," ",#REF!))</f>
        <v>#REF!</v>
      </c>
      <c r="C84" s="55"/>
      <c r="F84" s="57" t="e">
        <f>#REF!</f>
        <v>#REF!</v>
      </c>
      <c r="G84" s="57" t="e">
        <f>#REF!</f>
        <v>#REF!</v>
      </c>
      <c r="H84" s="58"/>
      <c r="I84" s="53"/>
      <c r="J84" s="190"/>
      <c r="K84" s="214"/>
      <c r="P84" s="260"/>
      <c r="R84" s="242"/>
      <c r="S84" s="250"/>
    </row>
    <row r="85" spans="1:19" s="48" customFormat="1" ht="13.5" hidden="1" thickTop="1">
      <c r="A85" s="388" t="e">
        <f>#REF!</f>
        <v>#REF!</v>
      </c>
      <c r="B85" s="54" t="e">
        <f>TRIM(CONCATENATE(#REF!," ",#REF!," ",#REF!))</f>
        <v>#REF!</v>
      </c>
      <c r="C85" s="55"/>
      <c r="F85" s="57" t="e">
        <f>#REF!</f>
        <v>#REF!</v>
      </c>
      <c r="G85" s="57" t="e">
        <f>#REF!</f>
        <v>#REF!</v>
      </c>
      <c r="H85" s="58"/>
      <c r="I85" s="53"/>
      <c r="J85" s="140"/>
      <c r="K85" s="214"/>
      <c r="P85" s="260"/>
      <c r="R85" s="242"/>
      <c r="S85" s="250"/>
    </row>
    <row r="86" spans="1:19" s="48" customFormat="1" ht="13.5" hidden="1" thickTop="1">
      <c r="A86" s="388" t="e">
        <f>#REF!</f>
        <v>#REF!</v>
      </c>
      <c r="B86" s="54" t="e">
        <f>TRIM(CONCATENATE(#REF!," ",#REF!," ",#REF!))</f>
        <v>#REF!</v>
      </c>
      <c r="C86" s="55"/>
      <c r="F86" s="57" t="e">
        <f>#REF!</f>
        <v>#REF!</v>
      </c>
      <c r="G86" s="57" t="e">
        <f>#REF!</f>
        <v>#REF!</v>
      </c>
      <c r="H86" s="58"/>
      <c r="I86" s="53"/>
      <c r="J86" s="140"/>
      <c r="K86" s="214"/>
      <c r="P86" s="260"/>
      <c r="R86" s="242"/>
      <c r="S86" s="250"/>
    </row>
    <row r="87" spans="1:19" s="48" customFormat="1" ht="13.5" hidden="1" thickTop="1">
      <c r="A87" s="388" t="e">
        <f>#REF!</f>
        <v>#REF!</v>
      </c>
      <c r="B87" s="54" t="e">
        <f>TRIM(CONCATENATE(#REF!," ",#REF!," ",#REF!))</f>
        <v>#REF!</v>
      </c>
      <c r="C87" s="55"/>
      <c r="F87" s="57" t="e">
        <f>#REF!</f>
        <v>#REF!</v>
      </c>
      <c r="G87" s="57" t="e">
        <f>#REF!</f>
        <v>#REF!</v>
      </c>
      <c r="H87" s="60"/>
      <c r="I87" s="53"/>
      <c r="J87" s="140"/>
      <c r="K87" s="214"/>
      <c r="P87" s="260"/>
      <c r="R87" s="242"/>
      <c r="S87" s="250"/>
    </row>
    <row r="88" spans="1:19" s="48" customFormat="1" ht="13.5" hidden="1" thickTop="1">
      <c r="A88" s="388" t="e">
        <f>#REF!</f>
        <v>#REF!</v>
      </c>
      <c r="B88" s="54" t="e">
        <f>TRIM(CONCATENATE(#REF!," ",#REF!," ",#REF!))</f>
        <v>#REF!</v>
      </c>
      <c r="C88" s="55"/>
      <c r="F88" s="57" t="e">
        <f>#REF!</f>
        <v>#REF!</v>
      </c>
      <c r="G88" s="57" t="e">
        <f>#REF!</f>
        <v>#REF!</v>
      </c>
      <c r="H88" s="60"/>
      <c r="I88" s="53"/>
      <c r="J88" s="140"/>
      <c r="K88" s="214"/>
      <c r="P88" s="260"/>
      <c r="R88" s="242"/>
      <c r="S88" s="250"/>
    </row>
    <row r="89" spans="1:19" s="48" customFormat="1" ht="13.5" hidden="1" thickTop="1">
      <c r="A89" s="388" t="e">
        <f>#REF!</f>
        <v>#REF!</v>
      </c>
      <c r="B89" s="54" t="e">
        <f>TRIM(CONCATENATE(#REF!," ",#REF!," ",#REF!))</f>
        <v>#REF!</v>
      </c>
      <c r="C89" s="55"/>
      <c r="F89" s="57" t="e">
        <f>#REF!</f>
        <v>#REF!</v>
      </c>
      <c r="G89" s="57" t="e">
        <f>#REF!</f>
        <v>#REF!</v>
      </c>
      <c r="H89" s="60"/>
      <c r="I89" s="53"/>
      <c r="J89" s="140"/>
      <c r="K89" s="217"/>
      <c r="L89" s="178"/>
      <c r="M89" s="178"/>
      <c r="N89" s="178"/>
      <c r="O89" s="178"/>
      <c r="P89" s="260"/>
      <c r="R89" s="242"/>
      <c r="S89" s="250"/>
    </row>
    <row r="90" spans="1:19" s="178" customFormat="1" ht="13.5" hidden="1" thickTop="1">
      <c r="A90" s="390" t="e">
        <f>#REF!</f>
        <v>#REF!</v>
      </c>
      <c r="B90" s="167" t="e">
        <f>TRIM(CONCATENATE(#REF!," ",#REF!," ",#REF!))</f>
        <v>#REF!</v>
      </c>
      <c r="C90" s="168"/>
      <c r="F90" s="170" t="e">
        <f>#REF!</f>
        <v>#REF!</v>
      </c>
      <c r="G90" s="170" t="e">
        <f>#REF!</f>
        <v>#REF!</v>
      </c>
      <c r="H90" s="179"/>
      <c r="I90" s="180"/>
      <c r="J90" s="191"/>
      <c r="K90" s="216"/>
      <c r="L90" s="112"/>
      <c r="M90" s="112"/>
      <c r="N90" s="112"/>
      <c r="O90" s="112"/>
      <c r="P90" s="260"/>
      <c r="R90" s="247"/>
      <c r="S90" s="250"/>
    </row>
    <row r="91" spans="1:19" s="112" customFormat="1" ht="13.5" hidden="1" thickTop="1">
      <c r="A91" s="388" t="e">
        <f>#REF!</f>
        <v>#REF!</v>
      </c>
      <c r="B91" s="54" t="e">
        <f>TRIM(CONCATENATE(#REF!," ",#REF!," ",#REF!))</f>
        <v>#REF!</v>
      </c>
      <c r="C91" s="55"/>
      <c r="D91" s="48"/>
      <c r="E91" s="48"/>
      <c r="F91" s="57" t="e">
        <f>#REF!</f>
        <v>#REF!</v>
      </c>
      <c r="G91" s="57" t="e">
        <f>#REF!</f>
        <v>#REF!</v>
      </c>
      <c r="H91" s="115"/>
      <c r="I91" s="113"/>
      <c r="J91" s="140"/>
      <c r="K91" s="30"/>
      <c r="L91" s="26"/>
      <c r="M91" s="26"/>
      <c r="N91" s="26"/>
      <c r="O91" s="26"/>
      <c r="P91" s="260"/>
      <c r="R91" s="245"/>
      <c r="S91" s="251"/>
    </row>
    <row r="92" spans="1:19" ht="12" hidden="1" customHeight="1">
      <c r="A92" s="388" t="e">
        <f>#REF!</f>
        <v>#REF!</v>
      </c>
      <c r="B92" s="54" t="e">
        <f>TRIM(CONCATENATE(#REF!," ",#REF!," ",#REF!))</f>
        <v>#REF!</v>
      </c>
      <c r="C92" s="55"/>
      <c r="D92" s="48"/>
      <c r="E92" s="48"/>
      <c r="F92" s="57" t="e">
        <f>#REF!</f>
        <v>#REF!</v>
      </c>
      <c r="G92" s="57" t="e">
        <f>#REF!</f>
        <v>#REF!</v>
      </c>
      <c r="I92" s="37"/>
      <c r="J92" s="140"/>
      <c r="K92" s="217"/>
      <c r="L92" s="178"/>
      <c r="M92" s="178"/>
      <c r="N92" s="178"/>
      <c r="O92" s="178"/>
      <c r="S92" s="152"/>
    </row>
    <row r="93" spans="1:19" s="178" customFormat="1" ht="11.25" hidden="1" customHeight="1">
      <c r="A93" s="390" t="e">
        <f>#REF!</f>
        <v>#REF!</v>
      </c>
      <c r="B93" s="167" t="e">
        <f>TRIM(CONCATENATE(#REF!," ",#REF!," ",#REF!))</f>
        <v>#REF!</v>
      </c>
      <c r="C93" s="168"/>
      <c r="F93" s="170" t="e">
        <f>#REF!</f>
        <v>#REF!</v>
      </c>
      <c r="G93" s="170" t="e">
        <f>#REF!</f>
        <v>#REF!</v>
      </c>
      <c r="H93" s="179"/>
      <c r="I93" s="180"/>
      <c r="J93" s="191"/>
      <c r="K93" s="30"/>
      <c r="L93" s="26"/>
      <c r="M93" s="26"/>
      <c r="N93" s="26"/>
      <c r="O93" s="26"/>
      <c r="P93" s="260"/>
      <c r="R93" s="247"/>
      <c r="S93" s="250"/>
    </row>
    <row r="94" spans="1:19" ht="13.5" hidden="1" thickTop="1">
      <c r="A94" s="390" t="e">
        <f>#REF!</f>
        <v>#REF!</v>
      </c>
      <c r="B94" s="167" t="e">
        <f>TRIM(CONCATENATE(#REF!," ",#REF!," ",#REF!))</f>
        <v>#REF!</v>
      </c>
      <c r="C94" s="168"/>
      <c r="D94" s="178"/>
      <c r="E94" s="178"/>
      <c r="F94" s="170" t="e">
        <f>#REF!</f>
        <v>#REF!</v>
      </c>
      <c r="G94" s="170" t="e">
        <f>#REF!</f>
        <v>#REF!</v>
      </c>
      <c r="H94" s="175"/>
      <c r="I94" s="37"/>
      <c r="J94" s="140"/>
      <c r="K94" s="30"/>
      <c r="S94" s="152"/>
    </row>
    <row r="95" spans="1:19" ht="0.75" hidden="1" customHeight="1">
      <c r="A95" s="390"/>
      <c r="B95" s="167"/>
      <c r="C95" s="168"/>
      <c r="D95" s="168"/>
      <c r="E95" s="168"/>
      <c r="F95" s="170"/>
      <c r="G95" s="170"/>
      <c r="H95" s="175"/>
      <c r="I95" s="37"/>
      <c r="J95" s="140"/>
      <c r="K95" s="30"/>
      <c r="S95" s="152"/>
    </row>
    <row r="96" spans="1:19" ht="13.5" hidden="1" thickTop="1">
      <c r="A96" s="390"/>
      <c r="B96" s="167"/>
      <c r="C96" s="168"/>
      <c r="D96" s="168"/>
      <c r="E96" s="168"/>
      <c r="F96" s="170"/>
      <c r="G96" s="170"/>
      <c r="H96" s="175"/>
      <c r="I96" s="37"/>
      <c r="J96" s="140"/>
      <c r="K96" s="30"/>
      <c r="S96" s="152"/>
    </row>
    <row r="97" spans="1:19" ht="14.25" hidden="1" thickTop="1" thickBot="1">
      <c r="A97" s="392"/>
      <c r="B97" s="163" t="s">
        <v>84</v>
      </c>
      <c r="C97" s="163"/>
      <c r="D97" s="163"/>
      <c r="E97" s="163"/>
      <c r="F97" s="188" t="e">
        <f>SUM(F79:F96)</f>
        <v>#REF!</v>
      </c>
      <c r="G97" s="188" t="e">
        <f>SUM(G79:G96)</f>
        <v>#REF!</v>
      </c>
      <c r="H97" s="218" t="e">
        <f>F97/G97</f>
        <v>#REF!</v>
      </c>
      <c r="I97" s="37"/>
      <c r="J97" s="140"/>
      <c r="K97" s="30"/>
      <c r="S97" s="152"/>
    </row>
    <row r="98" spans="1:19" ht="13.5" hidden="1" thickTop="1">
      <c r="A98" s="392"/>
      <c r="B98" s="163"/>
      <c r="C98" s="163"/>
      <c r="D98" s="163"/>
      <c r="E98" s="163"/>
      <c r="F98" s="163"/>
      <c r="G98" s="163"/>
      <c r="H98" s="175"/>
      <c r="I98" s="37"/>
      <c r="J98" s="140"/>
      <c r="K98" s="30"/>
      <c r="S98" s="152"/>
    </row>
    <row r="99" spans="1:19" ht="12.75" hidden="1" customHeight="1">
      <c r="A99" s="390" t="e">
        <f>#REF!</f>
        <v>#REF!</v>
      </c>
      <c r="B99" s="167" t="e">
        <f>TRIM(CONCATENATE(#REF!," ",#REF!," ",#REF!))</f>
        <v>#REF!</v>
      </c>
      <c r="C99" s="168"/>
      <c r="D99" s="174"/>
      <c r="E99" s="174"/>
      <c r="F99" s="170" t="e">
        <f>#REF!</f>
        <v>#REF!</v>
      </c>
      <c r="G99" s="170" t="e">
        <f>#REF!</f>
        <v>#REF!</v>
      </c>
      <c r="H99" s="172"/>
      <c r="I99" s="37"/>
      <c r="J99" s="140"/>
      <c r="K99" s="30"/>
      <c r="S99" s="152"/>
    </row>
    <row r="100" spans="1:19" ht="13.5" hidden="1" thickTop="1">
      <c r="A100" s="390" t="e">
        <f>#REF!</f>
        <v>#REF!</v>
      </c>
      <c r="B100" s="167" t="e">
        <f>TRIM(CONCATENATE(#REF!," ",#REF!," ",#REF!))</f>
        <v>#REF!</v>
      </c>
      <c r="C100" s="168"/>
      <c r="D100" s="174"/>
      <c r="E100" s="174"/>
      <c r="F100" s="170" t="e">
        <f>#REF!</f>
        <v>#REF!</v>
      </c>
      <c r="G100" s="170" t="e">
        <f>#REF!</f>
        <v>#REF!</v>
      </c>
      <c r="H100" s="175"/>
      <c r="I100" s="37"/>
      <c r="J100" s="140"/>
      <c r="K100" s="30"/>
      <c r="S100" s="152"/>
    </row>
    <row r="101" spans="1:19" ht="13.5" hidden="1" thickTop="1">
      <c r="A101" s="390" t="e">
        <f>#REF!</f>
        <v>#REF!</v>
      </c>
      <c r="B101" s="167" t="e">
        <f>TRIM(CONCATENATE(#REF!," ",#REF!," ",#REF!))</f>
        <v>#REF!</v>
      </c>
      <c r="C101" s="168"/>
      <c r="D101" s="174"/>
      <c r="E101" s="174"/>
      <c r="F101" s="170" t="e">
        <f>#REF!</f>
        <v>#REF!</v>
      </c>
      <c r="G101" s="170" t="e">
        <f>#REF!</f>
        <v>#REF!</v>
      </c>
      <c r="H101" s="175"/>
      <c r="I101" s="37"/>
      <c r="J101" s="140"/>
      <c r="K101" s="30"/>
      <c r="S101" s="152"/>
    </row>
    <row r="102" spans="1:19" ht="13.5" hidden="1" thickTop="1">
      <c r="A102" s="388" t="e">
        <f>#REF!</f>
        <v>#REF!</v>
      </c>
      <c r="B102" s="54" t="e">
        <f>TRIM(CONCATENATE(#REF!," ",#REF!," ",#REF!))</f>
        <v>#REF!</v>
      </c>
      <c r="C102" s="55"/>
      <c r="D102" s="35"/>
      <c r="E102" s="35"/>
      <c r="F102" s="57" t="e">
        <f>#REF!</f>
        <v>#REF!</v>
      </c>
      <c r="G102" s="57" t="e">
        <f>#REF!</f>
        <v>#REF!</v>
      </c>
      <c r="I102" s="37"/>
      <c r="J102" s="140"/>
      <c r="K102" s="30"/>
      <c r="S102" s="152"/>
    </row>
    <row r="103" spans="1:19" ht="13.5" hidden="1" thickTop="1">
      <c r="A103" s="388" t="e">
        <f>#REF!</f>
        <v>#REF!</v>
      </c>
      <c r="B103" s="54" t="e">
        <f>TRIM(CONCATENATE(#REF!," ",#REF!," ",#REF!))</f>
        <v>#REF!</v>
      </c>
      <c r="C103" s="55"/>
      <c r="D103" s="35"/>
      <c r="E103" s="35"/>
      <c r="F103" s="57" t="e">
        <f>#REF!</f>
        <v>#REF!</v>
      </c>
      <c r="G103" s="57" t="e">
        <f>#REF!</f>
        <v>#REF!</v>
      </c>
      <c r="I103" s="37"/>
      <c r="J103" s="140"/>
      <c r="K103" s="30"/>
      <c r="S103" s="152"/>
    </row>
    <row r="104" spans="1:19" ht="13.5" hidden="1" thickTop="1">
      <c r="A104" s="388" t="e">
        <f>#REF!</f>
        <v>#REF!</v>
      </c>
      <c r="B104" s="54" t="e">
        <f>TRIM(CONCATENATE(#REF!," ",#REF!," ",#REF!))</f>
        <v>#REF!</v>
      </c>
      <c r="C104" s="55"/>
      <c r="D104" s="35"/>
      <c r="E104" s="35"/>
      <c r="F104" s="57" t="e">
        <f>#REF!</f>
        <v>#REF!</v>
      </c>
      <c r="G104" s="57" t="e">
        <f>#REF!</f>
        <v>#REF!</v>
      </c>
      <c r="I104" s="37"/>
      <c r="J104" s="140"/>
      <c r="K104" s="30"/>
      <c r="S104" s="152"/>
    </row>
    <row r="105" spans="1:19" ht="13.5" hidden="1" thickTop="1">
      <c r="A105" s="388" t="e">
        <f>#REF!</f>
        <v>#REF!</v>
      </c>
      <c r="B105" s="54" t="e">
        <f>TRIM(CONCATENATE(#REF!," ",#REF!," ",#REF!))</f>
        <v>#REF!</v>
      </c>
      <c r="C105" s="55"/>
      <c r="D105" s="35"/>
      <c r="E105" s="35"/>
      <c r="F105" s="57" t="e">
        <f>#REF!</f>
        <v>#REF!</v>
      </c>
      <c r="G105" s="57" t="e">
        <f>#REF!</f>
        <v>#REF!</v>
      </c>
      <c r="I105" s="37"/>
      <c r="J105" s="140"/>
      <c r="K105" s="30"/>
      <c r="S105" s="152"/>
    </row>
    <row r="106" spans="1:19" ht="13.5" hidden="1" thickTop="1">
      <c r="A106" s="388" t="e">
        <f>#REF!</f>
        <v>#REF!</v>
      </c>
      <c r="B106" s="54" t="e">
        <f>TRIM(CONCATENATE(#REF!," ",#REF!," ",#REF!))</f>
        <v>#REF!</v>
      </c>
      <c r="C106" s="55"/>
      <c r="D106" s="35"/>
      <c r="E106" s="35"/>
      <c r="F106" s="114" t="e">
        <f>#REF!</f>
        <v>#REF!</v>
      </c>
      <c r="G106" s="114" t="e">
        <f>#REF!</f>
        <v>#REF!</v>
      </c>
      <c r="I106" s="37"/>
      <c r="J106" s="140"/>
      <c r="K106" s="30"/>
      <c r="S106" s="152"/>
    </row>
    <row r="107" spans="1:19" ht="13.5" hidden="1" thickTop="1">
      <c r="A107" s="388" t="e">
        <f>#REF!</f>
        <v>#REF!</v>
      </c>
      <c r="B107" s="54" t="e">
        <f>TRIM(CONCATENATE(#REF!," ",#REF!," ",#REF!))</f>
        <v>#REF!</v>
      </c>
      <c r="C107" s="55"/>
      <c r="D107" s="35"/>
      <c r="E107" s="35"/>
      <c r="F107" s="114" t="e">
        <f>#REF!</f>
        <v>#REF!</v>
      </c>
      <c r="G107" s="114" t="e">
        <f>#REF!</f>
        <v>#REF!</v>
      </c>
      <c r="I107" s="37"/>
      <c r="J107" s="140"/>
      <c r="K107" s="30"/>
      <c r="S107" s="152"/>
    </row>
    <row r="108" spans="1:19" ht="13.5" hidden="1" thickTop="1">
      <c r="A108" s="388" t="e">
        <f>#REF!</f>
        <v>#REF!</v>
      </c>
      <c r="B108" s="54" t="e">
        <f>TRIM(CONCATENATE(#REF!," ",#REF!," ",#REF!))</f>
        <v>#REF!</v>
      </c>
      <c r="C108" s="55"/>
      <c r="D108" s="35"/>
      <c r="E108" s="35"/>
      <c r="F108" s="114" t="e">
        <f>#REF!</f>
        <v>#REF!</v>
      </c>
      <c r="G108" s="114" t="e">
        <f>#REF!</f>
        <v>#REF!</v>
      </c>
      <c r="I108" s="37"/>
      <c r="J108" s="140"/>
      <c r="K108" s="30"/>
      <c r="S108" s="152"/>
    </row>
    <row r="109" spans="1:19" ht="13.5" hidden="1" thickTop="1">
      <c r="A109" s="388" t="e">
        <f>#REF!</f>
        <v>#REF!</v>
      </c>
      <c r="B109" s="54" t="e">
        <f>TRIM(CONCATENATE(#REF!," ",#REF!," ",#REF!))</f>
        <v>#REF!</v>
      </c>
      <c r="C109" s="55"/>
      <c r="D109" s="35"/>
      <c r="E109" s="35"/>
      <c r="F109" s="114" t="e">
        <f>#REF!</f>
        <v>#REF!</v>
      </c>
      <c r="G109" s="114" t="e">
        <f>#REF!</f>
        <v>#REF!</v>
      </c>
      <c r="I109" s="37"/>
      <c r="J109" s="140"/>
      <c r="K109" s="30"/>
      <c r="S109" s="152"/>
    </row>
    <row r="110" spans="1:19" ht="13.5" hidden="1" thickTop="1">
      <c r="A110" s="388" t="e">
        <f>#REF!</f>
        <v>#REF!</v>
      </c>
      <c r="B110" s="54" t="e">
        <f>TRIM(CONCATENATE(#REF!," ",#REF!," ",#REF!))</f>
        <v>#REF!</v>
      </c>
      <c r="C110" s="55"/>
      <c r="D110" s="35"/>
      <c r="E110" s="35"/>
      <c r="F110" s="114" t="e">
        <f>#REF!</f>
        <v>#REF!</v>
      </c>
      <c r="G110" s="114" t="e">
        <f>#REF!</f>
        <v>#REF!</v>
      </c>
      <c r="I110" s="37"/>
      <c r="J110" s="140"/>
      <c r="K110" s="30"/>
      <c r="S110" s="152"/>
    </row>
    <row r="111" spans="1:19" ht="13.5" hidden="1" thickTop="1">
      <c r="A111" s="388" t="e">
        <f>#REF!</f>
        <v>#REF!</v>
      </c>
      <c r="B111" s="54" t="e">
        <f>TRIM(CONCATENATE(#REF!," ",#REF!," ",#REF!))</f>
        <v>#REF!</v>
      </c>
      <c r="C111" s="55"/>
      <c r="D111" s="35"/>
      <c r="E111" s="35"/>
      <c r="F111" s="114" t="e">
        <f>#REF!</f>
        <v>#REF!</v>
      </c>
      <c r="G111" s="114" t="e">
        <f>#REF!</f>
        <v>#REF!</v>
      </c>
      <c r="I111" s="37"/>
      <c r="J111" s="140"/>
      <c r="K111" s="30"/>
      <c r="S111" s="152"/>
    </row>
    <row r="112" spans="1:19" ht="13.5" hidden="1" customHeight="1">
      <c r="A112" s="390" t="e">
        <f>#REF!</f>
        <v>#REF!</v>
      </c>
      <c r="B112" s="167" t="e">
        <f>TRIM(CONCATENATE(#REF!," ",#REF!," ",#REF!))</f>
        <v>#REF!</v>
      </c>
      <c r="C112" s="168"/>
      <c r="D112" s="174"/>
      <c r="E112" s="174"/>
      <c r="F112" s="147" t="e">
        <f>#REF!</f>
        <v>#REF!</v>
      </c>
      <c r="G112" s="147" t="e">
        <f>#REF!</f>
        <v>#REF!</v>
      </c>
      <c r="H112" s="175"/>
      <c r="I112" s="37"/>
      <c r="J112" s="140"/>
      <c r="K112" s="30"/>
      <c r="S112" s="152"/>
    </row>
    <row r="113" spans="1:19" ht="12.75" hidden="1" customHeight="1">
      <c r="A113" s="388" t="e">
        <f>#REF!</f>
        <v>#REF!</v>
      </c>
      <c r="B113" s="54" t="e">
        <f>TRIM(CONCATENATE(#REF!," ",#REF!," ",#REF!))</f>
        <v>#REF!</v>
      </c>
      <c r="C113" s="55"/>
      <c r="D113" s="35"/>
      <c r="E113" s="35"/>
      <c r="F113" s="114" t="e">
        <f>#REF!</f>
        <v>#REF!</v>
      </c>
      <c r="G113" s="114" t="e">
        <f>#REF!</f>
        <v>#REF!</v>
      </c>
      <c r="I113" s="37"/>
      <c r="J113" s="140"/>
      <c r="K113" s="30"/>
      <c r="S113" s="152"/>
    </row>
    <row r="114" spans="1:19" ht="1.5" hidden="1" customHeight="1">
      <c r="A114" s="388" t="e">
        <f>#REF!</f>
        <v>#REF!</v>
      </c>
      <c r="B114" s="54" t="e">
        <f>TRIM(CONCATENATE(#REF!," ",#REF!," ",#REF!))</f>
        <v>#REF!</v>
      </c>
      <c r="C114" s="55"/>
      <c r="D114" s="35"/>
      <c r="E114" s="35"/>
      <c r="F114" s="114" t="e">
        <f>#REF!</f>
        <v>#REF!</v>
      </c>
      <c r="G114" s="114" t="e">
        <f>#REF!</f>
        <v>#REF!</v>
      </c>
      <c r="I114" s="37"/>
      <c r="J114" s="140"/>
      <c r="K114" s="30"/>
      <c r="S114" s="152"/>
    </row>
    <row r="115" spans="1:19" ht="13.5" hidden="1" customHeight="1">
      <c r="A115" s="393"/>
      <c r="B115" s="28"/>
      <c r="C115" s="28"/>
      <c r="D115" s="28"/>
      <c r="E115" s="44"/>
      <c r="F115" s="158"/>
      <c r="G115" s="158"/>
      <c r="H115" s="64"/>
      <c r="I115" s="37"/>
      <c r="J115" s="140"/>
      <c r="K115" s="30"/>
      <c r="S115" s="152"/>
    </row>
    <row r="116" spans="1:19" ht="13.5" hidden="1" customHeight="1" thickBot="1">
      <c r="B116" s="28" t="s">
        <v>187</v>
      </c>
      <c r="C116" s="28"/>
      <c r="D116" s="28"/>
      <c r="E116" s="44"/>
      <c r="F116" s="45" t="e">
        <f>SUM(F97:F115)</f>
        <v>#REF!</v>
      </c>
      <c r="G116" s="45" t="e">
        <f>SUM(G97:G115)</f>
        <v>#REF!</v>
      </c>
      <c r="H116" s="219" t="e">
        <f>F116/G116</f>
        <v>#REF!</v>
      </c>
      <c r="I116" s="37"/>
      <c r="J116" s="140"/>
      <c r="K116" s="30"/>
      <c r="M116" s="162"/>
      <c r="S116" s="152"/>
    </row>
    <row r="117" spans="1:19" ht="14.25" customHeight="1" thickTop="1">
      <c r="B117" s="28"/>
      <c r="C117" s="28"/>
      <c r="D117" s="28"/>
      <c r="E117" s="44"/>
      <c r="F117" s="37"/>
      <c r="G117" s="37"/>
      <c r="H117" s="64"/>
      <c r="I117" s="37"/>
      <c r="J117" s="140"/>
      <c r="L117" s="166"/>
      <c r="M117" s="55"/>
      <c r="N117" s="55"/>
      <c r="O117" s="55"/>
      <c r="P117" s="263"/>
      <c r="S117" s="152"/>
    </row>
    <row r="118" spans="1:19" ht="14.25" customHeight="1">
      <c r="F118" s="131"/>
      <c r="L118" s="28"/>
      <c r="M118" s="55"/>
      <c r="N118" s="56">
        <f>'Tab 2 Rev. Req. Calc.'!E24</f>
        <v>-32397.96</v>
      </c>
      <c r="O118" s="56"/>
      <c r="P118" s="255"/>
      <c r="Q118" s="39">
        <f>N59-N118</f>
        <v>32559.642510228536</v>
      </c>
      <c r="S118" s="236"/>
    </row>
    <row r="119" spans="1:19" ht="14.25" customHeight="1">
      <c r="L119" s="160"/>
      <c r="M119" s="55"/>
      <c r="N119" s="55"/>
      <c r="O119" s="55"/>
      <c r="P119" s="56"/>
      <c r="Q119" s="106"/>
      <c r="S119" s="248"/>
    </row>
    <row r="120" spans="1:19" ht="14.25" customHeight="1">
      <c r="L120" s="160"/>
      <c r="M120" s="55"/>
      <c r="N120" s="55"/>
      <c r="O120" s="55"/>
      <c r="P120" s="263"/>
      <c r="Q120" s="39"/>
      <c r="S120" s="249"/>
    </row>
    <row r="121" spans="1:19">
      <c r="S121" s="152"/>
    </row>
    <row r="122" spans="1:19">
      <c r="S122" s="152"/>
    </row>
  </sheetData>
  <mergeCells count="11">
    <mergeCell ref="D7:E7"/>
    <mergeCell ref="G7:H7"/>
    <mergeCell ref="J7:K7"/>
    <mergeCell ref="D6:E6"/>
    <mergeCell ref="G6:H6"/>
    <mergeCell ref="J6:K6"/>
    <mergeCell ref="M6:N6"/>
    <mergeCell ref="A1:N1"/>
    <mergeCell ref="A2:N2"/>
    <mergeCell ref="A3:N3"/>
    <mergeCell ref="M5:N5"/>
  </mergeCells>
  <phoneticPr fontId="0" type="noConversion"/>
  <pageMargins left="0.75" right="0.51" top="0.75" bottom="0.5" header="0.5" footer="0.5"/>
  <pageSetup scale="64" firstPageNumber="4" orientation="landscape" horizontalDpi="300" verticalDpi="300" r:id="rId1"/>
  <headerFooter alignWithMargins="0">
    <oddHeader xml:space="preserve">&amp;RExhibit No. ____(EMA-6) </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65"/>
  <sheetViews>
    <sheetView tabSelected="1" topLeftCell="A35" zoomScaleNormal="100" zoomScaleSheetLayoutView="85" workbookViewId="0">
      <selection activeCell="P59" sqref="P59"/>
    </sheetView>
  </sheetViews>
  <sheetFormatPr defaultRowHeight="12.75"/>
  <cols>
    <col min="1" max="1" width="1.42578125" style="772" customWidth="1"/>
    <col min="2" max="2" width="5.7109375" style="772" customWidth="1"/>
    <col min="3" max="3" width="1.42578125" style="772" customWidth="1"/>
    <col min="4" max="4" width="5.7109375" style="772" customWidth="1"/>
    <col min="5" max="5" width="1.42578125" style="772" customWidth="1"/>
    <col min="6" max="6" width="41.42578125" style="772" customWidth="1"/>
    <col min="7" max="7" width="1.42578125" style="779" customWidth="1"/>
    <col min="8" max="8" width="1.42578125" style="774" customWidth="1"/>
    <col min="9" max="9" width="10.42578125" style="772" customWidth="1"/>
    <col min="10" max="10" width="1.42578125" style="772" customWidth="1"/>
    <col min="11" max="11" width="10.42578125" style="772" customWidth="1"/>
    <col min="12" max="12" width="1.42578125" style="772" customWidth="1"/>
    <col min="13" max="13" width="10.42578125" style="772" customWidth="1"/>
    <col min="14" max="14" width="1.42578125" style="779" customWidth="1"/>
    <col min="15" max="15" width="1.42578125" style="777" customWidth="1"/>
    <col min="16" max="16" width="10.42578125" style="772" customWidth="1"/>
    <col min="17" max="17" width="1.42578125" style="772" customWidth="1"/>
    <col min="18" max="18" width="10.42578125" style="772" customWidth="1"/>
    <col min="19" max="19" width="1.42578125" style="772" customWidth="1"/>
    <col min="20" max="20" width="10.42578125" style="772" customWidth="1"/>
    <col min="21" max="21" width="1.42578125" style="772" customWidth="1"/>
    <col min="22" max="22" width="1.42578125" style="777" customWidth="1"/>
    <col min="23" max="23" width="10.42578125" style="779" customWidth="1"/>
    <col min="24" max="24" width="1.42578125" style="779" customWidth="1"/>
    <col min="25" max="25" width="10.42578125" style="779" customWidth="1"/>
    <col min="26" max="26" width="1.28515625" style="779" customWidth="1"/>
    <col min="27" max="27" width="10.42578125" style="779" customWidth="1"/>
    <col min="28" max="28" width="1.42578125" style="779" customWidth="1"/>
    <col min="29" max="29" width="10.42578125" style="779" customWidth="1"/>
    <col min="30" max="30" width="1.42578125" style="779" customWidth="1"/>
    <col min="31" max="31" width="20.85546875" style="779" customWidth="1"/>
    <col min="32" max="33" width="2.7109375" style="779" customWidth="1"/>
    <col min="34" max="34" width="21.140625" style="779" customWidth="1"/>
    <col min="35" max="37" width="11.85546875" style="772" customWidth="1"/>
    <col min="38" max="16384" width="9.140625" style="772"/>
  </cols>
  <sheetData>
    <row r="1" spans="1:51">
      <c r="A1" s="771" t="s">
        <v>793</v>
      </c>
      <c r="B1" s="771"/>
      <c r="C1" s="771"/>
      <c r="E1" s="771"/>
      <c r="F1" s="771"/>
      <c r="G1" s="773"/>
      <c r="I1" s="774"/>
      <c r="J1" s="775"/>
      <c r="K1" s="775"/>
      <c r="L1" s="775"/>
      <c r="M1" s="775"/>
      <c r="N1" s="773"/>
      <c r="O1" s="775"/>
      <c r="P1" s="771"/>
      <c r="Q1" s="771"/>
      <c r="R1" s="771"/>
      <c r="S1" s="771"/>
      <c r="T1" s="771"/>
      <c r="U1" s="776"/>
      <c r="W1" s="774"/>
      <c r="X1" s="778"/>
      <c r="Y1" s="774"/>
      <c r="Z1" s="774"/>
      <c r="AA1" s="774"/>
      <c r="AB1" s="774"/>
      <c r="AC1" s="774"/>
      <c r="AD1" s="774"/>
      <c r="AE1" s="774"/>
      <c r="AG1" s="780"/>
      <c r="AH1" s="774"/>
      <c r="AI1" s="774"/>
      <c r="AJ1" s="774"/>
      <c r="AK1" s="774"/>
      <c r="AL1" s="779"/>
      <c r="AM1" s="779"/>
    </row>
    <row r="2" spans="1:51">
      <c r="B2" s="771"/>
      <c r="C2" s="771"/>
      <c r="D2" s="771"/>
      <c r="E2" s="771"/>
      <c r="F2" s="771"/>
      <c r="G2" s="773"/>
      <c r="H2" s="781"/>
      <c r="I2" s="782" t="s">
        <v>794</v>
      </c>
      <c r="J2" s="783"/>
      <c r="K2" s="783"/>
      <c r="L2" s="783"/>
      <c r="M2" s="783"/>
      <c r="N2" s="773"/>
      <c r="O2" s="775"/>
      <c r="P2" s="782" t="s">
        <v>820</v>
      </c>
      <c r="Q2" s="784"/>
      <c r="R2" s="784"/>
      <c r="S2" s="784"/>
      <c r="T2" s="784"/>
      <c r="U2" s="776"/>
      <c r="W2" s="782" t="s">
        <v>821</v>
      </c>
      <c r="X2" s="785"/>
      <c r="Y2" s="786"/>
      <c r="Z2" s="786"/>
      <c r="AA2" s="786"/>
      <c r="AB2" s="786"/>
      <c r="AC2" s="786"/>
      <c r="AD2" s="787"/>
      <c r="AE2" s="787"/>
      <c r="AG2" s="780"/>
      <c r="AH2" s="788" t="s">
        <v>795</v>
      </c>
      <c r="AI2" s="788"/>
      <c r="AJ2" s="788"/>
      <c r="AK2" s="788"/>
      <c r="AL2" s="779"/>
      <c r="AM2" s="779"/>
    </row>
    <row r="3" spans="1:51">
      <c r="B3" s="771"/>
      <c r="C3" s="771"/>
      <c r="D3" s="771"/>
      <c r="E3" s="771"/>
      <c r="F3" s="771"/>
      <c r="G3" s="773"/>
      <c r="I3" s="778"/>
      <c r="J3" s="778"/>
      <c r="K3" s="778"/>
      <c r="L3" s="778"/>
      <c r="M3" s="778" t="s">
        <v>796</v>
      </c>
      <c r="N3" s="773"/>
      <c r="P3" s="778"/>
      <c r="Q3" s="778"/>
      <c r="R3" s="778"/>
      <c r="S3" s="778"/>
      <c r="T3" s="778" t="s">
        <v>796</v>
      </c>
      <c r="U3" s="776"/>
      <c r="W3" s="778" t="s">
        <v>797</v>
      </c>
      <c r="X3" s="778"/>
      <c r="Y3" s="778"/>
      <c r="Z3" s="778"/>
      <c r="AA3" s="778"/>
      <c r="AB3" s="789"/>
      <c r="AC3" s="778" t="s">
        <v>796</v>
      </c>
      <c r="AD3" s="787"/>
      <c r="AE3" s="787"/>
      <c r="AG3" s="780"/>
      <c r="AH3" s="772"/>
      <c r="AI3" s="772" t="s">
        <v>1082</v>
      </c>
      <c r="AJ3" s="772" t="s">
        <v>957</v>
      </c>
      <c r="AK3" s="772" t="s">
        <v>963</v>
      </c>
    </row>
    <row r="4" spans="1:51">
      <c r="B4" s="771"/>
      <c r="C4" s="771"/>
      <c r="D4" s="790" t="s">
        <v>798</v>
      </c>
      <c r="E4" s="771"/>
      <c r="F4" s="771"/>
      <c r="G4" s="773"/>
      <c r="I4" s="778" t="s">
        <v>799</v>
      </c>
      <c r="J4" s="778"/>
      <c r="K4" s="778"/>
      <c r="L4" s="778"/>
      <c r="M4" s="787" t="s">
        <v>800</v>
      </c>
      <c r="N4" s="773"/>
      <c r="P4" s="778" t="s">
        <v>799</v>
      </c>
      <c r="Q4" s="778"/>
      <c r="R4" s="778"/>
      <c r="S4" s="778"/>
      <c r="T4" s="787" t="s">
        <v>800</v>
      </c>
      <c r="U4" s="776"/>
      <c r="W4" s="778" t="s">
        <v>799</v>
      </c>
      <c r="X4" s="778"/>
      <c r="Y4" s="778" t="s">
        <v>799</v>
      </c>
      <c r="Z4" s="778"/>
      <c r="AA4" s="778"/>
      <c r="AB4" s="778"/>
      <c r="AC4" s="787" t="s">
        <v>800</v>
      </c>
      <c r="AD4" s="787"/>
      <c r="AE4" s="787"/>
      <c r="AG4" s="780"/>
      <c r="AH4" s="772" t="s">
        <v>801</v>
      </c>
      <c r="AI4" s="791">
        <f>+IF('Tab 4 Adjustment Details'!$AX$88=1,AJ4,AK4)</f>
        <v>0.61941299999999999</v>
      </c>
      <c r="AJ4" s="772">
        <f>+'Tab 3 Conversion Factor'!G24</f>
        <v>0.75282499999999997</v>
      </c>
      <c r="AK4" s="772">
        <f>+'Tab 3 Conversion Factor'!E24</f>
        <v>0.61941299999999999</v>
      </c>
    </row>
    <row r="5" spans="1:51">
      <c r="B5" s="784" t="s">
        <v>8</v>
      </c>
      <c r="C5" s="771"/>
      <c r="D5" s="792" t="s">
        <v>802</v>
      </c>
      <c r="E5" s="771"/>
      <c r="F5" s="784" t="s">
        <v>80</v>
      </c>
      <c r="G5" s="773"/>
      <c r="I5" s="793" t="s">
        <v>803</v>
      </c>
      <c r="J5" s="778"/>
      <c r="K5" s="793" t="s">
        <v>24</v>
      </c>
      <c r="L5" s="778"/>
      <c r="M5" s="793" t="s">
        <v>804</v>
      </c>
      <c r="N5" s="773"/>
      <c r="P5" s="793" t="s">
        <v>803</v>
      </c>
      <c r="Q5" s="778"/>
      <c r="R5" s="793" t="s">
        <v>24</v>
      </c>
      <c r="S5" s="778"/>
      <c r="T5" s="793" t="s">
        <v>804</v>
      </c>
      <c r="U5" s="776"/>
      <c r="W5" s="793" t="s">
        <v>803</v>
      </c>
      <c r="X5" s="778"/>
      <c r="Y5" s="793" t="s">
        <v>803</v>
      </c>
      <c r="Z5" s="778"/>
      <c r="AA5" s="793" t="s">
        <v>24</v>
      </c>
      <c r="AB5" s="789"/>
      <c r="AC5" s="793" t="s">
        <v>804</v>
      </c>
      <c r="AD5" s="789"/>
      <c r="AE5" s="793" t="s">
        <v>819</v>
      </c>
      <c r="AG5" s="780"/>
      <c r="AH5" s="772" t="s">
        <v>805</v>
      </c>
      <c r="AI5" s="791">
        <f>+IF('Tab 4 Adjustment Details'!$AX$88=1,AJ5,AK5)</f>
        <v>0.35</v>
      </c>
      <c r="AJ5" s="794">
        <v>0.21</v>
      </c>
      <c r="AK5" s="794">
        <v>0.35</v>
      </c>
    </row>
    <row r="6" spans="1:51">
      <c r="G6" s="774"/>
      <c r="AG6" s="780"/>
      <c r="AH6" s="772"/>
    </row>
    <row r="7" spans="1:51">
      <c r="B7" s="772">
        <v>1</v>
      </c>
      <c r="D7" s="795">
        <v>1</v>
      </c>
      <c r="E7" s="771"/>
      <c r="F7" s="771" t="s">
        <v>818</v>
      </c>
      <c r="G7" s="774"/>
      <c r="I7" s="808">
        <f>+'Tab 4 Adjustment Details'!E57</f>
        <v>110557</v>
      </c>
      <c r="J7" s="796"/>
      <c r="K7" s="796">
        <f>+'Tab 4 Adjustment Details'!E82</f>
        <v>1444926</v>
      </c>
      <c r="L7" s="796"/>
      <c r="M7" s="796">
        <f>+($K7*$AK$12-$I7)/$AI$4</f>
        <v>-13329.134519294876</v>
      </c>
      <c r="O7" s="775"/>
      <c r="P7" s="808">
        <f>+I7</f>
        <v>110557</v>
      </c>
      <c r="Q7" s="796"/>
      <c r="R7" s="796">
        <f>+K7</f>
        <v>1444926</v>
      </c>
      <c r="S7" s="796"/>
      <c r="T7" s="796">
        <f>+($R7*$AK$12-$P7)/$AI$4</f>
        <v>-13329.134519294876</v>
      </c>
      <c r="AG7" s="780"/>
      <c r="AH7" s="772"/>
      <c r="AN7" s="772">
        <v>1</v>
      </c>
      <c r="AO7" s="772" t="s">
        <v>822</v>
      </c>
      <c r="AP7" s="772" t="s">
        <v>18</v>
      </c>
      <c r="AQ7" s="772" t="s">
        <v>823</v>
      </c>
      <c r="AR7" s="813">
        <v>1578000</v>
      </c>
      <c r="AS7" s="772" t="s">
        <v>823</v>
      </c>
      <c r="AT7" s="813">
        <v>1682558</v>
      </c>
      <c r="AU7" s="802">
        <v>0.48699999999999999</v>
      </c>
      <c r="AV7" s="802">
        <v>5.3100000000000001E-2</v>
      </c>
      <c r="AW7" s="802">
        <v>2.5899999999999999E-2</v>
      </c>
      <c r="AX7" s="772">
        <f>+AU7/AU9</f>
        <v>0.943798449612403</v>
      </c>
      <c r="AY7" s="772">
        <f>+AV7*AX7</f>
        <v>5.0115697674418598E-2</v>
      </c>
    </row>
    <row r="8" spans="1:51">
      <c r="D8" s="797"/>
      <c r="G8" s="774"/>
      <c r="I8" s="798"/>
      <c r="J8" s="798"/>
      <c r="K8" s="798"/>
      <c r="L8" s="798"/>
      <c r="M8" s="798"/>
      <c r="P8" s="798"/>
      <c r="Q8" s="798"/>
      <c r="R8" s="798"/>
      <c r="S8" s="798"/>
      <c r="T8" s="798"/>
      <c r="AE8" s="772"/>
      <c r="AG8" s="780"/>
      <c r="AH8" s="772" t="s">
        <v>292</v>
      </c>
      <c r="AI8" s="772" t="s">
        <v>122</v>
      </c>
      <c r="AK8" s="772" t="s">
        <v>123</v>
      </c>
      <c r="AN8" s="772">
        <v>2</v>
      </c>
      <c r="AO8" s="772" t="s">
        <v>824</v>
      </c>
      <c r="AP8" s="772" t="s">
        <v>18</v>
      </c>
      <c r="AQ8" s="772" t="s">
        <v>823</v>
      </c>
      <c r="AR8" s="813">
        <v>100000</v>
      </c>
      <c r="AS8" s="772" t="s">
        <v>823</v>
      </c>
      <c r="AT8" s="813">
        <v>100000</v>
      </c>
      <c r="AU8" s="802">
        <v>2.9000000000000001E-2</v>
      </c>
      <c r="AV8" s="802">
        <v>3.2599999999999997E-2</v>
      </c>
      <c r="AW8" s="802">
        <v>8.9999999999999998E-4</v>
      </c>
      <c r="AX8" s="772">
        <f>+AU8/AU9</f>
        <v>5.6201550387596902E-2</v>
      </c>
      <c r="AY8" s="772">
        <f>+AV8*AX8</f>
        <v>1.8321705426356588E-3</v>
      </c>
    </row>
    <row r="9" spans="1:51">
      <c r="B9" s="799" t="s">
        <v>806</v>
      </c>
      <c r="D9" s="797"/>
      <c r="G9" s="774"/>
      <c r="I9" s="798"/>
      <c r="J9" s="798"/>
      <c r="K9" s="798"/>
      <c r="L9" s="798"/>
      <c r="M9" s="798"/>
      <c r="P9" s="798"/>
      <c r="Q9" s="798"/>
      <c r="R9" s="798"/>
      <c r="S9" s="798"/>
      <c r="T9" s="798"/>
      <c r="AE9" s="772"/>
      <c r="AG9" s="780"/>
      <c r="AH9" s="782" t="s">
        <v>125</v>
      </c>
      <c r="AI9" s="782" t="s">
        <v>127</v>
      </c>
      <c r="AJ9" s="782" t="s">
        <v>128</v>
      </c>
      <c r="AK9" s="782" t="s">
        <v>128</v>
      </c>
      <c r="AU9" s="802">
        <f>+SUM(AU7:AU8)</f>
        <v>0.51600000000000001</v>
      </c>
      <c r="AV9" s="802"/>
      <c r="AY9" s="772">
        <f>+SUM(AY7:AY8)</f>
        <v>5.1947868217054258E-2</v>
      </c>
    </row>
    <row r="10" spans="1:51">
      <c r="B10" s="772">
        <f ca="1">+MAX(OFFSET($B$7,0,0,ROW($B10)-ROW($B$7),1))+1</f>
        <v>2</v>
      </c>
      <c r="D10" s="797">
        <v>1.01</v>
      </c>
      <c r="F10" s="772" t="str">
        <f>+INDEX('Tab 4 Adjustment Details'!$7:$7&amp;" "&amp;'Tab 4 Adjustment Details'!$8:$8&amp;" "&amp;'Tab 4 Adjustment Details'!$9:$9,1,MATCH(D10,'Tab 4 Adjustment Details'!$10:$10,0))</f>
        <v>Deferred  FIT Rate Base</v>
      </c>
      <c r="G10" s="774"/>
      <c r="I10" s="798">
        <v>8.0962700000000005</v>
      </c>
      <c r="J10" s="798"/>
      <c r="K10" s="798">
        <v>806</v>
      </c>
      <c r="L10" s="798"/>
      <c r="M10" s="800">
        <f>+($K10*$AK$12-$I10)/$AI$4</f>
        <v>79.056348510606014</v>
      </c>
      <c r="P10" s="798">
        <f t="shared" ref="P10:P26" si="0">+I10+Y10</f>
        <v>8.0962700000000005</v>
      </c>
      <c r="Q10" s="798"/>
      <c r="R10" s="798">
        <f t="shared" ref="R10:R26" si="1">+K10+AA10</f>
        <v>806</v>
      </c>
      <c r="S10" s="798"/>
      <c r="T10" s="798">
        <f t="shared" ref="T10:T30" si="2">+($R10*$AK$12-$P10)/$AI$4</f>
        <v>79.056348510606014</v>
      </c>
      <c r="W10" s="800">
        <v>0</v>
      </c>
      <c r="X10" s="798"/>
      <c r="Y10" s="798">
        <f t="shared" ref="Y10:Y25" si="3">+W10*(1-$AI$5)+$AA10*$AK$12*$AI$7</f>
        <v>0</v>
      </c>
      <c r="Z10" s="809"/>
      <c r="AA10" s="809">
        <v>0</v>
      </c>
      <c r="AB10" s="801"/>
      <c r="AC10" s="798">
        <f t="shared" ref="AC10:AC30" si="4">+($AA10*$AK$12-$Y10)/$AI$4</f>
        <v>0</v>
      </c>
      <c r="AE10" s="772" t="s">
        <v>816</v>
      </c>
      <c r="AG10" s="780"/>
      <c r="AH10" s="772" t="s">
        <v>636</v>
      </c>
      <c r="AI10" s="772">
        <f>100%-AI11</f>
        <v>0.51600000000000001</v>
      </c>
      <c r="AJ10" s="802">
        <v>5.1948000000000001E-2</v>
      </c>
      <c r="AK10" s="166">
        <f>ROUND(AI10*AJ10,4)</f>
        <v>2.6800000000000001E-2</v>
      </c>
    </row>
    <row r="11" spans="1:51">
      <c r="B11" s="772">
        <f t="shared" ref="B11:B51" ca="1" si="5">+MAX(OFFSET($B$7,0,0,ROW($B11)-ROW($B$7),1))+1</f>
        <v>3</v>
      </c>
      <c r="D11" s="797">
        <v>1.02</v>
      </c>
      <c r="F11" s="772" t="str">
        <f>+INDEX('Tab 4 Adjustment Details'!$7:$7&amp;" "&amp;'Tab 4 Adjustment Details'!$8:$8&amp;" "&amp;'Tab 4 Adjustment Details'!$9:$9,1,MATCH(D11,'Tab 4 Adjustment Details'!$10:$10,0))</f>
        <v>Deferred  Debits and  Credits</v>
      </c>
      <c r="G11" s="774"/>
      <c r="I11" s="798">
        <v>-7.8000000000000007</v>
      </c>
      <c r="J11" s="798"/>
      <c r="K11" s="798">
        <v>0</v>
      </c>
      <c r="L11" s="798"/>
      <c r="M11" s="800">
        <f t="shared" ref="M11:M30" si="6">+($K11*$AK$12-$I11)/$AI$4</f>
        <v>12.592567479210157</v>
      </c>
      <c r="P11" s="798">
        <f t="shared" si="0"/>
        <v>-7.8000000000000007</v>
      </c>
      <c r="Q11" s="798"/>
      <c r="R11" s="798">
        <f t="shared" si="1"/>
        <v>0</v>
      </c>
      <c r="S11" s="798"/>
      <c r="T11" s="798">
        <f t="shared" si="2"/>
        <v>12.592567479210157</v>
      </c>
      <c r="W11" s="800">
        <v>0</v>
      </c>
      <c r="X11" s="798"/>
      <c r="Y11" s="798">
        <f t="shared" si="3"/>
        <v>0</v>
      </c>
      <c r="Z11" s="809"/>
      <c r="AA11" s="809">
        <v>0</v>
      </c>
      <c r="AB11" s="801"/>
      <c r="AC11" s="798">
        <f t="shared" si="4"/>
        <v>0</v>
      </c>
      <c r="AE11" s="772" t="s">
        <v>816</v>
      </c>
      <c r="AG11" s="780"/>
      <c r="AH11" s="772" t="s">
        <v>11</v>
      </c>
      <c r="AI11" s="772">
        <v>0.48399999999999999</v>
      </c>
      <c r="AJ11" s="802">
        <v>9.0999999999999998E-2</v>
      </c>
      <c r="AK11" s="310">
        <f>ROUND(AI11*AJ11,4)</f>
        <v>4.3999999999999997E-2</v>
      </c>
    </row>
    <row r="12" spans="1:51">
      <c r="B12" s="772">
        <f t="shared" ca="1" si="5"/>
        <v>4</v>
      </c>
      <c r="D12" s="797">
        <v>1.03</v>
      </c>
      <c r="F12" s="772" t="str">
        <f>+INDEX('Tab 4 Adjustment Details'!$7:$7&amp;" "&amp;'Tab 4 Adjustment Details'!$8:$8&amp;" "&amp;'Tab 4 Adjustment Details'!$9:$9,1,MATCH(D12,'Tab 4 Adjustment Details'!$10:$10,0))</f>
        <v xml:space="preserve">Working Capital  </v>
      </c>
      <c r="G12" s="774"/>
      <c r="I12" s="798">
        <v>-30.195269999999997</v>
      </c>
      <c r="J12" s="798"/>
      <c r="K12" s="798">
        <v>-3006</v>
      </c>
      <c r="L12" s="798"/>
      <c r="M12" s="800">
        <f t="shared" si="6"/>
        <v>-294.84290772069687</v>
      </c>
      <c r="P12" s="798">
        <f t="shared" si="0"/>
        <v>-30.195269999999997</v>
      </c>
      <c r="Q12" s="798"/>
      <c r="R12" s="798">
        <f t="shared" si="1"/>
        <v>-3006</v>
      </c>
      <c r="S12" s="798"/>
      <c r="T12" s="798">
        <f t="shared" si="2"/>
        <v>-294.84290772069687</v>
      </c>
      <c r="W12" s="800">
        <v>0</v>
      </c>
      <c r="X12" s="798"/>
      <c r="Y12" s="798">
        <f t="shared" si="3"/>
        <v>0</v>
      </c>
      <c r="Z12" s="809"/>
      <c r="AA12" s="809">
        <v>0</v>
      </c>
      <c r="AB12" s="801"/>
      <c r="AC12" s="798">
        <f t="shared" si="4"/>
        <v>0</v>
      </c>
      <c r="AE12" s="772" t="s">
        <v>816</v>
      </c>
      <c r="AG12" s="780"/>
      <c r="AH12" s="772" t="s">
        <v>137</v>
      </c>
      <c r="AI12" s="803">
        <f>SUM(AI10:AI11)</f>
        <v>1</v>
      </c>
      <c r="AK12" s="166">
        <f>+ROUND(SUM(AK10:AK11),4)</f>
        <v>7.0800000000000002E-2</v>
      </c>
    </row>
    <row r="13" spans="1:51">
      <c r="B13" s="772">
        <f t="shared" ca="1" si="5"/>
        <v>5</v>
      </c>
      <c r="D13" s="797">
        <v>2.0099999999999998</v>
      </c>
      <c r="F13" s="772" t="str">
        <f>+INDEX('Tab 4 Adjustment Details'!$7:$7&amp;" "&amp;'Tab 4 Adjustment Details'!$8:$8&amp;" "&amp;'Tab 4 Adjustment Details'!$9:$9,1,MATCH(D13,'Tab 4 Adjustment Details'!$10:$10,0))</f>
        <v>Eliminate B &amp; O Taxes</v>
      </c>
      <c r="G13" s="774"/>
      <c r="I13" s="798">
        <v>-95.550000000000011</v>
      </c>
      <c r="J13" s="798"/>
      <c r="K13" s="798">
        <v>0</v>
      </c>
      <c r="L13" s="798"/>
      <c r="M13" s="800">
        <f t="shared" si="6"/>
        <v>154.25895162032441</v>
      </c>
      <c r="P13" s="798">
        <f t="shared" si="0"/>
        <v>-95.550000000000011</v>
      </c>
      <c r="Q13" s="798"/>
      <c r="R13" s="798">
        <f t="shared" si="1"/>
        <v>0</v>
      </c>
      <c r="S13" s="798"/>
      <c r="T13" s="798">
        <f t="shared" si="2"/>
        <v>154.25895162032441</v>
      </c>
      <c r="W13" s="800">
        <v>0</v>
      </c>
      <c r="X13" s="798"/>
      <c r="Y13" s="798">
        <f t="shared" si="3"/>
        <v>0</v>
      </c>
      <c r="Z13" s="809"/>
      <c r="AA13" s="809">
        <v>0</v>
      </c>
      <c r="AB13" s="801"/>
      <c r="AC13" s="798">
        <f t="shared" si="4"/>
        <v>0</v>
      </c>
      <c r="AE13" s="772" t="s">
        <v>816</v>
      </c>
      <c r="AG13" s="780"/>
      <c r="AH13" s="774"/>
      <c r="AK13" s="802"/>
    </row>
    <row r="14" spans="1:51">
      <c r="B14" s="772">
        <f t="shared" ca="1" si="5"/>
        <v>6</v>
      </c>
      <c r="D14" s="797">
        <v>2.0199999999999996</v>
      </c>
      <c r="F14" s="772" t="str">
        <f>+INDEX('Tab 4 Adjustment Details'!$7:$7&amp;" "&amp;'Tab 4 Adjustment Details'!$8:$8&amp;" "&amp;'Tab 4 Adjustment Details'!$9:$9,1,MATCH(D14,'Tab 4 Adjustment Details'!$10:$10,0))</f>
        <v>Restate Property Tax</v>
      </c>
      <c r="G14" s="774"/>
      <c r="I14" s="798">
        <v>162.5</v>
      </c>
      <c r="J14" s="798"/>
      <c r="K14" s="798">
        <v>0</v>
      </c>
      <c r="L14" s="798"/>
      <c r="M14" s="800">
        <f t="shared" si="6"/>
        <v>-262.34515581687822</v>
      </c>
      <c r="P14" s="798">
        <f t="shared" si="0"/>
        <v>162.5</v>
      </c>
      <c r="Q14" s="798"/>
      <c r="R14" s="798">
        <f t="shared" si="1"/>
        <v>0</v>
      </c>
      <c r="S14" s="798"/>
      <c r="T14" s="798">
        <f t="shared" si="2"/>
        <v>-262.34515581687822</v>
      </c>
      <c r="W14" s="800">
        <v>0</v>
      </c>
      <c r="X14" s="798"/>
      <c r="Y14" s="798">
        <f t="shared" si="3"/>
        <v>0</v>
      </c>
      <c r="Z14" s="809"/>
      <c r="AA14" s="809">
        <v>0</v>
      </c>
      <c r="AB14" s="801"/>
      <c r="AC14" s="798">
        <f t="shared" si="4"/>
        <v>0</v>
      </c>
      <c r="AE14" s="772" t="s">
        <v>816</v>
      </c>
      <c r="AG14" s="780"/>
      <c r="AH14" s="774"/>
      <c r="AJ14" s="804" t="s">
        <v>807</v>
      </c>
      <c r="AK14" s="802">
        <v>7.6899999999999996E-2</v>
      </c>
    </row>
    <row r="15" spans="1:51">
      <c r="B15" s="772">
        <f t="shared" ca="1" si="5"/>
        <v>7</v>
      </c>
      <c r="D15" s="797">
        <v>2.0299999999999994</v>
      </c>
      <c r="F15" s="772" t="str">
        <f>+INDEX('Tab 4 Adjustment Details'!$7:$7&amp;" "&amp;'Tab 4 Adjustment Details'!$8:$8&amp;" "&amp;'Tab 4 Adjustment Details'!$9:$9,1,MATCH(D15,'Tab 4 Adjustment Details'!$10:$10,0))</f>
        <v xml:space="preserve">Uncollect. Expense  </v>
      </c>
      <c r="G15" s="774"/>
      <c r="I15" s="798">
        <v>-858.65000000000009</v>
      </c>
      <c r="J15" s="798"/>
      <c r="K15" s="798">
        <v>0</v>
      </c>
      <c r="L15" s="798"/>
      <c r="M15" s="800">
        <f t="shared" si="6"/>
        <v>1386.2318033363847</v>
      </c>
      <c r="P15" s="798">
        <f t="shared" si="0"/>
        <v>-858.65000000000009</v>
      </c>
      <c r="Q15" s="798"/>
      <c r="R15" s="798">
        <f t="shared" si="1"/>
        <v>0</v>
      </c>
      <c r="S15" s="798"/>
      <c r="T15" s="798">
        <f t="shared" si="2"/>
        <v>1386.2318033363847</v>
      </c>
      <c r="W15" s="800">
        <v>0</v>
      </c>
      <c r="X15" s="798"/>
      <c r="Y15" s="798">
        <f t="shared" si="3"/>
        <v>0</v>
      </c>
      <c r="Z15" s="809"/>
      <c r="AA15" s="809">
        <v>0</v>
      </c>
      <c r="AB15" s="801"/>
      <c r="AC15" s="798">
        <f t="shared" si="4"/>
        <v>0</v>
      </c>
      <c r="AE15" s="772" t="s">
        <v>816</v>
      </c>
      <c r="AG15" s="780"/>
      <c r="AH15" s="774"/>
      <c r="AJ15" s="804"/>
      <c r="AK15" s="802"/>
    </row>
    <row r="16" spans="1:51">
      <c r="B16" s="772">
        <f t="shared" ca="1" si="5"/>
        <v>8</v>
      </c>
      <c r="D16" s="797">
        <v>2.0399999999999991</v>
      </c>
      <c r="F16" s="772" t="str">
        <f>+INDEX('Tab 4 Adjustment Details'!$7:$7&amp;" "&amp;'Tab 4 Adjustment Details'!$8:$8&amp;" "&amp;'Tab 4 Adjustment Details'!$9:$9,1,MATCH(D16,'Tab 4 Adjustment Details'!$10:$10,0))</f>
        <v xml:space="preserve">Regulatory Expense  </v>
      </c>
      <c r="G16" s="774"/>
      <c r="I16" s="798">
        <v>-4.5500000000000007</v>
      </c>
      <c r="J16" s="798"/>
      <c r="K16" s="798">
        <v>0</v>
      </c>
      <c r="L16" s="798"/>
      <c r="M16" s="800">
        <f t="shared" si="6"/>
        <v>7.3456643628725917</v>
      </c>
      <c r="P16" s="798">
        <f t="shared" si="0"/>
        <v>-4.5500000000000007</v>
      </c>
      <c r="Q16" s="798"/>
      <c r="R16" s="798">
        <f t="shared" si="1"/>
        <v>0</v>
      </c>
      <c r="S16" s="798"/>
      <c r="T16" s="798">
        <f t="shared" si="2"/>
        <v>7.3456643628725917</v>
      </c>
      <c r="W16" s="800">
        <v>0</v>
      </c>
      <c r="X16" s="798"/>
      <c r="Y16" s="798">
        <f t="shared" si="3"/>
        <v>0</v>
      </c>
      <c r="Z16" s="809"/>
      <c r="AA16" s="809">
        <v>0</v>
      </c>
      <c r="AB16" s="801"/>
      <c r="AC16" s="798">
        <f t="shared" si="4"/>
        <v>0</v>
      </c>
      <c r="AE16" s="772" t="s">
        <v>816</v>
      </c>
      <c r="AG16" s="780"/>
      <c r="AH16" s="774"/>
      <c r="AJ16" s="804" t="s">
        <v>808</v>
      </c>
      <c r="AK16" s="798">
        <f>+K51</f>
        <v>1472291</v>
      </c>
    </row>
    <row r="17" spans="2:37">
      <c r="B17" s="772">
        <f t="shared" ca="1" si="5"/>
        <v>9</v>
      </c>
      <c r="D17" s="797">
        <v>2.0499999999999989</v>
      </c>
      <c r="F17" s="772" t="str">
        <f>+INDEX('Tab 4 Adjustment Details'!$7:$7&amp;" "&amp;'Tab 4 Adjustment Details'!$8:$8&amp;" "&amp;'Tab 4 Adjustment Details'!$9:$9,1,MATCH(D17,'Tab 4 Adjustment Details'!$10:$10,0))</f>
        <v>Injuries and  Damages</v>
      </c>
      <c r="G17" s="774"/>
      <c r="I17" s="798">
        <v>-98.15</v>
      </c>
      <c r="J17" s="798"/>
      <c r="K17" s="798">
        <v>0</v>
      </c>
      <c r="L17" s="798"/>
      <c r="M17" s="800">
        <f t="shared" si="6"/>
        <v>158.45647411339448</v>
      </c>
      <c r="P17" s="798">
        <f t="shared" si="0"/>
        <v>-98.15</v>
      </c>
      <c r="Q17" s="798"/>
      <c r="R17" s="798">
        <f t="shared" si="1"/>
        <v>0</v>
      </c>
      <c r="S17" s="798"/>
      <c r="T17" s="798">
        <f t="shared" si="2"/>
        <v>158.45647411339448</v>
      </c>
      <c r="W17" s="800">
        <v>0</v>
      </c>
      <c r="X17" s="798"/>
      <c r="Y17" s="798">
        <f t="shared" si="3"/>
        <v>0</v>
      </c>
      <c r="Z17" s="798"/>
      <c r="AA17" s="798">
        <v>0</v>
      </c>
      <c r="AB17" s="801"/>
      <c r="AC17" s="798">
        <f t="shared" si="4"/>
        <v>0</v>
      </c>
      <c r="AE17" s="772" t="s">
        <v>816</v>
      </c>
      <c r="AG17" s="780"/>
      <c r="AH17" s="774"/>
      <c r="AJ17" s="804"/>
    </row>
    <row r="18" spans="2:37">
      <c r="B18" s="772">
        <f t="shared" ca="1" si="5"/>
        <v>10</v>
      </c>
      <c r="D18" s="797">
        <v>2.0599999999999987</v>
      </c>
      <c r="F18" s="772" t="str">
        <f>+INDEX('Tab 4 Adjustment Details'!$7:$7&amp;" "&amp;'Tab 4 Adjustment Details'!$8:$8&amp;" "&amp;'Tab 4 Adjustment Details'!$9:$9,1,MATCH(D18,'Tab 4 Adjustment Details'!$10:$10,0))</f>
        <v>FIT/DFIT/ ITC Expense</v>
      </c>
      <c r="G18" s="774"/>
      <c r="I18" s="798">
        <v>-69</v>
      </c>
      <c r="J18" s="798"/>
      <c r="K18" s="798">
        <v>0</v>
      </c>
      <c r="L18" s="798"/>
      <c r="M18" s="800">
        <f t="shared" si="6"/>
        <v>111.39578923916676</v>
      </c>
      <c r="P18" s="798">
        <f t="shared" si="0"/>
        <v>-69</v>
      </c>
      <c r="Q18" s="798"/>
      <c r="R18" s="798">
        <f t="shared" si="1"/>
        <v>0</v>
      </c>
      <c r="S18" s="798"/>
      <c r="T18" s="798">
        <f t="shared" si="2"/>
        <v>111.39578923916676</v>
      </c>
      <c r="W18" s="800">
        <v>0</v>
      </c>
      <c r="X18" s="798"/>
      <c r="Y18" s="798">
        <f t="shared" si="3"/>
        <v>0</v>
      </c>
      <c r="Z18" s="798"/>
      <c r="AA18" s="798">
        <v>0</v>
      </c>
      <c r="AB18" s="801"/>
      <c r="AC18" s="798">
        <f t="shared" si="4"/>
        <v>0</v>
      </c>
      <c r="AE18" s="772" t="s">
        <v>816</v>
      </c>
      <c r="AG18" s="780"/>
      <c r="AH18" s="774"/>
      <c r="AJ18" s="804" t="s">
        <v>809</v>
      </c>
      <c r="AK18" s="798">
        <f>-((AK16*AK14)-(AK16*AK12))/AI4</f>
        <v>-14499.171150750784</v>
      </c>
    </row>
    <row r="19" spans="2:37">
      <c r="B19" s="772">
        <f t="shared" ca="1" si="5"/>
        <v>11</v>
      </c>
      <c r="D19" s="797">
        <v>2.0699999999999985</v>
      </c>
      <c r="F19" s="772" t="str">
        <f>+INDEX('Tab 4 Adjustment Details'!$7:$7&amp;" "&amp;'Tab 4 Adjustment Details'!$8:$8&amp;" "&amp;'Tab 4 Adjustment Details'!$9:$9,1,MATCH(D19,'Tab 4 Adjustment Details'!$10:$10,0))</f>
        <v>Office Space Charges to Non-Utility</v>
      </c>
      <c r="G19" s="774"/>
      <c r="I19" s="798">
        <v>20.149999999999999</v>
      </c>
      <c r="J19" s="798"/>
      <c r="K19" s="798">
        <v>0</v>
      </c>
      <c r="L19" s="798"/>
      <c r="M19" s="800">
        <f t="shared" si="6"/>
        <v>-32.530799321292896</v>
      </c>
      <c r="P19" s="798">
        <f t="shared" si="0"/>
        <v>20.149999999999999</v>
      </c>
      <c r="Q19" s="798"/>
      <c r="R19" s="798">
        <f t="shared" si="1"/>
        <v>0</v>
      </c>
      <c r="S19" s="798"/>
      <c r="T19" s="798">
        <f t="shared" si="2"/>
        <v>-32.530799321292896</v>
      </c>
      <c r="W19" s="800">
        <v>0</v>
      </c>
      <c r="X19" s="798"/>
      <c r="Y19" s="798">
        <f t="shared" si="3"/>
        <v>0</v>
      </c>
      <c r="Z19" s="798"/>
      <c r="AA19" s="798">
        <v>0</v>
      </c>
      <c r="AB19" s="801"/>
      <c r="AC19" s="798">
        <f t="shared" si="4"/>
        <v>0</v>
      </c>
      <c r="AE19" s="772" t="s">
        <v>816</v>
      </c>
      <c r="AG19" s="780"/>
      <c r="AH19" s="774"/>
      <c r="AJ19" s="804"/>
      <c r="AK19" s="805">
        <f>+AK18-M64</f>
        <v>-166.15012923528593</v>
      </c>
    </row>
    <row r="20" spans="2:37">
      <c r="B20" s="772">
        <f t="shared" ca="1" si="5"/>
        <v>12</v>
      </c>
      <c r="D20" s="797">
        <v>2.0799999999999983</v>
      </c>
      <c r="F20" s="772" t="str">
        <f>+INDEX('Tab 4 Adjustment Details'!$7:$7&amp;" "&amp;'Tab 4 Adjustment Details'!$8:$8&amp;" "&amp;'Tab 4 Adjustment Details'!$9:$9,1,MATCH(D20,'Tab 4 Adjustment Details'!$10:$10,0))</f>
        <v>Restate Excise Taxes</v>
      </c>
      <c r="G20" s="774"/>
      <c r="I20" s="798">
        <v>40.299999999999997</v>
      </c>
      <c r="J20" s="798"/>
      <c r="K20" s="798">
        <v>0</v>
      </c>
      <c r="L20" s="798"/>
      <c r="M20" s="800">
        <f t="shared" si="6"/>
        <v>-65.061598642585793</v>
      </c>
      <c r="P20" s="798">
        <f t="shared" si="0"/>
        <v>40.299999999999997</v>
      </c>
      <c r="Q20" s="798"/>
      <c r="R20" s="798">
        <f t="shared" si="1"/>
        <v>0</v>
      </c>
      <c r="S20" s="798"/>
      <c r="T20" s="798">
        <f t="shared" si="2"/>
        <v>-65.061598642585793</v>
      </c>
      <c r="W20" s="800">
        <v>0</v>
      </c>
      <c r="X20" s="798"/>
      <c r="Y20" s="798">
        <f t="shared" si="3"/>
        <v>0</v>
      </c>
      <c r="Z20" s="798"/>
      <c r="AA20" s="798">
        <v>0</v>
      </c>
      <c r="AB20" s="801"/>
      <c r="AC20" s="798">
        <f t="shared" si="4"/>
        <v>0</v>
      </c>
      <c r="AE20" s="772" t="s">
        <v>816</v>
      </c>
      <c r="AG20" s="780"/>
      <c r="AH20" s="774"/>
      <c r="AJ20" s="804"/>
      <c r="AK20" s="798"/>
    </row>
    <row r="21" spans="2:37">
      <c r="B21" s="772">
        <f t="shared" ca="1" si="5"/>
        <v>13</v>
      </c>
      <c r="D21" s="797">
        <v>2.0899999999999981</v>
      </c>
      <c r="F21" s="772" t="str">
        <f>+INDEX('Tab 4 Adjustment Details'!$7:$7&amp;" "&amp;'Tab 4 Adjustment Details'!$8:$8&amp;" "&amp;'Tab 4 Adjustment Details'!$9:$9,1,MATCH(D21,'Tab 4 Adjustment Details'!$10:$10,0))</f>
        <v>Net Gains /  Losses</v>
      </c>
      <c r="G21" s="774"/>
      <c r="I21" s="798">
        <v>61.1</v>
      </c>
      <c r="J21" s="798"/>
      <c r="K21" s="798">
        <v>0</v>
      </c>
      <c r="L21" s="798"/>
      <c r="M21" s="800">
        <f t="shared" si="6"/>
        <v>-98.64177858714622</v>
      </c>
      <c r="P21" s="798">
        <f t="shared" si="0"/>
        <v>61.1</v>
      </c>
      <c r="Q21" s="798"/>
      <c r="R21" s="798">
        <f t="shared" si="1"/>
        <v>0</v>
      </c>
      <c r="S21" s="798"/>
      <c r="T21" s="798">
        <f t="shared" si="2"/>
        <v>-98.64177858714622</v>
      </c>
      <c r="W21" s="800">
        <v>0</v>
      </c>
      <c r="X21" s="798"/>
      <c r="Y21" s="798">
        <f t="shared" si="3"/>
        <v>0</v>
      </c>
      <c r="Z21" s="798"/>
      <c r="AA21" s="798">
        <v>0</v>
      </c>
      <c r="AB21" s="801"/>
      <c r="AC21" s="798">
        <f t="shared" si="4"/>
        <v>0</v>
      </c>
      <c r="AE21" s="772" t="s">
        <v>816</v>
      </c>
      <c r="AG21" s="780"/>
      <c r="AH21" s="774"/>
    </row>
    <row r="22" spans="2:37">
      <c r="B22" s="772">
        <f t="shared" ca="1" si="5"/>
        <v>14</v>
      </c>
      <c r="D22" s="797">
        <v>2.0999999999999979</v>
      </c>
      <c r="F22" s="772" t="str">
        <f>+INDEX('Tab 4 Adjustment Details'!$7:$7&amp;" "&amp;'Tab 4 Adjustment Details'!$8:$8&amp;" "&amp;'Tab 4 Adjustment Details'!$9:$9,1,MATCH(D22,'Tab 4 Adjustment Details'!$10:$10,0))</f>
        <v xml:space="preserve">Weather  Normalization  </v>
      </c>
      <c r="G22" s="774"/>
      <c r="I22" s="798">
        <v>824.85</v>
      </c>
      <c r="J22" s="798"/>
      <c r="K22" s="798">
        <v>0</v>
      </c>
      <c r="L22" s="798"/>
      <c r="M22" s="800">
        <f t="shared" si="6"/>
        <v>-1331.664010926474</v>
      </c>
      <c r="P22" s="798">
        <f t="shared" si="0"/>
        <v>824.85</v>
      </c>
      <c r="Q22" s="798"/>
      <c r="R22" s="798">
        <f t="shared" si="1"/>
        <v>0</v>
      </c>
      <c r="S22" s="798"/>
      <c r="T22" s="798">
        <f t="shared" si="2"/>
        <v>-1331.664010926474</v>
      </c>
      <c r="W22" s="800">
        <v>0</v>
      </c>
      <c r="X22" s="798"/>
      <c r="Y22" s="798">
        <f t="shared" si="3"/>
        <v>0</v>
      </c>
      <c r="Z22" s="798"/>
      <c r="AA22" s="798">
        <v>0</v>
      </c>
      <c r="AB22" s="801"/>
      <c r="AC22" s="798">
        <f t="shared" si="4"/>
        <v>0</v>
      </c>
      <c r="AE22" s="772" t="s">
        <v>816</v>
      </c>
      <c r="AG22" s="780"/>
      <c r="AH22" s="774"/>
    </row>
    <row r="23" spans="2:37">
      <c r="B23" s="772">
        <f t="shared" ca="1" si="5"/>
        <v>15</v>
      </c>
      <c r="D23" s="797">
        <v>2.1099999999999977</v>
      </c>
      <c r="F23" s="772" t="str">
        <f>+INDEX('Tab 4 Adjustment Details'!$7:$7&amp;" "&amp;'Tab 4 Adjustment Details'!$8:$8&amp;" "&amp;'Tab 4 Adjustment Details'!$9:$9,1,MATCH(D23,'Tab 4 Adjustment Details'!$10:$10,0))</f>
        <v>Eliminate Adder Schedules</v>
      </c>
      <c r="G23" s="774"/>
      <c r="I23" s="798">
        <v>0</v>
      </c>
      <c r="J23" s="798"/>
      <c r="K23" s="798">
        <v>0</v>
      </c>
      <c r="L23" s="798"/>
      <c r="M23" s="800">
        <f t="shared" si="6"/>
        <v>0</v>
      </c>
      <c r="P23" s="798">
        <f t="shared" si="0"/>
        <v>0</v>
      </c>
      <c r="Q23" s="798"/>
      <c r="R23" s="798">
        <f t="shared" si="1"/>
        <v>0</v>
      </c>
      <c r="S23" s="798"/>
      <c r="T23" s="798">
        <f t="shared" si="2"/>
        <v>0</v>
      </c>
      <c r="W23" s="800">
        <v>0</v>
      </c>
      <c r="X23" s="798"/>
      <c r="Y23" s="798">
        <f t="shared" si="3"/>
        <v>0</v>
      </c>
      <c r="Z23" s="798"/>
      <c r="AA23" s="798">
        <v>0</v>
      </c>
      <c r="AB23" s="801"/>
      <c r="AC23" s="798">
        <f t="shared" si="4"/>
        <v>0</v>
      </c>
      <c r="AE23" s="772" t="s">
        <v>816</v>
      </c>
      <c r="AG23" s="780"/>
      <c r="AH23" s="774"/>
    </row>
    <row r="24" spans="2:37">
      <c r="B24" s="772">
        <f t="shared" ca="1" si="5"/>
        <v>16</v>
      </c>
      <c r="D24" s="797">
        <v>2.1199999999999974</v>
      </c>
      <c r="F24" s="772" t="str">
        <f>+INDEX('Tab 4 Adjustment Details'!$7:$7&amp;" "&amp;'Tab 4 Adjustment Details'!$8:$8&amp;" "&amp;'Tab 4 Adjustment Details'!$9:$9,1,MATCH(D24,'Tab 4 Adjustment Details'!$10:$10,0))</f>
        <v>Misc. Restating Non-Util / Non- Recurring Expenses</v>
      </c>
      <c r="G24" s="774"/>
      <c r="I24" s="798">
        <v>-969.15</v>
      </c>
      <c r="J24" s="798"/>
      <c r="K24" s="798">
        <v>0</v>
      </c>
      <c r="L24" s="798"/>
      <c r="M24" s="800">
        <f t="shared" si="6"/>
        <v>1564.6265092918618</v>
      </c>
      <c r="P24" s="798">
        <f t="shared" si="0"/>
        <v>-969.15</v>
      </c>
      <c r="Q24" s="798"/>
      <c r="R24" s="798">
        <f t="shared" si="1"/>
        <v>0</v>
      </c>
      <c r="S24" s="798"/>
      <c r="T24" s="798">
        <f t="shared" si="2"/>
        <v>1564.6265092918618</v>
      </c>
      <c r="W24" s="800">
        <v>0</v>
      </c>
      <c r="X24" s="798"/>
      <c r="Y24" s="798">
        <f t="shared" si="3"/>
        <v>0</v>
      </c>
      <c r="Z24" s="798"/>
      <c r="AA24" s="800">
        <v>0</v>
      </c>
      <c r="AB24" s="801"/>
      <c r="AC24" s="798">
        <f t="shared" si="4"/>
        <v>0</v>
      </c>
      <c r="AE24" s="772" t="s">
        <v>816</v>
      </c>
      <c r="AG24" s="780"/>
      <c r="AH24" s="774"/>
    </row>
    <row r="25" spans="2:37">
      <c r="B25" s="772">
        <f t="shared" ca="1" si="5"/>
        <v>17</v>
      </c>
      <c r="D25" s="797">
        <v>2.1299999999999972</v>
      </c>
      <c r="F25" s="772" t="str">
        <f>+INDEX('Tab 4 Adjustment Details'!$7:$7&amp;" "&amp;'Tab 4 Adjustment Details'!$8:$8&amp;" "&amp;'Tab 4 Adjustment Details'!$9:$9,1,MATCH(D25,'Tab 4 Adjustment Details'!$10:$10,0))</f>
        <v>Eliminate WA Power Cost Defer</v>
      </c>
      <c r="G25" s="774"/>
      <c r="I25" s="798">
        <v>4386</v>
      </c>
      <c r="J25" s="798"/>
      <c r="K25" s="798">
        <v>0</v>
      </c>
      <c r="L25" s="798"/>
      <c r="M25" s="800">
        <f t="shared" si="6"/>
        <v>-7080.8975594635567</v>
      </c>
      <c r="P25" s="798">
        <f t="shared" si="0"/>
        <v>4386</v>
      </c>
      <c r="Q25" s="798"/>
      <c r="R25" s="798">
        <f t="shared" si="1"/>
        <v>0</v>
      </c>
      <c r="S25" s="798"/>
      <c r="T25" s="798">
        <f t="shared" si="2"/>
        <v>-7080.8975594635567</v>
      </c>
      <c r="W25" s="800">
        <v>0</v>
      </c>
      <c r="X25" s="798"/>
      <c r="Y25" s="798">
        <f t="shared" si="3"/>
        <v>0</v>
      </c>
      <c r="Z25" s="798"/>
      <c r="AA25" s="800">
        <v>0</v>
      </c>
      <c r="AB25" s="801"/>
      <c r="AC25" s="798">
        <f t="shared" si="4"/>
        <v>0</v>
      </c>
      <c r="AE25" s="772" t="s">
        <v>816</v>
      </c>
      <c r="AG25" s="780"/>
      <c r="AH25" s="774"/>
    </row>
    <row r="26" spans="2:37">
      <c r="B26" s="772">
        <f t="shared" ca="1" si="5"/>
        <v>18</v>
      </c>
      <c r="D26" s="797">
        <v>2.139999999999997</v>
      </c>
      <c r="F26" s="772" t="str">
        <f>+INDEX('Tab 4 Adjustment Details'!$7:$7&amp;" "&amp;'Tab 4 Adjustment Details'!$8:$8&amp;" "&amp;'Tab 4 Adjustment Details'!$9:$9,1,MATCH(D26,'Tab 4 Adjustment Details'!$10:$10,0))</f>
        <v>Nez Perce Settlement Adjustment</v>
      </c>
      <c r="G26" s="774"/>
      <c r="I26" s="798">
        <v>2.6</v>
      </c>
      <c r="J26" s="798"/>
      <c r="K26" s="798">
        <v>0</v>
      </c>
      <c r="L26" s="798"/>
      <c r="M26" s="800">
        <f t="shared" si="6"/>
        <v>-4.1975224930700517</v>
      </c>
      <c r="P26" s="798">
        <f t="shared" si="0"/>
        <v>2.6</v>
      </c>
      <c r="Q26" s="798"/>
      <c r="R26" s="798">
        <f t="shared" si="1"/>
        <v>0</v>
      </c>
      <c r="S26" s="798"/>
      <c r="T26" s="798">
        <f t="shared" si="2"/>
        <v>-4.1975224930700517</v>
      </c>
      <c r="W26" s="800">
        <v>0</v>
      </c>
      <c r="X26" s="798"/>
      <c r="Y26" s="798">
        <f>+W26*(1-$AI$5)+$AA26*$AK$12*$AI$7</f>
        <v>0</v>
      </c>
      <c r="Z26" s="798"/>
      <c r="AA26" s="800">
        <v>0</v>
      </c>
      <c r="AB26" s="801"/>
      <c r="AC26" s="798">
        <f t="shared" si="4"/>
        <v>0</v>
      </c>
      <c r="AE26" s="772" t="s">
        <v>816</v>
      </c>
      <c r="AG26" s="780"/>
      <c r="AH26" s="774"/>
    </row>
    <row r="27" spans="2:37">
      <c r="B27" s="772">
        <f t="shared" ca="1" si="5"/>
        <v>19</v>
      </c>
      <c r="D27" s="797">
        <v>2.1499999999999968</v>
      </c>
      <c r="F27" s="772" t="str">
        <f>+INDEX('Tab 4 Adjustment Details'!$7:$7&amp;" "&amp;'Tab 4 Adjustment Details'!$8:$8&amp;" "&amp;'Tab 4 Adjustment Details'!$9:$9,1,MATCH(D27,'Tab 4 Adjustment Details'!$10:$10,0))</f>
        <v xml:space="preserve">Restating  Incentives </v>
      </c>
      <c r="G27" s="774"/>
      <c r="I27" s="798">
        <v>406.9</v>
      </c>
      <c r="J27" s="798"/>
      <c r="K27" s="798">
        <v>0</v>
      </c>
      <c r="L27" s="798"/>
      <c r="M27" s="800">
        <f t="shared" si="6"/>
        <v>-656.91227016546304</v>
      </c>
      <c r="P27" s="798">
        <f t="shared" ref="P27:P30" si="7">+I27+Y27</f>
        <v>406.9</v>
      </c>
      <c r="Q27" s="798"/>
      <c r="R27" s="798">
        <f t="shared" ref="R27:R30" si="8">+K27+AA27</f>
        <v>0</v>
      </c>
      <c r="S27" s="798"/>
      <c r="T27" s="798">
        <f t="shared" si="2"/>
        <v>-656.91227016546304</v>
      </c>
      <c r="W27" s="800">
        <v>0</v>
      </c>
      <c r="X27" s="798"/>
      <c r="Y27" s="798">
        <f t="shared" ref="Y27:Y30" si="9">+W27*(1-$AI$5)+$AA27*$AK$12*$AI$7</f>
        <v>0</v>
      </c>
      <c r="Z27" s="798"/>
      <c r="AA27" s="800">
        <v>0</v>
      </c>
      <c r="AB27" s="801"/>
      <c r="AC27" s="798">
        <f t="shared" si="4"/>
        <v>0</v>
      </c>
      <c r="AE27" s="772" t="s">
        <v>816</v>
      </c>
      <c r="AG27" s="780"/>
      <c r="AH27" s="774"/>
    </row>
    <row r="28" spans="2:37">
      <c r="B28" s="772">
        <f t="shared" ca="1" si="5"/>
        <v>20</v>
      </c>
      <c r="D28" s="797">
        <v>2.1599999999999966</v>
      </c>
      <c r="F28" s="772" t="str">
        <f>+INDEX('Tab 4 Adjustment Details'!$7:$7&amp;" "&amp;'Tab 4 Adjustment Details'!$8:$8&amp;" "&amp;'Tab 4 Adjustment Details'!$9:$9,1,MATCH(D28,'Tab 4 Adjustment Details'!$10:$10,0))</f>
        <v>Normalize CS2/Colstrip Major Maint</v>
      </c>
      <c r="G28" s="774"/>
      <c r="I28" s="798">
        <v>763.1</v>
      </c>
      <c r="J28" s="798"/>
      <c r="K28" s="798">
        <v>0</v>
      </c>
      <c r="L28" s="798"/>
      <c r="M28" s="800">
        <f t="shared" si="6"/>
        <v>-1231.9728517160602</v>
      </c>
      <c r="P28" s="798">
        <f t="shared" si="7"/>
        <v>763.1</v>
      </c>
      <c r="Q28" s="798"/>
      <c r="R28" s="798">
        <f t="shared" si="8"/>
        <v>0</v>
      </c>
      <c r="S28" s="798"/>
      <c r="T28" s="798">
        <f t="shared" si="2"/>
        <v>-1231.9728517160602</v>
      </c>
      <c r="W28" s="800">
        <v>0</v>
      </c>
      <c r="X28" s="798"/>
      <c r="Y28" s="798">
        <f t="shared" si="9"/>
        <v>0</v>
      </c>
      <c r="Z28" s="798"/>
      <c r="AA28" s="800">
        <v>0</v>
      </c>
      <c r="AB28" s="801"/>
      <c r="AC28" s="798">
        <f t="shared" si="4"/>
        <v>0</v>
      </c>
      <c r="AE28" s="772" t="s">
        <v>816</v>
      </c>
      <c r="AG28" s="780"/>
      <c r="AH28" s="774"/>
    </row>
    <row r="29" spans="2:37">
      <c r="B29" s="772">
        <f t="shared" ca="1" si="5"/>
        <v>21</v>
      </c>
      <c r="D29" s="797">
        <v>2.1699999999999964</v>
      </c>
      <c r="F29" s="772" t="str">
        <f>+INDEX('Tab 4 Adjustment Details'!$7:$7&amp;" "&amp;'Tab 4 Adjustment Details'!$8:$8&amp;" "&amp;'Tab 4 Adjustment Details'!$9:$9,1,MATCH(D29,'Tab 4 Adjustment Details'!$10:$10,0))</f>
        <v>Restate Debt Interest</v>
      </c>
      <c r="G29" s="774"/>
      <c r="I29" s="798">
        <v>759</v>
      </c>
      <c r="J29" s="798"/>
      <c r="K29" s="798">
        <v>0</v>
      </c>
      <c r="L29" s="798"/>
      <c r="M29" s="800">
        <f t="shared" si="6"/>
        <v>-1225.3536816308344</v>
      </c>
      <c r="P29" s="798">
        <f t="shared" si="7"/>
        <v>-325.53623259042479</v>
      </c>
      <c r="Q29" s="798"/>
      <c r="R29" s="798">
        <f t="shared" si="8"/>
        <v>0</v>
      </c>
      <c r="S29" s="798"/>
      <c r="T29" s="798">
        <f t="shared" si="2"/>
        <v>525.55602254138159</v>
      </c>
      <c r="W29" s="800">
        <v>0</v>
      </c>
      <c r="X29" s="798"/>
      <c r="Y29" s="798">
        <v>-1084.5362325904248</v>
      </c>
      <c r="Z29" s="798"/>
      <c r="AA29" s="800">
        <v>0</v>
      </c>
      <c r="AB29" s="801"/>
      <c r="AC29" s="798">
        <f t="shared" si="4"/>
        <v>1750.9097041722159</v>
      </c>
      <c r="AE29" s="772" t="s">
        <v>825</v>
      </c>
      <c r="AG29" s="780"/>
      <c r="AH29" s="774"/>
    </row>
    <row r="30" spans="2:37">
      <c r="B30" s="772">
        <f t="shared" ca="1" si="5"/>
        <v>22</v>
      </c>
      <c r="C30" s="771"/>
      <c r="D30" s="797">
        <v>2.1799999999999962</v>
      </c>
      <c r="E30" s="771"/>
      <c r="F30" s="772" t="str">
        <f>+INDEX('Tab 4 Adjustment Details'!$7:$7&amp;" "&amp;'Tab 4 Adjustment Details'!$8:$8&amp;" "&amp;'Tab 4 Adjustment Details'!$9:$9,1,MATCH(D30,'Tab 4 Adjustment Details'!$10:$10,0))</f>
        <v>Authorized  Power Supply</v>
      </c>
      <c r="G30" s="774"/>
      <c r="I30" s="806">
        <v>-7696</v>
      </c>
      <c r="J30" s="796"/>
      <c r="K30" s="806">
        <v>0</v>
      </c>
      <c r="L30" s="796"/>
      <c r="M30" s="806">
        <f t="shared" si="6"/>
        <v>12424.666579487353</v>
      </c>
      <c r="O30" s="775"/>
      <c r="P30" s="806">
        <f t="shared" si="7"/>
        <v>-7696</v>
      </c>
      <c r="Q30" s="798"/>
      <c r="R30" s="806">
        <f t="shared" si="8"/>
        <v>0</v>
      </c>
      <c r="S30" s="798"/>
      <c r="T30" s="806">
        <f t="shared" si="2"/>
        <v>12424.666579487353</v>
      </c>
      <c r="W30" s="806">
        <v>0</v>
      </c>
      <c r="X30" s="798"/>
      <c r="Y30" s="806">
        <f t="shared" si="9"/>
        <v>0</v>
      </c>
      <c r="Z30" s="798"/>
      <c r="AA30" s="806">
        <v>0</v>
      </c>
      <c r="AB30" s="801"/>
      <c r="AC30" s="806">
        <f t="shared" si="4"/>
        <v>0</v>
      </c>
      <c r="AE30" s="772" t="s">
        <v>816</v>
      </c>
      <c r="AG30" s="780"/>
      <c r="AH30" s="774"/>
    </row>
    <row r="31" spans="2:37">
      <c r="C31" s="771"/>
      <c r="D31" s="771"/>
      <c r="E31" s="771"/>
      <c r="F31" s="796"/>
      <c r="G31" s="774"/>
      <c r="I31" s="796"/>
      <c r="J31" s="796"/>
      <c r="K31" s="796"/>
      <c r="L31" s="796"/>
      <c r="M31" s="798"/>
      <c r="O31" s="775"/>
      <c r="P31" s="796"/>
      <c r="Q31" s="796"/>
      <c r="R31" s="796"/>
      <c r="S31" s="796"/>
      <c r="T31" s="798"/>
      <c r="W31" s="796"/>
      <c r="X31" s="772"/>
      <c r="Y31" s="796"/>
      <c r="Z31" s="796"/>
      <c r="AA31" s="796"/>
      <c r="AB31" s="796"/>
      <c r="AC31" s="798"/>
      <c r="AE31" s="772"/>
      <c r="AG31" s="780"/>
      <c r="AH31" s="774"/>
    </row>
    <row r="32" spans="2:37">
      <c r="B32" s="772">
        <f t="shared" ca="1" si="5"/>
        <v>23</v>
      </c>
      <c r="C32" s="771"/>
      <c r="D32" s="771"/>
      <c r="E32" s="771"/>
      <c r="F32" s="771" t="s">
        <v>810</v>
      </c>
      <c r="G32" s="774"/>
      <c r="I32" s="796">
        <f>+SUM(I$7:I$31)</f>
        <v>108162.55100000002</v>
      </c>
      <c r="J32" s="796"/>
      <c r="K32" s="796">
        <f>+SUM(K$7:K$31)</f>
        <v>1442726</v>
      </c>
      <c r="L32" s="796"/>
      <c r="M32" s="796">
        <f>+($K32*$AK$12-$I32)/$AI$4</f>
        <v>-9714.9239683377855</v>
      </c>
      <c r="O32" s="775"/>
      <c r="P32" s="796">
        <f>+SUM(P$7:P$31)</f>
        <v>107078.01476740959</v>
      </c>
      <c r="Q32" s="796"/>
      <c r="R32" s="796">
        <f>+SUM(R$7:R$31)</f>
        <v>1442726</v>
      </c>
      <c r="S32" s="796"/>
      <c r="T32" s="796">
        <f>+SUM(T$7:T$31)</f>
        <v>-7964.0142641655384</v>
      </c>
      <c r="W32" s="796">
        <f>+SUM(W$7:W$31)</f>
        <v>0</v>
      </c>
      <c r="X32" s="796"/>
      <c r="Y32" s="796">
        <f>+SUM(Y$7:Y$31)</f>
        <v>-1084.5362325904248</v>
      </c>
      <c r="Z32" s="796"/>
      <c r="AA32" s="796">
        <f>+SUM(AA$7:AA$31)</f>
        <v>0</v>
      </c>
      <c r="AB32" s="796"/>
      <c r="AC32" s="796">
        <f>+SUM(AC$7:AC$31)</f>
        <v>1750.9097041722159</v>
      </c>
      <c r="AE32" s="772"/>
      <c r="AG32" s="780"/>
      <c r="AH32" s="774"/>
    </row>
    <row r="33" spans="2:34">
      <c r="G33" s="774"/>
      <c r="W33" s="772"/>
      <c r="X33" s="772"/>
      <c r="Y33" s="772"/>
      <c r="Z33" s="772"/>
      <c r="AA33" s="772"/>
      <c r="AE33" s="772"/>
      <c r="AG33" s="780"/>
      <c r="AH33" s="774"/>
    </row>
    <row r="34" spans="2:34">
      <c r="B34" s="799" t="s">
        <v>309</v>
      </c>
      <c r="D34" s="797"/>
      <c r="G34" s="774"/>
      <c r="W34" s="798"/>
      <c r="X34" s="798"/>
      <c r="Y34" s="798"/>
      <c r="Z34" s="798"/>
      <c r="AA34" s="798"/>
      <c r="AB34" s="801"/>
      <c r="AC34" s="801"/>
      <c r="AE34" s="772"/>
      <c r="AG34" s="780"/>
      <c r="AH34" s="774"/>
    </row>
    <row r="35" spans="2:34">
      <c r="B35" s="772">
        <f t="shared" ca="1" si="5"/>
        <v>24</v>
      </c>
      <c r="D35" s="797">
        <v>3.01</v>
      </c>
      <c r="F35" s="772" t="str">
        <f>+INDEX('Tab 4 Adjustment Details'!$7:$7&amp;" "&amp;'Tab 4 Adjustment Details'!$8:$8&amp;" "&amp;'Tab 4 Adjustment Details'!$9:$9,1,MATCH(D35,'Tab 4 Adjustment Details'!$10:$10,0))</f>
        <v>Pro Forma  Trans/Power Sup Non-ERM Rev/Exp</v>
      </c>
      <c r="G35" s="774"/>
      <c r="I35" s="798">
        <v>-65.650000000000006</v>
      </c>
      <c r="J35" s="796"/>
      <c r="K35" s="798">
        <v>0</v>
      </c>
      <c r="L35" s="796"/>
      <c r="M35" s="800">
        <f t="shared" ref="M35:M49" si="10">+($K35*$AK$12-$I35)/$AI$4</f>
        <v>105.98744295001882</v>
      </c>
      <c r="P35" s="798">
        <f t="shared" ref="P35:P47" si="11">+I35+Y35</f>
        <v>-65.650000000000006</v>
      </c>
      <c r="Q35" s="798"/>
      <c r="R35" s="798">
        <f t="shared" ref="R35:R47" si="12">+K35+AA35</f>
        <v>0</v>
      </c>
      <c r="S35" s="798"/>
      <c r="T35" s="798">
        <f t="shared" ref="T35:T49" si="13">+($R35*$AK$12-$P35)/$AI$4</f>
        <v>105.98744295001882</v>
      </c>
      <c r="W35" s="800">
        <v>0</v>
      </c>
      <c r="X35" s="798"/>
      <c r="Y35" s="800">
        <f t="shared" ref="Y35:Y43" si="14">+W35*(1-$AI$5)+$AA35*$AK$12*$AI$5</f>
        <v>0</v>
      </c>
      <c r="Z35" s="798"/>
      <c r="AA35" s="798">
        <v>0</v>
      </c>
      <c r="AB35" s="801"/>
      <c r="AC35" s="798">
        <f t="shared" ref="AC35:AC49" si="15">+($AA35*$AK$12-$Y35)/$AI$4</f>
        <v>0</v>
      </c>
      <c r="AE35" s="772" t="s">
        <v>816</v>
      </c>
      <c r="AG35" s="780"/>
      <c r="AH35" s="774"/>
    </row>
    <row r="36" spans="2:34">
      <c r="B36" s="772">
        <f t="shared" ca="1" si="5"/>
        <v>25</v>
      </c>
      <c r="D36" s="797">
        <v>3.0199999999999996</v>
      </c>
      <c r="F36" s="772" t="str">
        <f>+INDEX('Tab 4 Adjustment Details'!$7:$7&amp;" "&amp;'Tab 4 Adjustment Details'!$8:$8&amp;" "&amp;'Tab 4 Adjustment Details'!$9:$9,1,MATCH(D36,'Tab 4 Adjustment Details'!$10:$10,0))</f>
        <v>Pro Forma  Labor Non-Exec</v>
      </c>
      <c r="G36" s="774"/>
      <c r="I36" s="798">
        <v>-1861.6</v>
      </c>
      <c r="J36" s="796"/>
      <c r="K36" s="798">
        <v>0</v>
      </c>
      <c r="L36" s="796"/>
      <c r="M36" s="800">
        <f t="shared" si="10"/>
        <v>3005.4261050381569</v>
      </c>
      <c r="P36" s="798">
        <f t="shared" si="11"/>
        <v>-1167.1022999999998</v>
      </c>
      <c r="Q36" s="798"/>
      <c r="R36" s="798">
        <f t="shared" si="12"/>
        <v>0</v>
      </c>
      <c r="S36" s="798"/>
      <c r="T36" s="798">
        <f t="shared" si="13"/>
        <v>1884.2069830629964</v>
      </c>
      <c r="W36" s="800">
        <v>1068.4580000000001</v>
      </c>
      <c r="X36" s="798"/>
      <c r="Y36" s="800">
        <f t="shared" si="14"/>
        <v>694.49770000000012</v>
      </c>
      <c r="Z36" s="798"/>
      <c r="AA36" s="798">
        <v>0</v>
      </c>
      <c r="AB36" s="801"/>
      <c r="AC36" s="798">
        <f t="shared" si="15"/>
        <v>-1121.2191219751605</v>
      </c>
      <c r="AE36" s="772" t="s">
        <v>817</v>
      </c>
      <c r="AG36" s="780"/>
      <c r="AH36" s="774"/>
    </row>
    <row r="37" spans="2:34">
      <c r="B37" s="772">
        <f t="shared" ca="1" si="5"/>
        <v>26</v>
      </c>
      <c r="D37" s="797">
        <v>3.0299999999999994</v>
      </c>
      <c r="F37" s="772" t="str">
        <f>+INDEX('Tab 4 Adjustment Details'!$7:$7&amp;" "&amp;'Tab 4 Adjustment Details'!$8:$8&amp;" "&amp;'Tab 4 Adjustment Details'!$9:$9,1,MATCH(D37,'Tab 4 Adjustment Details'!$10:$10,0))</f>
        <v>Pro Forma  Labor Exec</v>
      </c>
      <c r="G37" s="774"/>
      <c r="I37" s="798">
        <v>21.450000000000003</v>
      </c>
      <c r="J37" s="796"/>
      <c r="K37" s="798">
        <v>0</v>
      </c>
      <c r="L37" s="796"/>
      <c r="M37" s="800">
        <f t="shared" si="10"/>
        <v>-34.62956056782793</v>
      </c>
      <c r="P37" s="798">
        <f t="shared" si="11"/>
        <v>21.450000000000003</v>
      </c>
      <c r="Q37" s="798"/>
      <c r="R37" s="798">
        <f t="shared" si="12"/>
        <v>0</v>
      </c>
      <c r="S37" s="798"/>
      <c r="T37" s="798">
        <f t="shared" si="13"/>
        <v>-34.62956056782793</v>
      </c>
      <c r="W37" s="800">
        <v>0</v>
      </c>
      <c r="X37" s="798"/>
      <c r="Y37" s="800">
        <f t="shared" si="14"/>
        <v>0</v>
      </c>
      <c r="Z37" s="798"/>
      <c r="AA37" s="798">
        <v>0</v>
      </c>
      <c r="AB37" s="801"/>
      <c r="AC37" s="798">
        <f t="shared" si="15"/>
        <v>0</v>
      </c>
      <c r="AE37" s="772" t="s">
        <v>816</v>
      </c>
      <c r="AG37" s="780"/>
      <c r="AH37" s="774"/>
    </row>
    <row r="38" spans="2:34">
      <c r="B38" s="772">
        <f t="shared" ca="1" si="5"/>
        <v>27</v>
      </c>
      <c r="D38" s="797">
        <v>3.0399999999999991</v>
      </c>
      <c r="F38" s="772" t="str">
        <f>+INDEX('Tab 4 Adjustment Details'!$7:$7&amp;" "&amp;'Tab 4 Adjustment Details'!$8:$8&amp;" "&amp;'Tab 4 Adjustment Details'!$9:$9,1,MATCH(D38,'Tab 4 Adjustment Details'!$10:$10,0))</f>
        <v>Pro Forma  Employee  Benefits</v>
      </c>
      <c r="G38" s="774"/>
      <c r="I38" s="798">
        <v>234</v>
      </c>
      <c r="J38" s="796"/>
      <c r="K38" s="798">
        <v>0</v>
      </c>
      <c r="L38" s="796"/>
      <c r="M38" s="800">
        <f t="shared" si="10"/>
        <v>-377.77702437630467</v>
      </c>
      <c r="P38" s="798">
        <f t="shared" si="11"/>
        <v>234</v>
      </c>
      <c r="Q38" s="798"/>
      <c r="R38" s="798">
        <f t="shared" si="12"/>
        <v>0</v>
      </c>
      <c r="S38" s="798"/>
      <c r="T38" s="798">
        <f t="shared" si="13"/>
        <v>-377.77702437630467</v>
      </c>
      <c r="W38" s="800">
        <v>0</v>
      </c>
      <c r="X38" s="798"/>
      <c r="Y38" s="800">
        <f t="shared" si="14"/>
        <v>0</v>
      </c>
      <c r="Z38" s="809"/>
      <c r="AA38" s="809">
        <v>0</v>
      </c>
      <c r="AB38" s="801"/>
      <c r="AC38" s="798">
        <f t="shared" si="15"/>
        <v>0</v>
      </c>
      <c r="AE38" s="772" t="s">
        <v>816</v>
      </c>
      <c r="AG38" s="780"/>
      <c r="AH38" s="774"/>
    </row>
    <row r="39" spans="2:34">
      <c r="B39" s="772">
        <f t="shared" ca="1" si="5"/>
        <v>28</v>
      </c>
      <c r="D39" s="797">
        <v>3.0499999999999989</v>
      </c>
      <c r="F39" s="772" t="str">
        <f>+INDEX('Tab 4 Adjustment Details'!$7:$7&amp;" "&amp;'Tab 4 Adjustment Details'!$8:$8&amp;" "&amp;'Tab 4 Adjustment Details'!$9:$9,1,MATCH(D39,'Tab 4 Adjustment Details'!$10:$10,0))</f>
        <v>Pro Forma  Incentive Expenses</v>
      </c>
      <c r="G39" s="774"/>
      <c r="I39" s="798">
        <v>-77.349999999999994</v>
      </c>
      <c r="J39" s="796"/>
      <c r="K39" s="798">
        <v>0</v>
      </c>
      <c r="L39" s="796"/>
      <c r="M39" s="800">
        <f t="shared" si="10"/>
        <v>124.87629416883404</v>
      </c>
      <c r="P39" s="798">
        <f t="shared" si="11"/>
        <v>-77.349999999999994</v>
      </c>
      <c r="Q39" s="798"/>
      <c r="R39" s="798">
        <f t="shared" si="12"/>
        <v>0</v>
      </c>
      <c r="S39" s="798"/>
      <c r="T39" s="798">
        <f t="shared" si="13"/>
        <v>124.87629416883404</v>
      </c>
      <c r="W39" s="800">
        <v>0</v>
      </c>
      <c r="X39" s="798"/>
      <c r="Y39" s="800">
        <f t="shared" si="14"/>
        <v>0</v>
      </c>
      <c r="Z39" s="809"/>
      <c r="AA39" s="809">
        <v>0</v>
      </c>
      <c r="AB39" s="801"/>
      <c r="AC39" s="798">
        <f t="shared" si="15"/>
        <v>0</v>
      </c>
      <c r="AE39" s="772" t="s">
        <v>816</v>
      </c>
      <c r="AG39" s="780"/>
      <c r="AH39" s="774"/>
    </row>
    <row r="40" spans="2:34">
      <c r="B40" s="772">
        <f t="shared" ca="1" si="5"/>
        <v>29</v>
      </c>
      <c r="D40" s="797">
        <v>3.0599999999999987</v>
      </c>
      <c r="F40" s="772" t="str">
        <f>+INDEX('Tab 4 Adjustment Details'!$7:$7&amp;" "&amp;'Tab 4 Adjustment Details'!$8:$8&amp;" "&amp;'Tab 4 Adjustment Details'!$9:$9,1,MATCH(D40,'Tab 4 Adjustment Details'!$10:$10,0))</f>
        <v>Pro Forma  Property Tax</v>
      </c>
      <c r="G40" s="774"/>
      <c r="I40" s="798">
        <v>-1597.7</v>
      </c>
      <c r="J40" s="796"/>
      <c r="K40" s="798">
        <v>0</v>
      </c>
      <c r="L40" s="796"/>
      <c r="M40" s="800">
        <f t="shared" si="10"/>
        <v>2579.377571991547</v>
      </c>
      <c r="P40" s="798">
        <f t="shared" si="11"/>
        <v>-1597.7</v>
      </c>
      <c r="Q40" s="798"/>
      <c r="R40" s="798">
        <f t="shared" si="12"/>
        <v>0</v>
      </c>
      <c r="S40" s="798"/>
      <c r="T40" s="798">
        <f t="shared" si="13"/>
        <v>2579.377571991547</v>
      </c>
      <c r="W40" s="800">
        <v>0</v>
      </c>
      <c r="X40" s="798"/>
      <c r="Y40" s="800">
        <f t="shared" si="14"/>
        <v>0</v>
      </c>
      <c r="Z40" s="809"/>
      <c r="AA40" s="809">
        <v>0</v>
      </c>
      <c r="AB40" s="801"/>
      <c r="AC40" s="798">
        <f t="shared" si="15"/>
        <v>0</v>
      </c>
      <c r="AE40" s="772" t="s">
        <v>816</v>
      </c>
      <c r="AG40" s="780"/>
      <c r="AH40" s="774"/>
    </row>
    <row r="41" spans="2:34">
      <c r="B41" s="772">
        <f t="shared" ca="1" si="5"/>
        <v>30</v>
      </c>
      <c r="D41" s="797">
        <v>3.0699999999999985</v>
      </c>
      <c r="F41" s="772" t="str">
        <f>+INDEX('Tab 4 Adjustment Details'!$7:$7&amp;" "&amp;'Tab 4 Adjustment Details'!$8:$8&amp;" "&amp;'Tab 4 Adjustment Details'!$9:$9,1,MATCH(D41,'Tab 4 Adjustment Details'!$10:$10,0))</f>
        <v>Pro Forma  IS/IT Expense</v>
      </c>
      <c r="G41" s="774"/>
      <c r="I41" s="798">
        <v>-451.1</v>
      </c>
      <c r="J41" s="796"/>
      <c r="K41" s="798">
        <v>0</v>
      </c>
      <c r="L41" s="796"/>
      <c r="M41" s="800">
        <f t="shared" si="10"/>
        <v>728.27015254765399</v>
      </c>
      <c r="P41" s="798">
        <f t="shared" si="11"/>
        <v>-451.1</v>
      </c>
      <c r="Q41" s="798"/>
      <c r="R41" s="798">
        <f t="shared" si="12"/>
        <v>0</v>
      </c>
      <c r="S41" s="798"/>
      <c r="T41" s="798">
        <f t="shared" si="13"/>
        <v>728.27015254765399</v>
      </c>
      <c r="W41" s="800">
        <v>0</v>
      </c>
      <c r="X41" s="798"/>
      <c r="Y41" s="800">
        <f t="shared" si="14"/>
        <v>0</v>
      </c>
      <c r="Z41" s="809"/>
      <c r="AA41" s="809">
        <v>0</v>
      </c>
      <c r="AB41" s="801"/>
      <c r="AC41" s="798">
        <f t="shared" si="15"/>
        <v>0</v>
      </c>
      <c r="AE41" s="772" t="s">
        <v>816</v>
      </c>
      <c r="AG41" s="780"/>
      <c r="AH41" s="774"/>
    </row>
    <row r="42" spans="2:34">
      <c r="B42" s="772">
        <f t="shared" ca="1" si="5"/>
        <v>31</v>
      </c>
      <c r="D42" s="797">
        <v>3.0799999999999983</v>
      </c>
      <c r="F42" s="772" t="str">
        <f>+INDEX('Tab 4 Adjustment Details'!$7:$7&amp;" "&amp;'Tab 4 Adjustment Details'!$8:$8&amp;" "&amp;'Tab 4 Adjustment Details'!$9:$9,1,MATCH(D42,'Tab 4 Adjustment Details'!$10:$10,0))</f>
        <v>Pro Forma Revenue  Normalization</v>
      </c>
      <c r="G42" s="774"/>
      <c r="I42" s="798">
        <v>-3285.75</v>
      </c>
      <c r="J42" s="796"/>
      <c r="K42" s="798">
        <v>0</v>
      </c>
      <c r="L42" s="796"/>
      <c r="M42" s="800">
        <f t="shared" si="10"/>
        <v>5304.6190506172779</v>
      </c>
      <c r="P42" s="798">
        <f t="shared" si="11"/>
        <v>-3285.75</v>
      </c>
      <c r="Q42" s="798"/>
      <c r="R42" s="798">
        <f t="shared" si="12"/>
        <v>0</v>
      </c>
      <c r="S42" s="798"/>
      <c r="T42" s="798">
        <f t="shared" si="13"/>
        <v>5304.6190506172779</v>
      </c>
      <c r="W42" s="800">
        <v>0</v>
      </c>
      <c r="X42" s="798"/>
      <c r="Y42" s="800">
        <f t="shared" si="14"/>
        <v>0</v>
      </c>
      <c r="Z42" s="809"/>
      <c r="AA42" s="809">
        <v>0</v>
      </c>
      <c r="AB42" s="801"/>
      <c r="AC42" s="798">
        <f t="shared" si="15"/>
        <v>0</v>
      </c>
      <c r="AE42" s="772" t="s">
        <v>816</v>
      </c>
      <c r="AG42" s="780"/>
      <c r="AH42" s="774"/>
    </row>
    <row r="43" spans="2:34">
      <c r="B43" s="772">
        <f t="shared" ca="1" si="5"/>
        <v>32</v>
      </c>
      <c r="D43" s="797">
        <v>3.0899999999999981</v>
      </c>
      <c r="F43" s="772" t="str">
        <f>+INDEX('Tab 4 Adjustment Details'!$7:$7&amp;" "&amp;'Tab 4 Adjustment Details'!$8:$8&amp;" "&amp;'Tab 4 Adjustment Details'!$9:$9,1,MATCH(D43,'Tab 4 Adjustment Details'!$10:$10,0))</f>
        <v>Pro Forma  Def. Debits, Credits &amp; Regulatory Amorts</v>
      </c>
      <c r="G43" s="774"/>
      <c r="I43" s="798">
        <v>1012.9494300000001</v>
      </c>
      <c r="J43" s="796"/>
      <c r="K43" s="798">
        <v>-5346</v>
      </c>
      <c r="L43" s="796"/>
      <c r="M43" s="800">
        <f t="shared" si="10"/>
        <v>-2246.3949416625096</v>
      </c>
      <c r="P43" s="798">
        <f t="shared" si="11"/>
        <v>1012.9494300000001</v>
      </c>
      <c r="Q43" s="798"/>
      <c r="R43" s="798">
        <f t="shared" si="12"/>
        <v>-5346</v>
      </c>
      <c r="S43" s="798"/>
      <c r="T43" s="798">
        <f t="shared" si="13"/>
        <v>-2246.3949416625096</v>
      </c>
      <c r="W43" s="800">
        <v>0</v>
      </c>
      <c r="X43" s="798"/>
      <c r="Y43" s="800">
        <f t="shared" si="14"/>
        <v>0</v>
      </c>
      <c r="Z43" s="809"/>
      <c r="AA43" s="809">
        <v>0</v>
      </c>
      <c r="AB43" s="801"/>
      <c r="AC43" s="798">
        <f t="shared" si="15"/>
        <v>0</v>
      </c>
      <c r="AE43" s="772" t="s">
        <v>816</v>
      </c>
      <c r="AG43" s="780"/>
      <c r="AH43" s="774"/>
    </row>
    <row r="44" spans="2:34">
      <c r="B44" s="772">
        <f t="shared" ca="1" si="5"/>
        <v>33</v>
      </c>
      <c r="D44" s="797">
        <v>3.0999999999999979</v>
      </c>
      <c r="F44" s="772" t="str">
        <f>+INDEX('Tab 4 Adjustment Details'!$7:$7&amp;" "&amp;'Tab 4 Adjustment Details'!$8:$8&amp;" "&amp;'Tab 4 Adjustment Details'!$9:$9,1,MATCH(D44,'Tab 4 Adjustment Details'!$10:$10,0))</f>
        <v>Pro Forma  2017 Threshhold Capital Adds</v>
      </c>
      <c r="G44" s="774"/>
      <c r="I44" s="798">
        <v>-1742.9690050000002</v>
      </c>
      <c r="J44" s="796"/>
      <c r="K44" s="798">
        <v>34911</v>
      </c>
      <c r="L44" s="796"/>
      <c r="M44" s="800">
        <f t="shared" si="10"/>
        <v>6804.2934278098783</v>
      </c>
      <c r="P44" s="798">
        <f t="shared" si="11"/>
        <v>268.78099499999985</v>
      </c>
      <c r="Q44" s="798"/>
      <c r="R44" s="798">
        <f t="shared" si="12"/>
        <v>5565.2580658272636</v>
      </c>
      <c r="S44" s="798"/>
      <c r="T44" s="798">
        <f t="shared" si="13"/>
        <v>202.19026087694388</v>
      </c>
      <c r="W44" s="800">
        <v>3095</v>
      </c>
      <c r="X44" s="798"/>
      <c r="Y44" s="800">
        <f>+W44*(1-$AI$5)</f>
        <v>2011.75</v>
      </c>
      <c r="Z44" s="809"/>
      <c r="AA44" s="809">
        <v>-29345.741934172736</v>
      </c>
      <c r="AB44" s="801"/>
      <c r="AC44" s="798">
        <f t="shared" si="15"/>
        <v>-6602.103166932935</v>
      </c>
      <c r="AE44" s="772" t="s">
        <v>817</v>
      </c>
      <c r="AG44" s="780"/>
      <c r="AH44" s="774"/>
    </row>
    <row r="45" spans="2:34">
      <c r="B45" s="772">
        <f t="shared" ca="1" si="5"/>
        <v>34</v>
      </c>
      <c r="D45" s="797">
        <v>3.1099999999999977</v>
      </c>
      <c r="F45" s="772" t="str">
        <f>+INDEX('Tab 4 Adjustment Details'!$7:$7&amp;" "&amp;'Tab 4 Adjustment Details'!$8:$8&amp;" "&amp;'Tab 4 Adjustment Details'!$9:$9,1,MATCH(D45,'Tab 4 Adjustment Details'!$10:$10,0))</f>
        <v>Pro Forma  O&amp;M   Offsets</v>
      </c>
      <c r="G45" s="774"/>
      <c r="I45" s="798">
        <v>641.54999999999995</v>
      </c>
      <c r="J45" s="796"/>
      <c r="K45" s="798">
        <v>0</v>
      </c>
      <c r="L45" s="796"/>
      <c r="M45" s="800">
        <f t="shared" si="10"/>
        <v>-1035.7386751650351</v>
      </c>
      <c r="P45" s="798">
        <f t="shared" si="11"/>
        <v>641.54999999999995</v>
      </c>
      <c r="Q45" s="798"/>
      <c r="R45" s="798">
        <f t="shared" si="12"/>
        <v>0</v>
      </c>
      <c r="S45" s="798"/>
      <c r="T45" s="798">
        <f t="shared" si="13"/>
        <v>-1035.7386751650351</v>
      </c>
      <c r="W45" s="800">
        <v>0</v>
      </c>
      <c r="X45" s="798"/>
      <c r="Y45" s="800">
        <f t="shared" ref="Y45:Y49" si="16">+W45*(1-$AI$5)+$AA45*$AK$12*$AI$5</f>
        <v>0</v>
      </c>
      <c r="Z45" s="809"/>
      <c r="AA45" s="809">
        <v>0</v>
      </c>
      <c r="AB45" s="801"/>
      <c r="AC45" s="798">
        <f t="shared" si="15"/>
        <v>0</v>
      </c>
      <c r="AE45" s="772" t="s">
        <v>816</v>
      </c>
      <c r="AG45" s="780"/>
      <c r="AH45" s="774"/>
    </row>
    <row r="46" spans="2:34">
      <c r="B46" s="772">
        <f t="shared" ca="1" si="5"/>
        <v>35</v>
      </c>
      <c r="D46" s="797">
        <v>3.1199999999999974</v>
      </c>
      <c r="F46" s="772" t="str">
        <f>+INDEX('Tab 4 Adjustment Details'!$7:$7&amp;" "&amp;'Tab 4 Adjustment Details'!$8:$8&amp;" "&amp;'Tab 4 Adjustment Details'!$9:$9,1,MATCH(D46,'Tab 4 Adjustment Details'!$10:$10,0))</f>
        <v>Pro Forma  Director  Fees Exp</v>
      </c>
      <c r="G46" s="774"/>
      <c r="I46" s="798">
        <v>-243.75</v>
      </c>
      <c r="J46" s="796"/>
      <c r="K46" s="798">
        <v>0</v>
      </c>
      <c r="L46" s="796"/>
      <c r="M46" s="800">
        <f t="shared" si="10"/>
        <v>393.51773372531738</v>
      </c>
      <c r="P46" s="798">
        <f t="shared" si="11"/>
        <v>0</v>
      </c>
      <c r="Q46" s="798"/>
      <c r="R46" s="798">
        <f t="shared" si="12"/>
        <v>0</v>
      </c>
      <c r="S46" s="798"/>
      <c r="T46" s="798">
        <f t="shared" si="13"/>
        <v>0</v>
      </c>
      <c r="W46" s="800">
        <v>375</v>
      </c>
      <c r="X46" s="798"/>
      <c r="Y46" s="800">
        <f t="shared" si="16"/>
        <v>243.75</v>
      </c>
      <c r="Z46" s="809"/>
      <c r="AA46" s="809">
        <v>0</v>
      </c>
      <c r="AB46" s="801"/>
      <c r="AC46" s="798">
        <f t="shared" si="15"/>
        <v>-393.51773372531738</v>
      </c>
      <c r="AE46" s="772" t="s">
        <v>817</v>
      </c>
      <c r="AG46" s="780"/>
      <c r="AH46" s="774"/>
    </row>
    <row r="47" spans="2:34">
      <c r="B47" s="772">
        <f t="shared" ca="1" si="5"/>
        <v>36</v>
      </c>
      <c r="D47" s="797">
        <v>3.1299999999999972</v>
      </c>
      <c r="F47" s="772" t="str">
        <f>+INDEX('Tab 4 Adjustment Details'!$7:$7&amp;" "&amp;'Tab 4 Adjustment Details'!$8:$8&amp;" "&amp;'Tab 4 Adjustment Details'!$9:$9,1,MATCH(D47,'Tab 4 Adjustment Details'!$10:$10,0))</f>
        <v>PF Normalize CS2/Colstrip Major Maint</v>
      </c>
      <c r="G47" s="774"/>
      <c r="I47" s="798">
        <v>-225.55</v>
      </c>
      <c r="J47" s="796"/>
      <c r="K47" s="798">
        <v>0</v>
      </c>
      <c r="L47" s="796"/>
      <c r="M47" s="800">
        <f t="shared" si="10"/>
        <v>364.135076273827</v>
      </c>
      <c r="P47" s="800">
        <f t="shared" si="11"/>
        <v>-225.55</v>
      </c>
      <c r="Q47" s="800"/>
      <c r="R47" s="800">
        <f t="shared" si="12"/>
        <v>0</v>
      </c>
      <c r="S47" s="800"/>
      <c r="T47" s="800">
        <f t="shared" si="13"/>
        <v>364.135076273827</v>
      </c>
      <c r="W47" s="800">
        <v>0</v>
      </c>
      <c r="X47" s="798"/>
      <c r="Y47" s="800">
        <f t="shared" si="16"/>
        <v>0</v>
      </c>
      <c r="Z47" s="809"/>
      <c r="AA47" s="809">
        <v>0</v>
      </c>
      <c r="AB47" s="801"/>
      <c r="AC47" s="798">
        <f t="shared" si="15"/>
        <v>0</v>
      </c>
      <c r="AE47" s="772" t="s">
        <v>816</v>
      </c>
      <c r="AG47" s="780"/>
      <c r="AH47" s="774"/>
    </row>
    <row r="48" spans="2:34">
      <c r="B48" s="772">
        <f t="shared" ca="1" si="5"/>
        <v>37</v>
      </c>
      <c r="D48" s="797">
        <v>3.139999999999997</v>
      </c>
      <c r="F48" s="772" t="str">
        <f>+INDEX('Tab 4 Adjustment Details'!$7:$7&amp;" "&amp;'Tab 4 Adjustment Details'!$8:$8&amp;" "&amp;'Tab 4 Adjustment Details'!$9:$9,1,MATCH(D48,'Tab 4 Adjustment Details'!$10:$10,0))</f>
        <v>Pro Forma Underground Equip Inspection</v>
      </c>
      <c r="G48" s="774"/>
      <c r="I48" s="798">
        <v>-345.8</v>
      </c>
      <c r="J48" s="796"/>
      <c r="K48" s="798">
        <v>0</v>
      </c>
      <c r="L48" s="796"/>
      <c r="M48" s="800">
        <f t="shared" si="10"/>
        <v>558.27049157831686</v>
      </c>
      <c r="P48" s="800">
        <f t="shared" ref="P48:P49" si="17">+I48+Y48</f>
        <v>-345.8</v>
      </c>
      <c r="Q48" s="800"/>
      <c r="R48" s="800">
        <f t="shared" ref="R48:R49" si="18">+K48+AA48</f>
        <v>0</v>
      </c>
      <c r="S48" s="800"/>
      <c r="T48" s="800">
        <f t="shared" si="13"/>
        <v>558.27049157831686</v>
      </c>
      <c r="W48" s="800">
        <v>0</v>
      </c>
      <c r="X48" s="798"/>
      <c r="Y48" s="800">
        <f t="shared" si="16"/>
        <v>0</v>
      </c>
      <c r="Z48" s="809"/>
      <c r="AA48" s="809">
        <v>0</v>
      </c>
      <c r="AB48" s="801"/>
      <c r="AC48" s="798">
        <f t="shared" si="15"/>
        <v>0</v>
      </c>
      <c r="AE48" s="772" t="s">
        <v>816</v>
      </c>
      <c r="AG48" s="780"/>
      <c r="AH48" s="774"/>
    </row>
    <row r="49" spans="1:39">
      <c r="B49" s="772">
        <f t="shared" ca="1" si="5"/>
        <v>38</v>
      </c>
      <c r="D49" s="797">
        <v>4</v>
      </c>
      <c r="F49" s="772" t="str">
        <f>+INDEX('Tab 4 Adjustment Details'!$7:$7&amp;" "&amp;'Tab 4 Adjustment Details'!$8:$8&amp;" "&amp;'Tab 4 Adjustment Details'!$9:$9,1,MATCH(D49,'Tab 4 Adjustment Details'!$10:$10,0))</f>
        <v>Pro Forma  Power Supply &amp; Transm Revs</v>
      </c>
      <c r="G49" s="774"/>
      <c r="I49" s="806">
        <v>-10287.549999999999</v>
      </c>
      <c r="J49" s="796"/>
      <c r="K49" s="806">
        <v>0</v>
      </c>
      <c r="L49" s="796"/>
      <c r="M49" s="806">
        <f t="shared" si="10"/>
        <v>16608.547124454926</v>
      </c>
      <c r="P49" s="806">
        <f t="shared" si="17"/>
        <v>0</v>
      </c>
      <c r="Q49" s="800"/>
      <c r="R49" s="806">
        <f t="shared" si="18"/>
        <v>0</v>
      </c>
      <c r="S49" s="800"/>
      <c r="T49" s="806">
        <f t="shared" si="13"/>
        <v>0</v>
      </c>
      <c r="W49" s="806">
        <v>15827</v>
      </c>
      <c r="X49" s="798"/>
      <c r="Y49" s="806">
        <f t="shared" si="16"/>
        <v>10287.550000000001</v>
      </c>
      <c r="Z49" s="809"/>
      <c r="AA49" s="810">
        <v>0</v>
      </c>
      <c r="AB49" s="801"/>
      <c r="AC49" s="806">
        <f t="shared" si="15"/>
        <v>-16608.54712445493</v>
      </c>
      <c r="AE49" s="772" t="s">
        <v>817</v>
      </c>
      <c r="AG49" s="780"/>
      <c r="AH49" s="774"/>
    </row>
    <row r="50" spans="1:39">
      <c r="D50" s="797"/>
      <c r="G50" s="774"/>
      <c r="I50" s="798"/>
      <c r="J50" s="798"/>
      <c r="K50" s="798"/>
      <c r="L50" s="798"/>
      <c r="M50" s="798"/>
      <c r="P50" s="798"/>
      <c r="Q50" s="798"/>
      <c r="R50" s="798"/>
      <c r="S50" s="798"/>
      <c r="T50" s="798"/>
      <c r="W50" s="801"/>
      <c r="X50" s="801"/>
      <c r="Y50" s="801"/>
      <c r="Z50" s="801"/>
      <c r="AA50" s="801"/>
      <c r="AB50" s="801"/>
      <c r="AC50" s="801"/>
      <c r="AG50" s="780"/>
      <c r="AH50" s="774"/>
    </row>
    <row r="51" spans="1:39" ht="13.5" thickBot="1">
      <c r="B51" s="772">
        <f t="shared" ca="1" si="5"/>
        <v>39</v>
      </c>
      <c r="D51" s="797"/>
      <c r="F51" s="771" t="s">
        <v>811</v>
      </c>
      <c r="G51" s="774"/>
      <c r="I51" s="807">
        <f>+SUM(I$32:I$50)</f>
        <v>89887.731424999991</v>
      </c>
      <c r="J51" s="798"/>
      <c r="K51" s="807">
        <f>+SUM(K$32:K$50)</f>
        <v>1472291</v>
      </c>
      <c r="L51" s="798"/>
      <c r="M51" s="807">
        <f>+SUM(M$32:M$50)</f>
        <v>23167.856301046293</v>
      </c>
      <c r="P51" s="807">
        <f>+SUM(P$32:P$50)</f>
        <v>102040.74289240957</v>
      </c>
      <c r="Q51" s="798"/>
      <c r="R51" s="807">
        <f>+SUM(R$32:R$50)</f>
        <v>1442945.2580658272</v>
      </c>
      <c r="S51" s="798"/>
      <c r="T51" s="807">
        <f>+SUM(T$32:T$50)</f>
        <v>193.37885813020006</v>
      </c>
      <c r="W51" s="807">
        <f>+SUM(W$32:W$50)</f>
        <v>20365.457999999999</v>
      </c>
      <c r="X51" s="801"/>
      <c r="Y51" s="807">
        <f>+SUM(Y$32:Y$50)</f>
        <v>12153.011467409577</v>
      </c>
      <c r="Z51" s="798"/>
      <c r="AA51" s="807">
        <f>+SUM(AA$32:AA$50)</f>
        <v>-29345.741934172736</v>
      </c>
      <c r="AB51" s="798"/>
      <c r="AC51" s="807">
        <f>+($AA51*$AK$12-$Y51)/$AI$4</f>
        <v>-22974.477442916126</v>
      </c>
      <c r="AG51" s="780"/>
      <c r="AH51" s="774"/>
    </row>
    <row r="52" spans="1:39" s="779" customFormat="1" ht="13.5" thickTop="1">
      <c r="A52" s="772"/>
      <c r="B52" s="772"/>
      <c r="C52" s="772"/>
      <c r="D52" s="772"/>
      <c r="E52" s="772"/>
      <c r="F52" s="772"/>
      <c r="H52" s="774"/>
      <c r="I52" s="772"/>
      <c r="J52" s="772"/>
      <c r="K52" s="772"/>
      <c r="L52" s="772"/>
      <c r="M52" s="772"/>
      <c r="O52" s="777"/>
      <c r="P52" s="772"/>
      <c r="Q52" s="772"/>
      <c r="R52" s="772"/>
      <c r="S52" s="772"/>
      <c r="T52" s="772"/>
      <c r="U52" s="772"/>
      <c r="V52" s="777"/>
      <c r="W52" s="801"/>
      <c r="X52" s="801"/>
      <c r="Y52" s="801"/>
      <c r="Z52" s="801"/>
      <c r="AA52" s="801"/>
      <c r="AB52" s="801"/>
      <c r="AC52" s="801"/>
      <c r="AG52" s="780"/>
      <c r="AI52" s="772"/>
      <c r="AJ52" s="772"/>
      <c r="AK52" s="772"/>
      <c r="AL52" s="772"/>
      <c r="AM52" s="772"/>
    </row>
    <row r="53" spans="1:39" s="779" customFormat="1">
      <c r="A53" s="772"/>
      <c r="B53" s="799" t="s">
        <v>1030</v>
      </c>
      <c r="C53" s="772"/>
      <c r="D53" s="772"/>
      <c r="E53" s="772"/>
      <c r="F53" s="772"/>
      <c r="H53" s="774"/>
      <c r="I53" s="772"/>
      <c r="J53" s="772"/>
      <c r="K53" s="804"/>
      <c r="L53" s="804"/>
      <c r="M53" s="1010"/>
      <c r="O53" s="777"/>
      <c r="P53" s="772"/>
      <c r="Q53" s="772"/>
      <c r="R53" s="804"/>
      <c r="S53" s="772"/>
      <c r="T53" s="1010"/>
      <c r="U53" s="772"/>
      <c r="V53" s="800"/>
      <c r="AG53" s="780"/>
      <c r="AI53" s="772"/>
      <c r="AJ53" s="772"/>
      <c r="AK53" s="772"/>
      <c r="AL53" s="772"/>
      <c r="AM53" s="772"/>
    </row>
    <row r="54" spans="1:39" s="779" customFormat="1">
      <c r="A54" s="772"/>
      <c r="B54" s="772">
        <f t="shared" ref="B54:B59" ca="1" si="19">+MAX(OFFSET($B$7,0,0,ROW($B54)-ROW($B$7),1))+1</f>
        <v>40</v>
      </c>
      <c r="C54" s="772"/>
      <c r="D54" s="772" t="s">
        <v>829</v>
      </c>
      <c r="E54" s="772"/>
      <c r="F54" s="772" t="s">
        <v>1033</v>
      </c>
      <c r="H54" s="774"/>
      <c r="I54" s="798">
        <v>0</v>
      </c>
      <c r="J54" s="798"/>
      <c r="K54" s="1037">
        <v>0</v>
      </c>
      <c r="L54" s="1037"/>
      <c r="M54" s="1010">
        <v>0</v>
      </c>
      <c r="O54" s="777"/>
      <c r="P54" s="798">
        <f t="shared" ref="P54" si="20">+I54+Y54</f>
        <v>19771.262130514784</v>
      </c>
      <c r="Q54" s="798"/>
      <c r="R54" s="798">
        <f t="shared" ref="R54" si="21">+K54+AA54</f>
        <v>0</v>
      </c>
      <c r="S54" s="798"/>
      <c r="T54" s="800">
        <f>+($R54*$AK$12-$P54)/$AJ$4</f>
        <v>-26262.759778852702</v>
      </c>
      <c r="U54" s="772"/>
      <c r="V54" s="800"/>
      <c r="W54" s="798">
        <v>0</v>
      </c>
      <c r="X54" s="798"/>
      <c r="Y54" s="798">
        <f>-'Tab 5a Adjustment TCJA-1 '!N32/1000-'Tab 5a Adjustment TCJA-1 '!V32/1000</f>
        <v>19771.262130514784</v>
      </c>
      <c r="Z54" s="798"/>
      <c r="AA54" s="798">
        <v>0</v>
      </c>
      <c r="AB54" s="798"/>
      <c r="AC54" s="798">
        <f>+($AA54*$AK$12-$Y54)/$AJ$4</f>
        <v>-26262.759778852702</v>
      </c>
      <c r="AE54" s="779" t="s">
        <v>957</v>
      </c>
      <c r="AG54" s="780"/>
      <c r="AI54" s="772"/>
      <c r="AJ54" s="772"/>
      <c r="AK54" s="772"/>
      <c r="AL54" s="772"/>
      <c r="AM54" s="772"/>
    </row>
    <row r="55" spans="1:39" s="779" customFormat="1">
      <c r="A55" s="772"/>
      <c r="B55" s="772">
        <f t="shared" ca="1" si="19"/>
        <v>41</v>
      </c>
      <c r="C55" s="772"/>
      <c r="D55" s="772" t="s">
        <v>830</v>
      </c>
      <c r="E55" s="772"/>
      <c r="F55" s="772" t="s">
        <v>958</v>
      </c>
      <c r="H55" s="774"/>
      <c r="I55" s="798">
        <v>0</v>
      </c>
      <c r="J55" s="798"/>
      <c r="K55" s="1037">
        <v>0</v>
      </c>
      <c r="L55" s="1037"/>
      <c r="M55" s="1010">
        <v>0</v>
      </c>
      <c r="O55" s="777"/>
      <c r="P55" s="798">
        <f t="shared" ref="P55:P56" si="22">+I55+Y55</f>
        <v>4913.5792642191509</v>
      </c>
      <c r="Q55" s="798"/>
      <c r="R55" s="798">
        <f t="shared" ref="R55:R56" si="23">+K55+AA55</f>
        <v>2445.3210762619074</v>
      </c>
      <c r="S55" s="798"/>
      <c r="T55" s="800">
        <f>+($R55*$AK$12-$P55)/$AJ$4</f>
        <v>-6296.8824521234128</v>
      </c>
      <c r="U55" s="772"/>
      <c r="V55" s="800"/>
      <c r="W55" s="798">
        <v>0</v>
      </c>
      <c r="X55" s="798"/>
      <c r="Y55" s="798">
        <f>-'Tab 6a Adjustment TCJA-2'!T31-'Tab 4 Adjustment Details'!AV52</f>
        <v>4913.5792642191509</v>
      </c>
      <c r="Z55" s="798"/>
      <c r="AA55" s="798">
        <f>-'Tab 6a Adjustment TCJA-2'!T31/2</f>
        <v>2445.3210762619074</v>
      </c>
      <c r="AB55" s="798"/>
      <c r="AC55" s="1147">
        <f t="shared" ref="AC55:AC56" si="24">+($AA55*$AK$12-$Y55)/$AJ$4</f>
        <v>-6296.8824521234128</v>
      </c>
      <c r="AE55" s="779" t="s">
        <v>957</v>
      </c>
      <c r="AG55" s="780"/>
      <c r="AI55" s="772"/>
      <c r="AJ55" s="772"/>
      <c r="AK55" s="772"/>
      <c r="AL55" s="772"/>
      <c r="AM55" s="772"/>
    </row>
    <row r="56" spans="1:39" s="779" customFormat="1">
      <c r="A56" s="772"/>
      <c r="B56" s="772">
        <f t="shared" ca="1" si="19"/>
        <v>42</v>
      </c>
      <c r="C56" s="772"/>
      <c r="D56" s="772" t="s">
        <v>831</v>
      </c>
      <c r="E56" s="772"/>
      <c r="F56" s="772" t="s">
        <v>1031</v>
      </c>
      <c r="H56" s="774"/>
      <c r="I56" s="798">
        <v>0</v>
      </c>
      <c r="J56" s="798"/>
      <c r="K56" s="1037">
        <v>0</v>
      </c>
      <c r="L56" s="1037"/>
      <c r="M56" s="1010">
        <v>0</v>
      </c>
      <c r="O56" s="777"/>
      <c r="P56" s="798">
        <f t="shared" si="22"/>
        <v>0</v>
      </c>
      <c r="Q56" s="798"/>
      <c r="R56" s="798">
        <f t="shared" si="23"/>
        <v>0</v>
      </c>
      <c r="S56" s="798"/>
      <c r="T56" s="800">
        <f>+($R56*$AK$12-$P56)/$AJ$4</f>
        <v>0</v>
      </c>
      <c r="U56" s="772"/>
      <c r="V56" s="800"/>
      <c r="W56" s="798">
        <f>-'Tab 7b Deferral Amort'!F33*'Tab 4 Adjustment Details'!AW88</f>
        <v>0</v>
      </c>
      <c r="X56" s="798"/>
      <c r="Y56" s="798">
        <f t="shared" ref="Y56" si="25">+W56*(1-$AI$5)+$AA56*$AK$12*$AI$5</f>
        <v>0</v>
      </c>
      <c r="Z56" s="798"/>
      <c r="AA56" s="798">
        <v>0</v>
      </c>
      <c r="AB56" s="798"/>
      <c r="AC56" s="798">
        <f t="shared" si="24"/>
        <v>0</v>
      </c>
      <c r="AE56" s="779" t="s">
        <v>957</v>
      </c>
      <c r="AG56" s="780"/>
      <c r="AI56" s="772"/>
      <c r="AJ56" s="772"/>
      <c r="AK56" s="772"/>
      <c r="AL56" s="772"/>
      <c r="AM56" s="772"/>
    </row>
    <row r="57" spans="1:39" s="779" customFormat="1">
      <c r="A57" s="772"/>
      <c r="B57" s="772">
        <f t="shared" ca="1" si="19"/>
        <v>43</v>
      </c>
      <c r="C57" s="772"/>
      <c r="D57" s="772" t="s">
        <v>832</v>
      </c>
      <c r="E57" s="772"/>
      <c r="F57" s="772" t="s">
        <v>1081</v>
      </c>
      <c r="H57" s="774"/>
      <c r="I57" s="806">
        <v>0</v>
      </c>
      <c r="J57" s="798"/>
      <c r="K57" s="1041">
        <v>0</v>
      </c>
      <c r="L57" s="1037"/>
      <c r="M57" s="1042">
        <v>0</v>
      </c>
      <c r="O57" s="777"/>
      <c r="P57" s="806">
        <v>0</v>
      </c>
      <c r="Q57" s="798"/>
      <c r="R57" s="806">
        <v>0</v>
      </c>
      <c r="S57" s="798"/>
      <c r="T57" s="806">
        <f>+'Tab 4 Adjustment Details'!AX84</f>
        <v>-34.823917248462237</v>
      </c>
      <c r="U57" s="772"/>
      <c r="V57" s="800"/>
      <c r="W57" s="1043">
        <v>0</v>
      </c>
      <c r="Y57" s="806">
        <v>0</v>
      </c>
      <c r="AA57" s="1043">
        <v>0</v>
      </c>
      <c r="AC57" s="806">
        <f>+'Tab 4 Adjustment Details'!AX84</f>
        <v>-34.823917248462237</v>
      </c>
      <c r="AE57" s="779" t="s">
        <v>957</v>
      </c>
      <c r="AG57" s="780"/>
      <c r="AI57" s="772"/>
      <c r="AJ57" s="772"/>
      <c r="AK57" s="772"/>
      <c r="AL57" s="772"/>
      <c r="AM57" s="772"/>
    </row>
    <row r="58" spans="1:39" s="779" customFormat="1">
      <c r="A58" s="772"/>
      <c r="B58" s="772"/>
      <c r="C58" s="772"/>
      <c r="D58" s="772"/>
      <c r="E58" s="772"/>
      <c r="F58" s="772"/>
      <c r="H58" s="774"/>
      <c r="I58" s="772"/>
      <c r="J58" s="772"/>
      <c r="K58" s="804"/>
      <c r="L58" s="804"/>
      <c r="M58" s="1010"/>
      <c r="O58" s="777"/>
      <c r="P58" s="772"/>
      <c r="Q58" s="772"/>
      <c r="R58" s="804"/>
      <c r="S58" s="772"/>
      <c r="T58" s="1010"/>
      <c r="U58" s="772"/>
      <c r="V58" s="800"/>
      <c r="AG58" s="780"/>
      <c r="AI58" s="772"/>
      <c r="AJ58" s="772"/>
      <c r="AK58" s="772"/>
      <c r="AL58" s="772"/>
      <c r="AM58" s="772"/>
    </row>
    <row r="59" spans="1:39" s="779" customFormat="1" ht="13.5" thickBot="1">
      <c r="A59" s="772"/>
      <c r="B59" s="772">
        <f t="shared" ca="1" si="19"/>
        <v>44</v>
      </c>
      <c r="C59" s="772"/>
      <c r="D59" s="772"/>
      <c r="E59" s="772"/>
      <c r="F59" s="771" t="s">
        <v>1032</v>
      </c>
      <c r="H59" s="774"/>
      <c r="I59" s="807">
        <f>+SUM(I51:I56)</f>
        <v>89887.731424999991</v>
      </c>
      <c r="J59" s="801"/>
      <c r="K59" s="807">
        <f>+SUM(K51:K56)</f>
        <v>1472291</v>
      </c>
      <c r="L59" s="798"/>
      <c r="M59" s="807">
        <f>+SUM(M51:M56)</f>
        <v>23167.856301046293</v>
      </c>
      <c r="N59" s="798"/>
      <c r="O59" s="777"/>
      <c r="P59" s="807">
        <f>+SUM(P51:P58)</f>
        <v>126725.58428714352</v>
      </c>
      <c r="Q59" s="801"/>
      <c r="R59" s="807">
        <f>+SUM(R51:R58)</f>
        <v>1445390.579142089</v>
      </c>
      <c r="S59" s="798"/>
      <c r="T59" s="807">
        <f>+SUM(T51:T58)</f>
        <v>-32401.087290094376</v>
      </c>
      <c r="U59" s="798"/>
      <c r="V59" s="777"/>
      <c r="W59" s="807">
        <f>+SUM(W51:W58)</f>
        <v>20365.457999999999</v>
      </c>
      <c r="X59" s="801"/>
      <c r="Y59" s="807">
        <f>+SUM(Y51:Y58)</f>
        <v>36837.852862143511</v>
      </c>
      <c r="Z59" s="798"/>
      <c r="AA59" s="807">
        <f>+SUM(AA51:AA58)</f>
        <v>-26900.420857910831</v>
      </c>
      <c r="AB59" s="798"/>
      <c r="AC59" s="807">
        <f>+($AA59*$AK$12-$Y59)/$AI$4</f>
        <v>-62546.964075477263</v>
      </c>
      <c r="AG59" s="780"/>
      <c r="AI59" s="772"/>
      <c r="AJ59" s="772"/>
      <c r="AK59" s="772"/>
      <c r="AL59" s="772"/>
      <c r="AM59" s="772"/>
    </row>
    <row r="60" spans="1:39" s="779" customFormat="1" ht="13.5" thickTop="1">
      <c r="A60" s="772"/>
      <c r="B60" s="772"/>
      <c r="C60" s="772"/>
      <c r="D60" s="772"/>
      <c r="E60" s="772"/>
      <c r="F60" s="772"/>
      <c r="H60" s="774"/>
      <c r="I60" s="772"/>
      <c r="J60" s="772"/>
      <c r="K60" s="804"/>
      <c r="L60" s="804"/>
      <c r="M60" s="1010"/>
      <c r="O60" s="777"/>
      <c r="P60" s="772"/>
      <c r="Q60" s="772"/>
      <c r="R60" s="804"/>
      <c r="S60" s="772"/>
      <c r="T60" s="1010"/>
      <c r="U60" s="772"/>
      <c r="V60" s="800"/>
      <c r="AI60" s="772"/>
      <c r="AJ60" s="772"/>
      <c r="AK60" s="772"/>
      <c r="AL60" s="772"/>
      <c r="AM60" s="772"/>
    </row>
    <row r="61" spans="1:39" s="779" customFormat="1">
      <c r="A61" s="772"/>
      <c r="B61" s="772"/>
      <c r="C61" s="772"/>
      <c r="D61" s="772"/>
      <c r="E61" s="772"/>
      <c r="F61" s="772"/>
      <c r="H61" s="774"/>
      <c r="I61" s="772"/>
      <c r="J61" s="772"/>
      <c r="K61" s="804"/>
      <c r="L61" s="804"/>
      <c r="M61" s="1010"/>
      <c r="O61" s="777"/>
      <c r="P61" s="772"/>
      <c r="Q61" s="772"/>
      <c r="R61" s="804"/>
      <c r="S61" s="772"/>
      <c r="T61" s="1010"/>
      <c r="U61" s="772"/>
      <c r="V61" s="800"/>
      <c r="AI61" s="772"/>
      <c r="AJ61" s="772"/>
      <c r="AK61" s="772"/>
      <c r="AL61" s="772"/>
      <c r="AM61" s="772"/>
    </row>
    <row r="62" spans="1:39" s="779" customFormat="1" ht="13.5" thickBot="1">
      <c r="A62" s="772"/>
      <c r="B62" s="772"/>
      <c r="C62" s="772"/>
      <c r="D62" s="772"/>
      <c r="E62" s="772"/>
      <c r="F62" s="772"/>
      <c r="H62" s="774"/>
      <c r="I62" s="772"/>
      <c r="J62" s="772"/>
      <c r="K62" s="804" t="s">
        <v>812</v>
      </c>
      <c r="L62" s="804"/>
      <c r="M62" s="807">
        <v>37500.877322561792</v>
      </c>
      <c r="O62" s="777"/>
      <c r="P62" s="772"/>
      <c r="Q62" s="772"/>
      <c r="R62" s="804" t="s">
        <v>814</v>
      </c>
      <c r="S62" s="772"/>
      <c r="T62" s="807">
        <f>+'Tab 2 Rev. Req. Calc.'!E24</f>
        <v>-32397.96</v>
      </c>
      <c r="U62" s="772"/>
      <c r="V62" s="800">
        <f>+M62+M64</f>
        <v>23167.856301046293</v>
      </c>
      <c r="AI62" s="772"/>
      <c r="AJ62" s="772"/>
      <c r="AK62" s="772"/>
      <c r="AL62" s="772"/>
      <c r="AM62" s="772"/>
    </row>
    <row r="63" spans="1:39" s="779" customFormat="1" ht="13.5" thickTop="1">
      <c r="A63" s="772"/>
      <c r="B63" s="772"/>
      <c r="C63" s="772"/>
      <c r="D63" s="772"/>
      <c r="E63" s="772"/>
      <c r="F63" s="772"/>
      <c r="H63" s="774"/>
      <c r="I63" s="772"/>
      <c r="J63" s="772"/>
      <c r="K63" s="772"/>
      <c r="L63" s="772"/>
      <c r="M63" s="772"/>
      <c r="O63" s="777"/>
      <c r="P63" s="772"/>
      <c r="Q63" s="772"/>
      <c r="R63" s="772"/>
      <c r="S63" s="772"/>
      <c r="T63" s="798"/>
      <c r="U63" s="772"/>
      <c r="V63" s="777"/>
      <c r="AI63" s="772"/>
      <c r="AJ63" s="772"/>
      <c r="AK63" s="772"/>
      <c r="AL63" s="772"/>
      <c r="AM63" s="772"/>
    </row>
    <row r="64" spans="1:39" ht="13.5" thickBot="1">
      <c r="K64" s="772" t="s">
        <v>813</v>
      </c>
      <c r="M64" s="807">
        <f>+M51-M62</f>
        <v>-14333.021021515498</v>
      </c>
      <c r="R64" s="804" t="s">
        <v>93</v>
      </c>
      <c r="T64" s="807">
        <f>+T59-T62</f>
        <v>-3.1272900943768036</v>
      </c>
    </row>
    <row r="65" ht="13.5" thickTop="1"/>
  </sheetData>
  <pageMargins left="0.25" right="0.25" top="1.5" bottom="0.75" header="0.8" footer="0.3"/>
  <pageSetup scale="75" orientation="portrait" r:id="rId1"/>
  <headerFooter>
    <oddFooter>&amp;CElectric Services&amp;RTab 1 Rev. Req. Summary</oddFooter>
  </headerFooter>
  <colBreaks count="1" manualBreakCount="1">
    <brk id="20" max="5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Y91"/>
  <sheetViews>
    <sheetView view="pageBreakPreview" zoomScale="115" zoomScaleNormal="100" zoomScaleSheetLayoutView="115" workbookViewId="0">
      <selection activeCell="K31" sqref="K31"/>
    </sheetView>
  </sheetViews>
  <sheetFormatPr defaultColWidth="9.140625" defaultRowHeight="12.75"/>
  <cols>
    <col min="1" max="1" width="4.7109375" style="3" customWidth="1"/>
    <col min="2" max="3" width="1.7109375" style="2" customWidth="1"/>
    <col min="4" max="4" width="38.28515625" style="2" customWidth="1"/>
    <col min="5" max="5" width="11.7109375" style="273" customWidth="1"/>
    <col min="6" max="6" width="13.7109375" style="273" customWidth="1"/>
    <col min="7" max="7" width="12.42578125" style="273" customWidth="1"/>
    <col min="8" max="8" width="14.28515625" style="273" customWidth="1"/>
    <col min="9" max="9" width="13.28515625" style="273" customWidth="1"/>
    <col min="10" max="10" width="9.140625" style="26"/>
    <col min="11" max="11" width="10.5703125" style="26" customWidth="1"/>
    <col min="12" max="12" width="9.140625" style="26"/>
    <col min="13" max="13" width="11.140625" style="26" bestFit="1" customWidth="1"/>
    <col min="14" max="15" width="9.140625" style="26"/>
    <col min="16" max="16" width="11.140625" style="26" bestFit="1" customWidth="1"/>
    <col min="17" max="17" width="9.140625" style="55"/>
    <col min="18" max="36" width="9.140625" style="26"/>
    <col min="37" max="37" width="14.7109375" style="26" customWidth="1"/>
    <col min="38" max="16384" width="9.140625" style="26"/>
  </cols>
  <sheetData>
    <row r="1" spans="1:22">
      <c r="A1" s="1">
        <f>'Tab 4 Adjustment Details'!A2</f>
        <v>0</v>
      </c>
      <c r="D1" s="3"/>
      <c r="E1" s="1116"/>
      <c r="F1" s="1116"/>
    </row>
    <row r="2" spans="1:22">
      <c r="A2" s="1" t="str">
        <f>'Tab 4 Adjustment Details'!A3</f>
        <v xml:space="preserve">WASHINGTON ELECTRIC RESULTS - PRO FORMA </v>
      </c>
      <c r="D2" s="3"/>
    </row>
    <row r="3" spans="1:22" ht="1.5" customHeight="1">
      <c r="A3" s="691"/>
      <c r="D3" s="3"/>
    </row>
    <row r="4" spans="1:22" ht="14.25">
      <c r="A4" s="1" t="str">
        <f>'Tab 4 Adjustment Details'!A5</f>
        <v>TWELVE MONTHS ENDED DECEMBER 31, 2016</v>
      </c>
      <c r="D4" s="3"/>
      <c r="E4" s="1139" t="s">
        <v>719</v>
      </c>
      <c r="F4" s="1140"/>
      <c r="G4" s="1140"/>
      <c r="H4" s="1140"/>
      <c r="I4" s="1141"/>
    </row>
    <row r="5" spans="1:22">
      <c r="A5" s="1" t="str">
        <f>'Tab 4 Adjustment Details'!A6</f>
        <v xml:space="preserve">(000'S OF DOLLARS)  </v>
      </c>
      <c r="B5" s="5"/>
      <c r="C5" s="5"/>
      <c r="D5" s="4"/>
      <c r="E5" s="286" t="s">
        <v>170</v>
      </c>
      <c r="F5" s="287"/>
      <c r="G5" s="288"/>
      <c r="H5" s="286" t="s">
        <v>727</v>
      </c>
      <c r="I5" s="288"/>
      <c r="V5" s="507"/>
    </row>
    <row r="6" spans="1:22">
      <c r="A6" s="6"/>
      <c r="B6" s="7"/>
      <c r="C6" s="8"/>
      <c r="D6" s="9"/>
      <c r="E6" s="289" t="s">
        <v>171</v>
      </c>
      <c r="F6" s="289"/>
      <c r="G6" s="289" t="s">
        <v>719</v>
      </c>
      <c r="H6" s="290" t="s">
        <v>172</v>
      </c>
      <c r="I6" s="689" t="s">
        <v>719</v>
      </c>
    </row>
    <row r="7" spans="1:22">
      <c r="A7" s="10" t="s">
        <v>8</v>
      </c>
      <c r="B7" s="11"/>
      <c r="C7" s="12"/>
      <c r="D7" s="13"/>
      <c r="E7" s="291" t="s">
        <v>9</v>
      </c>
      <c r="F7" s="291" t="s">
        <v>137</v>
      </c>
      <c r="G7" s="291" t="s">
        <v>733</v>
      </c>
      <c r="H7" s="292" t="s">
        <v>173</v>
      </c>
      <c r="I7" s="291" t="s">
        <v>172</v>
      </c>
    </row>
    <row r="8" spans="1:22">
      <c r="A8" s="14" t="s">
        <v>21</v>
      </c>
      <c r="B8" s="15"/>
      <c r="C8" s="16"/>
      <c r="D8" s="17" t="s">
        <v>22</v>
      </c>
      <c r="E8" s="293" t="s">
        <v>23</v>
      </c>
      <c r="F8" s="293" t="s">
        <v>148</v>
      </c>
      <c r="G8" s="293" t="s">
        <v>734</v>
      </c>
      <c r="H8" s="294" t="s">
        <v>174</v>
      </c>
      <c r="I8" s="293" t="s">
        <v>137</v>
      </c>
    </row>
    <row r="9" spans="1:22">
      <c r="A9" s="18"/>
      <c r="B9" s="19"/>
      <c r="C9" s="19"/>
      <c r="D9" s="19" t="s">
        <v>34</v>
      </c>
      <c r="E9" s="295" t="s">
        <v>35</v>
      </c>
      <c r="F9" s="295" t="s">
        <v>36</v>
      </c>
      <c r="G9" s="295" t="s">
        <v>37</v>
      </c>
      <c r="H9" s="295" t="s">
        <v>38</v>
      </c>
      <c r="I9" s="295" t="s">
        <v>39</v>
      </c>
    </row>
    <row r="10" spans="1:22" ht="5.25" customHeight="1"/>
    <row r="11" spans="1:22" ht="5.25" customHeight="1"/>
    <row r="12" spans="1:22" ht="1.5" customHeight="1"/>
    <row r="13" spans="1:22">
      <c r="B13" s="2" t="s">
        <v>40</v>
      </c>
    </row>
    <row r="14" spans="1:22">
      <c r="A14" s="20">
        <v>1</v>
      </c>
      <c r="B14" s="21" t="s">
        <v>41</v>
      </c>
      <c r="C14" s="21"/>
      <c r="D14" s="21"/>
      <c r="E14" s="21">
        <f>'Tab 4 Adjustment Details'!E14</f>
        <v>516333</v>
      </c>
      <c r="F14" s="21">
        <f>G14-E14</f>
        <v>-25145</v>
      </c>
      <c r="G14" s="547">
        <f>'Tab 4 Adjustment Details'!AT14</f>
        <v>491188</v>
      </c>
      <c r="H14" s="283" t="e">
        <f>'Tab 3 Conversion Factor'!#REF!</f>
        <v>#REF!</v>
      </c>
      <c r="I14" s="21" t="e">
        <f>G14+H14</f>
        <v>#REF!</v>
      </c>
    </row>
    <row r="15" spans="1:22">
      <c r="A15" s="20">
        <v>2</v>
      </c>
      <c r="B15" s="22" t="s">
        <v>42</v>
      </c>
      <c r="C15" s="22"/>
      <c r="D15" s="22"/>
      <c r="E15" s="274">
        <f>'Tab 4 Adjustment Details'!E15</f>
        <v>946</v>
      </c>
      <c r="F15" s="274">
        <f>G15-E15</f>
        <v>0</v>
      </c>
      <c r="G15" s="559">
        <f>'Tab 4 Adjustment Details'!AT15</f>
        <v>946</v>
      </c>
      <c r="H15" s="274"/>
      <c r="I15" s="274">
        <f t="shared" ref="I15:I16" si="0">G15+H15</f>
        <v>946</v>
      </c>
    </row>
    <row r="16" spans="1:22">
      <c r="A16" s="20">
        <v>3</v>
      </c>
      <c r="B16" s="22" t="s">
        <v>43</v>
      </c>
      <c r="C16" s="22"/>
      <c r="D16" s="22"/>
      <c r="E16" s="279">
        <f>'Tab 4 Adjustment Details'!E16</f>
        <v>78098</v>
      </c>
      <c r="F16" s="279">
        <f>G16-E16</f>
        <v>-20773</v>
      </c>
      <c r="G16" s="571">
        <f>'Tab 4 Adjustment Details'!AT16</f>
        <v>57325</v>
      </c>
      <c r="H16" s="279"/>
      <c r="I16" s="279">
        <f t="shared" si="0"/>
        <v>57325</v>
      </c>
    </row>
    <row r="17" spans="1:12">
      <c r="A17" s="20">
        <v>4</v>
      </c>
      <c r="B17" s="22"/>
      <c r="C17" s="22" t="s">
        <v>44</v>
      </c>
      <c r="D17" s="22"/>
      <c r="E17" s="274">
        <f>SUM(E14:E16)</f>
        <v>595377</v>
      </c>
      <c r="F17" s="274">
        <f>SUM(F14:F16)</f>
        <v>-45918</v>
      </c>
      <c r="G17" s="559">
        <f t="shared" ref="G17:I17" si="1">SUM(G14:G16)</f>
        <v>549459</v>
      </c>
      <c r="H17" s="274" t="e">
        <f t="shared" si="1"/>
        <v>#REF!</v>
      </c>
      <c r="I17" s="274" t="e">
        <f t="shared" si="1"/>
        <v>#REF!</v>
      </c>
    </row>
    <row r="18" spans="1:12">
      <c r="A18" s="20">
        <v>5</v>
      </c>
      <c r="B18" s="22" t="s">
        <v>45</v>
      </c>
      <c r="C18" s="22"/>
      <c r="D18" s="22"/>
      <c r="E18" s="279">
        <f>'Tab 4 Adjustment Details'!E18</f>
        <v>81735</v>
      </c>
      <c r="F18" s="279">
        <f>G18-E18</f>
        <v>-68435</v>
      </c>
      <c r="G18" s="571">
        <f>'Tab 4 Adjustment Details'!AT18</f>
        <v>13300</v>
      </c>
      <c r="H18" s="279"/>
      <c r="I18" s="279">
        <f>G18+H18</f>
        <v>13300</v>
      </c>
    </row>
    <row r="19" spans="1:12">
      <c r="A19" s="20">
        <v>6</v>
      </c>
      <c r="B19" s="22"/>
      <c r="C19" s="22" t="s">
        <v>46</v>
      </c>
      <c r="D19" s="22"/>
      <c r="E19" s="274">
        <f>SUM(E17:E18)</f>
        <v>677112</v>
      </c>
      <c r="F19" s="274">
        <f t="shared" ref="F19:I19" si="2">SUM(F17:F18)</f>
        <v>-114353</v>
      </c>
      <c r="G19" s="559">
        <f t="shared" si="2"/>
        <v>562759</v>
      </c>
      <c r="H19" s="274" t="e">
        <f t="shared" si="2"/>
        <v>#REF!</v>
      </c>
      <c r="I19" s="274" t="e">
        <f t="shared" si="2"/>
        <v>#REF!</v>
      </c>
    </row>
    <row r="20" spans="1:12" ht="5.25" customHeight="1">
      <c r="A20" s="20"/>
      <c r="B20" s="22"/>
      <c r="C20" s="22"/>
      <c r="D20" s="22"/>
      <c r="E20" s="274"/>
      <c r="F20" s="274"/>
      <c r="G20" s="559"/>
      <c r="H20" s="274"/>
      <c r="I20" s="274"/>
    </row>
    <row r="21" spans="1:12">
      <c r="A21" s="20"/>
      <c r="B21" s="22" t="s">
        <v>47</v>
      </c>
      <c r="C21" s="22"/>
      <c r="D21" s="22"/>
      <c r="E21" s="274"/>
      <c r="F21" s="274"/>
      <c r="G21" s="559"/>
      <c r="H21" s="274"/>
      <c r="I21" s="274"/>
      <c r="L21" s="299"/>
    </row>
    <row r="22" spans="1:12">
      <c r="A22" s="20"/>
      <c r="B22" s="22" t="s">
        <v>48</v>
      </c>
      <c r="C22" s="22"/>
      <c r="D22" s="22"/>
      <c r="E22" s="274"/>
      <c r="F22" s="274"/>
      <c r="G22" s="559"/>
      <c r="H22" s="274"/>
      <c r="I22" s="274"/>
    </row>
    <row r="23" spans="1:12">
      <c r="A23" s="20">
        <v>7</v>
      </c>
      <c r="B23" s="22"/>
      <c r="C23" s="22" t="s">
        <v>49</v>
      </c>
      <c r="D23" s="22"/>
      <c r="E23" s="274">
        <f>'Tab 4 Adjustment Details'!E23</f>
        <v>184672</v>
      </c>
      <c r="F23" s="274">
        <f>G23-E23</f>
        <v>-49387.66</v>
      </c>
      <c r="G23" s="559">
        <f>'Tab 4 Adjustment Details'!AT23</f>
        <v>135284.34</v>
      </c>
      <c r="H23" s="274"/>
      <c r="I23" s="274">
        <f>G23+H23</f>
        <v>135284.34</v>
      </c>
    </row>
    <row r="24" spans="1:12">
      <c r="A24" s="20">
        <v>8</v>
      </c>
      <c r="B24" s="22"/>
      <c r="C24" s="22" t="s">
        <v>50</v>
      </c>
      <c r="D24" s="22"/>
      <c r="E24" s="274">
        <f>'Tab 4 Adjustment Details'!E24</f>
        <v>96772</v>
      </c>
      <c r="F24" s="274">
        <f>G24-E24</f>
        <v>-19641</v>
      </c>
      <c r="G24" s="559">
        <f>'Tab 4 Adjustment Details'!AT24</f>
        <v>77131</v>
      </c>
      <c r="H24" s="274"/>
      <c r="I24" s="274">
        <f t="shared" ref="I24:I27" si="3">G24+H24</f>
        <v>77131</v>
      </c>
    </row>
    <row r="25" spans="1:12">
      <c r="A25" s="20">
        <v>9</v>
      </c>
      <c r="B25" s="22"/>
      <c r="C25" s="22" t="s">
        <v>587</v>
      </c>
      <c r="D25" s="22"/>
      <c r="E25" s="274">
        <f>'Tab 4 Adjustment Details'!E25</f>
        <v>26677</v>
      </c>
      <c r="F25" s="274">
        <f>G25-E25</f>
        <v>129</v>
      </c>
      <c r="G25" s="559">
        <f>'Tab 4 Adjustment Details'!AT25</f>
        <v>26806</v>
      </c>
      <c r="H25" s="274"/>
      <c r="I25" s="274">
        <f t="shared" si="3"/>
        <v>26806</v>
      </c>
      <c r="L25" s="274"/>
    </row>
    <row r="26" spans="1:12">
      <c r="A26" s="20">
        <v>10</v>
      </c>
      <c r="B26" s="22"/>
      <c r="C26" s="22" t="s">
        <v>584</v>
      </c>
      <c r="D26" s="22"/>
      <c r="E26" s="274">
        <f>'Tab 4 Adjustment Details'!E26</f>
        <v>4310</v>
      </c>
      <c r="F26" s="274">
        <f>G26-E26</f>
        <v>-998</v>
      </c>
      <c r="G26" s="559">
        <f>'Tab 4 Adjustment Details'!AT26</f>
        <v>3312</v>
      </c>
      <c r="H26" s="274"/>
      <c r="I26" s="274">
        <f t="shared" si="3"/>
        <v>3312</v>
      </c>
    </row>
    <row r="27" spans="1:12">
      <c r="A27" s="20">
        <v>11</v>
      </c>
      <c r="B27" s="22"/>
      <c r="C27" s="22" t="s">
        <v>27</v>
      </c>
      <c r="D27" s="22"/>
      <c r="E27" s="279">
        <f>'Tab 4 Adjustment Details'!E27</f>
        <v>14904</v>
      </c>
      <c r="F27" s="279">
        <f>G27-E27</f>
        <v>1664</v>
      </c>
      <c r="G27" s="571">
        <f>'Tab 4 Adjustment Details'!AT27</f>
        <v>16568</v>
      </c>
      <c r="H27" s="279"/>
      <c r="I27" s="279">
        <f t="shared" si="3"/>
        <v>16568</v>
      </c>
    </row>
    <row r="28" spans="1:12">
      <c r="A28" s="20">
        <v>12</v>
      </c>
      <c r="B28" s="22"/>
      <c r="C28" s="22"/>
      <c r="D28" s="22" t="s">
        <v>51</v>
      </c>
      <c r="E28" s="274">
        <f>SUM(E23:E27)</f>
        <v>327335</v>
      </c>
      <c r="F28" s="274">
        <f t="shared" ref="F28:I28" si="4">SUM(F23:F27)</f>
        <v>-68233.66</v>
      </c>
      <c r="G28" s="559">
        <f t="shared" si="4"/>
        <v>259101.34</v>
      </c>
      <c r="H28" s="274">
        <f t="shared" si="4"/>
        <v>0</v>
      </c>
      <c r="I28" s="274">
        <f t="shared" si="4"/>
        <v>259101.34</v>
      </c>
    </row>
    <row r="29" spans="1:12" ht="7.5" customHeight="1">
      <c r="A29" s="20"/>
      <c r="B29" s="22"/>
      <c r="C29" s="22"/>
      <c r="D29" s="22"/>
      <c r="E29" s="274"/>
      <c r="F29" s="274"/>
      <c r="G29" s="559"/>
      <c r="H29" s="274"/>
      <c r="I29" s="274"/>
    </row>
    <row r="30" spans="1:12">
      <c r="A30" s="20"/>
      <c r="B30" s="22" t="s">
        <v>52</v>
      </c>
      <c r="C30" s="22"/>
      <c r="D30" s="22"/>
      <c r="E30" s="274"/>
      <c r="F30" s="274"/>
      <c r="G30" s="559"/>
      <c r="H30" s="274"/>
      <c r="I30" s="274"/>
    </row>
    <row r="31" spans="1:12">
      <c r="A31" s="20">
        <v>13</v>
      </c>
      <c r="B31" s="22"/>
      <c r="C31" s="22" t="s">
        <v>49</v>
      </c>
      <c r="D31" s="22"/>
      <c r="E31" s="274">
        <f>'Tab 4 Adjustment Details'!E31</f>
        <v>21420</v>
      </c>
      <c r="F31" s="274">
        <f>G31-E31</f>
        <v>780.46900000000096</v>
      </c>
      <c r="G31" s="559">
        <f>'Tab 4 Adjustment Details'!AT31</f>
        <v>22200.469000000001</v>
      </c>
      <c r="H31" s="274"/>
      <c r="I31" s="274">
        <f>G31+H31</f>
        <v>22200.469000000001</v>
      </c>
    </row>
    <row r="32" spans="1:12">
      <c r="A32" s="20">
        <v>14</v>
      </c>
      <c r="B32" s="22"/>
      <c r="C32" s="22" t="s">
        <v>587</v>
      </c>
      <c r="D32" s="22"/>
      <c r="E32" s="274">
        <f>'Tab 4 Adjustment Details'!E32</f>
        <v>27913</v>
      </c>
      <c r="F32" s="274">
        <f>G32-E32</f>
        <v>-969</v>
      </c>
      <c r="G32" s="559">
        <f>'Tab 4 Adjustment Details'!AT32</f>
        <v>26944</v>
      </c>
      <c r="H32" s="274"/>
      <c r="I32" s="274">
        <f t="shared" ref="I32:I34" si="5">G32+H32</f>
        <v>26944</v>
      </c>
    </row>
    <row r="33" spans="1:9">
      <c r="A33" s="546">
        <v>15</v>
      </c>
      <c r="B33" s="548"/>
      <c r="C33" s="548" t="s">
        <v>584</v>
      </c>
      <c r="D33" s="548"/>
      <c r="E33" s="559">
        <f>'Tab 4 Adjustment Details'!E33</f>
        <v>0</v>
      </c>
      <c r="F33" s="559">
        <f>G33-E33</f>
        <v>0</v>
      </c>
      <c r="G33" s="559">
        <f>'Tab 4 Adjustment Details'!AT33</f>
        <v>0</v>
      </c>
      <c r="H33" s="559"/>
      <c r="I33" s="559">
        <f t="shared" ref="I33" si="6">G33+H33</f>
        <v>0</v>
      </c>
    </row>
    <row r="34" spans="1:9">
      <c r="A34" s="20">
        <v>16</v>
      </c>
      <c r="B34" s="22"/>
      <c r="C34" s="22" t="s">
        <v>27</v>
      </c>
      <c r="D34" s="22"/>
      <c r="E34" s="279">
        <f>'Tab 4 Adjustment Details'!E34</f>
        <v>45258</v>
      </c>
      <c r="F34" s="279">
        <f>G34-E34</f>
        <v>-17474</v>
      </c>
      <c r="G34" s="571">
        <f>'Tab 4 Adjustment Details'!AT34</f>
        <v>27784</v>
      </c>
      <c r="H34" s="279" t="e">
        <f>'Tab 3 Conversion Factor'!#REF!</f>
        <v>#REF!</v>
      </c>
      <c r="I34" s="279" t="e">
        <f t="shared" si="5"/>
        <v>#REF!</v>
      </c>
    </row>
    <row r="35" spans="1:9">
      <c r="A35" s="20">
        <v>17</v>
      </c>
      <c r="B35" s="22"/>
      <c r="C35" s="22"/>
      <c r="D35" s="22" t="s">
        <v>53</v>
      </c>
      <c r="E35" s="274">
        <f>SUM(E31:E34)</f>
        <v>94591</v>
      </c>
      <c r="F35" s="274">
        <f t="shared" ref="F35:I35" si="7">SUM(F31:F34)</f>
        <v>-17662.530999999999</v>
      </c>
      <c r="G35" s="559">
        <f t="shared" si="7"/>
        <v>76928.468999999997</v>
      </c>
      <c r="H35" s="274" t="e">
        <f t="shared" si="7"/>
        <v>#REF!</v>
      </c>
      <c r="I35" s="274" t="e">
        <f t="shared" si="7"/>
        <v>#REF!</v>
      </c>
    </row>
    <row r="36" spans="1:9" ht="6.75" customHeight="1">
      <c r="A36" s="20"/>
      <c r="B36" s="22"/>
      <c r="C36" s="22"/>
      <c r="D36" s="22"/>
      <c r="E36" s="274"/>
      <c r="F36" s="274"/>
      <c r="G36" s="559"/>
      <c r="H36" s="274"/>
      <c r="I36" s="274"/>
    </row>
    <row r="37" spans="1:9">
      <c r="A37" s="20">
        <v>18</v>
      </c>
      <c r="B37" s="22" t="s">
        <v>54</v>
      </c>
      <c r="C37" s="22"/>
      <c r="D37" s="22"/>
      <c r="E37" s="274">
        <f>'Tab 4 Adjustment Details'!E37</f>
        <v>11733</v>
      </c>
      <c r="F37" s="274">
        <f>G37-E37</f>
        <v>1409.8880000000008</v>
      </c>
      <c r="G37" s="559">
        <f>'Tab 4 Adjustment Details'!AT37</f>
        <v>13142.888000000001</v>
      </c>
      <c r="H37" s="274" t="e">
        <f>'Tab 3 Conversion Factor'!#REF!</f>
        <v>#REF!</v>
      </c>
      <c r="I37" s="274" t="e">
        <f>G37+H37</f>
        <v>#REF!</v>
      </c>
    </row>
    <row r="38" spans="1:9">
      <c r="A38" s="20">
        <v>19</v>
      </c>
      <c r="B38" s="22" t="s">
        <v>55</v>
      </c>
      <c r="C38" s="22"/>
      <c r="D38" s="22"/>
      <c r="E38" s="274">
        <f>'Tab 4 Adjustment Details'!E38</f>
        <v>18081</v>
      </c>
      <c r="F38" s="274">
        <f>G38-E38</f>
        <v>-16663.983</v>
      </c>
      <c r="G38" s="559">
        <f>'Tab 4 Adjustment Details'!AT38</f>
        <v>1417.0170000000001</v>
      </c>
      <c r="H38" s="274"/>
      <c r="I38" s="274">
        <f t="shared" ref="I38:I39" si="8">G38+H38</f>
        <v>1417.0170000000001</v>
      </c>
    </row>
    <row r="39" spans="1:9">
      <c r="A39" s="20">
        <v>20</v>
      </c>
      <c r="B39" s="22" t="s">
        <v>56</v>
      </c>
      <c r="C39" s="22"/>
      <c r="D39" s="22"/>
      <c r="E39" s="274">
        <f>'Tab 4 Adjustment Details'!E39</f>
        <v>0</v>
      </c>
      <c r="F39" s="274">
        <f>G39-E39</f>
        <v>0</v>
      </c>
      <c r="G39" s="559">
        <f>'Tab 4 Adjustment Details'!AT39</f>
        <v>0</v>
      </c>
      <c r="H39" s="274"/>
      <c r="I39" s="274">
        <f t="shared" si="8"/>
        <v>0</v>
      </c>
    </row>
    <row r="40" spans="1:9" ht="6.75" customHeight="1">
      <c r="A40" s="22"/>
      <c r="B40" s="22"/>
      <c r="C40" s="22"/>
      <c r="D40" s="22"/>
      <c r="E40" s="274"/>
      <c r="F40" s="274"/>
      <c r="G40" s="559"/>
      <c r="H40" s="274"/>
      <c r="I40" s="274"/>
    </row>
    <row r="41" spans="1:9">
      <c r="A41" s="20"/>
      <c r="B41" s="22" t="s">
        <v>57</v>
      </c>
      <c r="C41" s="22"/>
      <c r="D41" s="22"/>
      <c r="E41" s="274"/>
      <c r="F41" s="274"/>
      <c r="G41" s="559"/>
      <c r="H41" s="274"/>
      <c r="I41" s="274"/>
    </row>
    <row r="42" spans="1:9">
      <c r="A42" s="20">
        <v>21</v>
      </c>
      <c r="B42" s="22"/>
      <c r="C42" s="22" t="s">
        <v>49</v>
      </c>
      <c r="D42" s="22"/>
      <c r="E42" s="274">
        <f>'Tab 4 Adjustment Details'!E42</f>
        <v>50568</v>
      </c>
      <c r="F42" s="274">
        <f>G42-E42</f>
        <v>-543.56999999999971</v>
      </c>
      <c r="G42" s="559">
        <f>'Tab 4 Adjustment Details'!AT42</f>
        <v>50024.43</v>
      </c>
      <c r="H42" s="274" t="e">
        <f>'Tab 3 Conversion Factor'!#REF!</f>
        <v>#REF!</v>
      </c>
      <c r="I42" s="274" t="e">
        <f t="shared" ref="I42:I44" si="9">G42+H42</f>
        <v>#REF!</v>
      </c>
    </row>
    <row r="43" spans="1:9">
      <c r="A43" s="20">
        <v>22</v>
      </c>
      <c r="B43" s="22"/>
      <c r="C43" s="22" t="s">
        <v>587</v>
      </c>
      <c r="D43" s="22"/>
      <c r="E43" s="274">
        <f>'Tab 4 Adjustment Details'!E43</f>
        <v>23877</v>
      </c>
      <c r="F43" s="274">
        <f>G43-E43</f>
        <v>0</v>
      </c>
      <c r="G43" s="559">
        <f>'Tab 4 Adjustment Details'!AT43</f>
        <v>23877</v>
      </c>
      <c r="H43" s="274"/>
      <c r="I43" s="274">
        <f t="shared" si="9"/>
        <v>23877</v>
      </c>
    </row>
    <row r="44" spans="1:9">
      <c r="A44" s="282">
        <v>23</v>
      </c>
      <c r="B44" s="22"/>
      <c r="C44" s="22" t="s">
        <v>27</v>
      </c>
      <c r="D44" s="22"/>
      <c r="E44" s="279">
        <f>'Tab 4 Adjustment Details'!E44</f>
        <v>0</v>
      </c>
      <c r="F44" s="279">
        <f>G44-E44</f>
        <v>0</v>
      </c>
      <c r="G44" s="571">
        <f>'Tab 4 Adjustment Details'!AT44</f>
        <v>0</v>
      </c>
      <c r="H44" s="279"/>
      <c r="I44" s="279">
        <f t="shared" si="9"/>
        <v>0</v>
      </c>
    </row>
    <row r="45" spans="1:9">
      <c r="A45" s="20">
        <v>24</v>
      </c>
      <c r="B45" s="22"/>
      <c r="C45" s="22"/>
      <c r="D45" s="22" t="s">
        <v>58</v>
      </c>
      <c r="E45" s="279">
        <f>SUM(E42:E44)</f>
        <v>74445</v>
      </c>
      <c r="F45" s="279">
        <f>SUM(F42:F44)</f>
        <v>-543.56999999999971</v>
      </c>
      <c r="G45" s="571">
        <f>SUM(G42:G44)</f>
        <v>73901.429999999993</v>
      </c>
      <c r="H45" s="279" t="e">
        <f>SUM(H42:H44)</f>
        <v>#REF!</v>
      </c>
      <c r="I45" s="279" t="e">
        <f>SUM(I42:I44)</f>
        <v>#REF!</v>
      </c>
    </row>
    <row r="46" spans="1:9">
      <c r="A46" s="20">
        <v>25</v>
      </c>
      <c r="B46" s="22" t="s">
        <v>59</v>
      </c>
      <c r="C46" s="22"/>
      <c r="D46" s="22"/>
      <c r="E46" s="279">
        <f>E28+E35+E37+E38+E39+E45</f>
        <v>526185</v>
      </c>
      <c r="F46" s="279">
        <f>F28+F35+F37+F38+F39+F45</f>
        <v>-101693.856</v>
      </c>
      <c r="G46" s="571">
        <f>G28+G35+G37+G38+G39+G45</f>
        <v>424491.14399999997</v>
      </c>
      <c r="H46" s="279" t="e">
        <f>H28+H35+H37+H38+H39+H45</f>
        <v>#REF!</v>
      </c>
      <c r="I46" s="279" t="e">
        <f>I28+I35+I37+I38+I39+I45</f>
        <v>#REF!</v>
      </c>
    </row>
    <row r="47" spans="1:9" ht="7.5" customHeight="1">
      <c r="A47" s="20"/>
      <c r="B47" s="22"/>
      <c r="C47" s="22"/>
      <c r="D47" s="22"/>
      <c r="E47" s="274"/>
      <c r="F47" s="274"/>
      <c r="G47" s="559"/>
      <c r="H47" s="274"/>
      <c r="I47" s="274"/>
    </row>
    <row r="48" spans="1:9">
      <c r="A48" s="20">
        <v>26</v>
      </c>
      <c r="B48" s="22" t="s">
        <v>60</v>
      </c>
      <c r="C48" s="22"/>
      <c r="D48" s="22"/>
      <c r="E48" s="274">
        <f>E19-E46</f>
        <v>150927</v>
      </c>
      <c r="F48" s="274">
        <f>F19-F46</f>
        <v>-12659.144</v>
      </c>
      <c r="G48" s="559">
        <f>G19-G46</f>
        <v>138267.85600000003</v>
      </c>
      <c r="H48" s="274" t="e">
        <f>H19-H46</f>
        <v>#REF!</v>
      </c>
      <c r="I48" s="274" t="e">
        <f>I19-I46</f>
        <v>#REF!</v>
      </c>
    </row>
    <row r="49" spans="1:25" ht="5.25" customHeight="1">
      <c r="A49" s="20"/>
      <c r="B49" s="22"/>
      <c r="C49" s="22"/>
      <c r="D49" s="22"/>
      <c r="E49" s="274"/>
      <c r="F49" s="274"/>
      <c r="G49" s="559"/>
      <c r="H49" s="274"/>
      <c r="I49" s="274"/>
    </row>
    <row r="50" spans="1:25">
      <c r="A50" s="20"/>
      <c r="B50" s="22" t="s">
        <v>61</v>
      </c>
      <c r="C50" s="22"/>
      <c r="D50" s="22"/>
      <c r="E50" s="274"/>
      <c r="F50" s="274"/>
      <c r="G50" s="559"/>
      <c r="H50" s="274"/>
      <c r="I50" s="274"/>
    </row>
    <row r="51" spans="1:25">
      <c r="A51" s="546">
        <v>27</v>
      </c>
      <c r="B51" s="22" t="s">
        <v>62</v>
      </c>
      <c r="C51" s="22"/>
      <c r="D51" s="22"/>
      <c r="E51" s="274">
        <f>'Tab 4 Adjustment Details'!E51</f>
        <v>-25741</v>
      </c>
      <c r="F51" s="274">
        <f>G51-E51</f>
        <v>-4913.5004000000008</v>
      </c>
      <c r="G51" s="559">
        <f>'Tab 4 Adjustment Details'!AT51</f>
        <v>-30654.500400000001</v>
      </c>
      <c r="H51" s="274" t="e">
        <f>'Tab 3 Conversion Factor'!#REF!</f>
        <v>#REF!</v>
      </c>
      <c r="I51" s="274" t="e">
        <f>G51+H51</f>
        <v>#REF!</v>
      </c>
      <c r="M51" s="163"/>
      <c r="N51" s="163"/>
      <c r="Y51" s="163"/>
    </row>
    <row r="52" spans="1:25">
      <c r="A52" s="546">
        <v>28</v>
      </c>
      <c r="B52" s="2" t="s">
        <v>298</v>
      </c>
      <c r="E52" s="274">
        <f>'Tab 4 Adjustment Details'!E52</f>
        <v>0</v>
      </c>
      <c r="F52" s="274">
        <f>G52-E52</f>
        <v>18.583726286948441</v>
      </c>
      <c r="G52" s="559">
        <f>'Tab 4 Adjustment Details'!AT52</f>
        <v>18.583726286948441</v>
      </c>
      <c r="H52" s="274"/>
      <c r="I52" s="274">
        <f>G52+H52</f>
        <v>18.583726286948441</v>
      </c>
    </row>
    <row r="53" spans="1:25">
      <c r="A53" s="546">
        <v>29</v>
      </c>
      <c r="B53" s="22" t="s">
        <v>63</v>
      </c>
      <c r="C53" s="22"/>
      <c r="D53" s="22"/>
      <c r="E53" s="274">
        <f>'Tab 4 Adjustment Details'!E53</f>
        <v>66436</v>
      </c>
      <c r="F53" s="274">
        <f>G53-E53</f>
        <v>755</v>
      </c>
      <c r="G53" s="559">
        <f>'Tab 4 Adjustment Details'!AT53</f>
        <v>67191</v>
      </c>
      <c r="H53" s="274"/>
      <c r="I53" s="274">
        <f>G53+H53</f>
        <v>67191</v>
      </c>
      <c r="N53" s="163"/>
    </row>
    <row r="54" spans="1:25">
      <c r="A54" s="20">
        <v>30</v>
      </c>
      <c r="B54" s="22" t="s">
        <v>64</v>
      </c>
      <c r="C54" s="22"/>
      <c r="D54" s="22"/>
      <c r="E54" s="279">
        <f>'Tab 4 Adjustment Details'!E54</f>
        <v>-325</v>
      </c>
      <c r="F54" s="279">
        <f>G54-E54</f>
        <v>-1</v>
      </c>
      <c r="G54" s="571">
        <f>'Tab 4 Adjustment Details'!AT54</f>
        <v>-326</v>
      </c>
      <c r="H54" s="279"/>
      <c r="I54" s="279">
        <f>G54+H54</f>
        <v>-326</v>
      </c>
    </row>
    <row r="55" spans="1:25" ht="6.75" customHeight="1">
      <c r="A55" s="20"/>
      <c r="E55" s="274"/>
      <c r="F55" s="274"/>
      <c r="G55" s="559"/>
      <c r="H55" s="274"/>
      <c r="I55" s="274"/>
    </row>
    <row r="56" spans="1:25" ht="13.5" thickBot="1">
      <c r="A56" s="3">
        <v>31</v>
      </c>
      <c r="B56" s="21" t="s">
        <v>65</v>
      </c>
      <c r="C56" s="21"/>
      <c r="D56" s="21"/>
      <c r="E56" s="396">
        <f>E48-SUM(E51:E54)</f>
        <v>110557</v>
      </c>
      <c r="F56" s="396">
        <f>F48-SUM(F51:F54)</f>
        <v>-8518.2273262869476</v>
      </c>
      <c r="G56" s="583">
        <f>G48-SUM(G51:G54)</f>
        <v>102038.77267371307</v>
      </c>
      <c r="H56" s="396" t="e">
        <f>H48-SUM(H51:H54)</f>
        <v>#REF!</v>
      </c>
      <c r="I56" s="396" t="e">
        <f>I48-SUM(I51:I54)</f>
        <v>#REF!</v>
      </c>
      <c r="M56" s="39"/>
    </row>
    <row r="57" spans="1:25" ht="5.25" customHeight="1" thickTop="1">
      <c r="E57" s="274"/>
      <c r="F57" s="274"/>
      <c r="G57" s="559"/>
      <c r="H57" s="274"/>
      <c r="I57" s="274"/>
      <c r="M57" s="106"/>
      <c r="P57" s="106"/>
    </row>
    <row r="58" spans="1:25">
      <c r="B58" s="2" t="s">
        <v>66</v>
      </c>
      <c r="E58" s="274"/>
      <c r="F58" s="274"/>
      <c r="G58" s="559"/>
      <c r="H58" s="274"/>
      <c r="I58" s="274"/>
      <c r="M58" s="39"/>
    </row>
    <row r="59" spans="1:25">
      <c r="A59" s="20"/>
      <c r="B59" s="2" t="s">
        <v>67</v>
      </c>
      <c r="E59" s="274"/>
      <c r="F59" s="274"/>
      <c r="G59" s="559"/>
      <c r="H59" s="274"/>
      <c r="I59" s="274"/>
      <c r="M59" s="39"/>
    </row>
    <row r="60" spans="1:25">
      <c r="A60" s="546">
        <v>32</v>
      </c>
      <c r="B60" s="21"/>
      <c r="C60" s="21" t="s">
        <v>68</v>
      </c>
      <c r="D60" s="21"/>
      <c r="E60" s="21">
        <f>'Tab 4 Adjustment Details'!E61</f>
        <v>156057</v>
      </c>
      <c r="F60" s="21">
        <f t="shared" ref="F60:F69" si="10">G60-E60</f>
        <v>0</v>
      </c>
      <c r="G60" s="547">
        <f>'Tab 4 Adjustment Details'!AT61</f>
        <v>156057</v>
      </c>
      <c r="H60" s="21"/>
      <c r="I60" s="21">
        <f>G60+H60</f>
        <v>156057</v>
      </c>
    </row>
    <row r="61" spans="1:25">
      <c r="A61" s="546">
        <v>33</v>
      </c>
      <c r="B61" s="22"/>
      <c r="C61" s="22" t="s">
        <v>69</v>
      </c>
      <c r="D61" s="22"/>
      <c r="E61" s="274">
        <f>'Tab 4 Adjustment Details'!E62</f>
        <v>832833</v>
      </c>
      <c r="F61" s="274">
        <f t="shared" si="10"/>
        <v>6889</v>
      </c>
      <c r="G61" s="559">
        <f>'Tab 4 Adjustment Details'!AT62</f>
        <v>839722</v>
      </c>
      <c r="H61" s="274"/>
      <c r="I61" s="274">
        <f t="shared" ref="I61:I64" si="11">G61+H61</f>
        <v>839722</v>
      </c>
      <c r="M61" s="166"/>
    </row>
    <row r="62" spans="1:25">
      <c r="A62" s="546">
        <v>34</v>
      </c>
      <c r="B62" s="22"/>
      <c r="C62" s="22" t="s">
        <v>70</v>
      </c>
      <c r="D62" s="22"/>
      <c r="E62" s="274">
        <f>'Tab 4 Adjustment Details'!E63</f>
        <v>430613</v>
      </c>
      <c r="F62" s="274">
        <f t="shared" si="10"/>
        <v>0</v>
      </c>
      <c r="G62" s="559">
        <f>'Tab 4 Adjustment Details'!AT63</f>
        <v>430613</v>
      </c>
      <c r="H62" s="274"/>
      <c r="I62" s="274">
        <f t="shared" si="11"/>
        <v>430613</v>
      </c>
    </row>
    <row r="63" spans="1:25">
      <c r="A63" s="546">
        <v>35</v>
      </c>
      <c r="B63" s="22"/>
      <c r="C63" s="22" t="s">
        <v>52</v>
      </c>
      <c r="D63" s="22"/>
      <c r="E63" s="274">
        <f>'Tab 4 Adjustment Details'!E64</f>
        <v>970455</v>
      </c>
      <c r="F63" s="274">
        <f t="shared" si="10"/>
        <v>0</v>
      </c>
      <c r="G63" s="559">
        <f>'Tab 4 Adjustment Details'!AT64</f>
        <v>970455</v>
      </c>
      <c r="H63" s="274"/>
      <c r="I63" s="274">
        <f t="shared" si="11"/>
        <v>970455</v>
      </c>
    </row>
    <row r="64" spans="1:25">
      <c r="A64" s="546">
        <v>36</v>
      </c>
      <c r="B64" s="22"/>
      <c r="C64" s="22" t="s">
        <v>71</v>
      </c>
      <c r="D64" s="22"/>
      <c r="E64" s="279">
        <f>'Tab 4 Adjustment Details'!E65</f>
        <v>233266</v>
      </c>
      <c r="F64" s="279">
        <f t="shared" si="10"/>
        <v>0</v>
      </c>
      <c r="G64" s="571">
        <f>'Tab 4 Adjustment Details'!AT65</f>
        <v>233266</v>
      </c>
      <c r="H64" s="279"/>
      <c r="I64" s="279">
        <f t="shared" si="11"/>
        <v>233266</v>
      </c>
    </row>
    <row r="65" spans="1:9">
      <c r="A65" s="20">
        <v>37</v>
      </c>
      <c r="B65" s="22"/>
      <c r="C65" s="22"/>
      <c r="D65" s="22" t="s">
        <v>72</v>
      </c>
      <c r="E65" s="274">
        <f>SUM(E60:E64)</f>
        <v>2623224</v>
      </c>
      <c r="F65" s="274">
        <f t="shared" ref="F65:H65" si="12">SUM(F60:F64)</f>
        <v>6889</v>
      </c>
      <c r="G65" s="559">
        <f t="shared" si="12"/>
        <v>2630113</v>
      </c>
      <c r="H65" s="274">
        <f t="shared" si="12"/>
        <v>0</v>
      </c>
      <c r="I65" s="274">
        <f>SUM(I60:I64)</f>
        <v>2630113</v>
      </c>
    </row>
    <row r="66" spans="1:9">
      <c r="A66" s="24"/>
      <c r="B66" s="22" t="s">
        <v>221</v>
      </c>
      <c r="C66" s="22"/>
      <c r="D66" s="22"/>
      <c r="E66" s="274"/>
      <c r="F66" s="274"/>
      <c r="G66" s="559"/>
      <c r="H66" s="274"/>
      <c r="I66" s="274"/>
    </row>
    <row r="67" spans="1:9">
      <c r="A67" s="24">
        <v>38</v>
      </c>
      <c r="B67" s="22"/>
      <c r="C67" s="21" t="s">
        <v>216</v>
      </c>
      <c r="D67" s="22"/>
      <c r="E67" s="274">
        <f>'Tab 4 Adjustment Details'!E68</f>
        <v>-30914</v>
      </c>
      <c r="F67" s="274">
        <f t="shared" si="10"/>
        <v>0</v>
      </c>
      <c r="G67" s="559">
        <f>'Tab 4 Adjustment Details'!AT68</f>
        <v>-30914</v>
      </c>
      <c r="H67" s="281"/>
      <c r="I67" s="281">
        <f>G67+H67</f>
        <v>-30914</v>
      </c>
    </row>
    <row r="68" spans="1:9">
      <c r="A68" s="24">
        <v>39</v>
      </c>
      <c r="B68" s="22"/>
      <c r="C68" s="22" t="s">
        <v>217</v>
      </c>
      <c r="D68" s="22"/>
      <c r="E68" s="274">
        <f>'Tab 4 Adjustment Details'!E69</f>
        <v>-351625</v>
      </c>
      <c r="F68" s="274">
        <f t="shared" si="10"/>
        <v>-95.207493278081529</v>
      </c>
      <c r="G68" s="559">
        <f>'Tab 4 Adjustment Details'!AT69</f>
        <v>-351720.20749327808</v>
      </c>
      <c r="H68" s="274"/>
      <c r="I68" s="281">
        <f t="shared" ref="I68:I71" si="13">G68+H68</f>
        <v>-351720.20749327808</v>
      </c>
    </row>
    <row r="69" spans="1:9">
      <c r="A69" s="24">
        <v>40</v>
      </c>
      <c r="B69" s="22"/>
      <c r="C69" s="22" t="s">
        <v>218</v>
      </c>
      <c r="D69" s="22"/>
      <c r="E69" s="274">
        <f>'Tab 4 Adjustment Details'!E70</f>
        <v>-135624</v>
      </c>
      <c r="F69" s="274">
        <f t="shared" si="10"/>
        <v>0</v>
      </c>
      <c r="G69" s="559">
        <f>'Tab 4 Adjustment Details'!AT70</f>
        <v>-135624</v>
      </c>
      <c r="H69" s="274"/>
      <c r="I69" s="281">
        <f t="shared" si="13"/>
        <v>-135624</v>
      </c>
    </row>
    <row r="70" spans="1:9">
      <c r="A70" s="24">
        <v>41</v>
      </c>
      <c r="B70" s="22"/>
      <c r="C70" s="22" t="s">
        <v>202</v>
      </c>
      <c r="D70" s="22"/>
      <c r="E70" s="274">
        <f>'Tab 4 Adjustment Details'!E71</f>
        <v>-295383</v>
      </c>
      <c r="F70" s="274">
        <f>G70-E70</f>
        <v>0</v>
      </c>
      <c r="G70" s="559">
        <f>'Tab 4 Adjustment Details'!AT71</f>
        <v>-295383</v>
      </c>
      <c r="H70" s="274"/>
      <c r="I70" s="281">
        <f t="shared" si="13"/>
        <v>-295383</v>
      </c>
    </row>
    <row r="71" spans="1:9">
      <c r="A71" s="24">
        <v>42</v>
      </c>
      <c r="B71" s="22"/>
      <c r="C71" s="22" t="s">
        <v>219</v>
      </c>
      <c r="D71" s="22"/>
      <c r="E71" s="274">
        <f>'Tab 4 Adjustment Details'!E72</f>
        <v>-80093</v>
      </c>
      <c r="F71" s="279">
        <f>G71-E71</f>
        <v>0</v>
      </c>
      <c r="G71" s="559">
        <f>'Tab 4 Adjustment Details'!AT72</f>
        <v>-80093</v>
      </c>
      <c r="H71" s="279"/>
      <c r="I71" s="281">
        <f t="shared" si="13"/>
        <v>-80093</v>
      </c>
    </row>
    <row r="72" spans="1:9">
      <c r="A72" s="24">
        <v>43</v>
      </c>
      <c r="B72" s="22" t="s">
        <v>303</v>
      </c>
      <c r="C72" s="22"/>
      <c r="D72" s="22"/>
      <c r="E72" s="323">
        <f>SUM(E67:E71)</f>
        <v>-893639</v>
      </c>
      <c r="F72" s="323">
        <f t="shared" ref="F72" si="14">SUM(F67:F71)</f>
        <v>-95.207493278081529</v>
      </c>
      <c r="G72" s="323">
        <f>SUM(G67:G71)</f>
        <v>-893734.20749327808</v>
      </c>
      <c r="H72" s="323">
        <f>SUM(H67:H71)</f>
        <v>0</v>
      </c>
      <c r="I72" s="323">
        <f>SUM(I67:I71)</f>
        <v>-893734.20749327808</v>
      </c>
    </row>
    <row r="73" spans="1:9">
      <c r="A73" s="24">
        <v>44</v>
      </c>
      <c r="B73" s="22" t="s">
        <v>592</v>
      </c>
      <c r="C73" s="22"/>
      <c r="D73" s="21"/>
      <c r="E73" s="281">
        <f>E65+E72</f>
        <v>1729585</v>
      </c>
      <c r="F73" s="281">
        <f t="shared" ref="F73:I73" si="15">F65+F72</f>
        <v>6793.7925067219185</v>
      </c>
      <c r="G73" s="573">
        <f t="shared" si="15"/>
        <v>1736378.7925067218</v>
      </c>
      <c r="H73" s="281">
        <f t="shared" si="15"/>
        <v>0</v>
      </c>
      <c r="I73" s="281">
        <f t="shared" si="15"/>
        <v>1736378.7925067218</v>
      </c>
    </row>
    <row r="74" spans="1:9" ht="5.25" customHeight="1">
      <c r="A74" s="24"/>
      <c r="B74" s="22"/>
      <c r="C74" s="22"/>
      <c r="E74" s="395"/>
      <c r="F74" s="395"/>
      <c r="G74" s="395"/>
      <c r="H74" s="395"/>
      <c r="I74" s="395"/>
    </row>
    <row r="75" spans="1:9">
      <c r="A75" s="25">
        <v>45</v>
      </c>
      <c r="B75" s="22" t="s">
        <v>222</v>
      </c>
      <c r="C75" s="22"/>
      <c r="D75" s="22"/>
      <c r="E75" s="279">
        <f>'Tab 4 Adjustment Details'!E76</f>
        <v>-354707</v>
      </c>
      <c r="F75" s="279">
        <f t="shared" ref="F75" si="16">G75-E75</f>
        <v>-423</v>
      </c>
      <c r="G75" s="571">
        <f>'Tab 4 Adjustment Details'!AT76</f>
        <v>-355130</v>
      </c>
      <c r="H75" s="355"/>
      <c r="I75" s="279">
        <f t="shared" ref="I75" si="17">G75+H75</f>
        <v>-355130</v>
      </c>
    </row>
    <row r="76" spans="1:9">
      <c r="A76" s="25">
        <v>46</v>
      </c>
      <c r="B76" s="22"/>
      <c r="C76" s="22" t="s">
        <v>591</v>
      </c>
      <c r="D76" s="22"/>
      <c r="E76" s="281">
        <f>SUM(E73:E75)</f>
        <v>1374878</v>
      </c>
      <c r="F76" s="281">
        <f t="shared" ref="F76:I76" si="18">SUM(F73:F75)</f>
        <v>6370.7925067219185</v>
      </c>
      <c r="G76" s="573">
        <f t="shared" si="18"/>
        <v>1381248.7925067218</v>
      </c>
      <c r="H76" s="281">
        <f t="shared" si="18"/>
        <v>0</v>
      </c>
      <c r="I76" s="281">
        <f t="shared" si="18"/>
        <v>1381248.7925067218</v>
      </c>
    </row>
    <row r="77" spans="1:9">
      <c r="A77" s="24">
        <v>47</v>
      </c>
      <c r="B77" s="22" t="s">
        <v>305</v>
      </c>
      <c r="C77" s="22"/>
      <c r="E77" s="274">
        <f>'Tab 4 Adjustment Details'!E79</f>
        <v>4568</v>
      </c>
      <c r="F77" s="274">
        <f t="shared" ref="F77:F78" si="19">G77-E77</f>
        <v>-5346</v>
      </c>
      <c r="G77" s="559">
        <f>'Tab 4 Adjustment Details'!AT79</f>
        <v>-778</v>
      </c>
      <c r="I77" s="281">
        <f t="shared" ref="I77:I78" si="20">G77+H77</f>
        <v>-778</v>
      </c>
    </row>
    <row r="78" spans="1:9">
      <c r="A78" s="24">
        <v>48</v>
      </c>
      <c r="B78" s="22" t="s">
        <v>285</v>
      </c>
      <c r="C78" s="22"/>
      <c r="E78" s="279">
        <f>'Tab 4 Adjustment Details'!E80</f>
        <v>65480</v>
      </c>
      <c r="F78" s="279">
        <f t="shared" si="19"/>
        <v>-3006</v>
      </c>
      <c r="G78" s="571">
        <f>'Tab 4 Adjustment Details'!AT80</f>
        <v>62474</v>
      </c>
      <c r="H78" s="355"/>
      <c r="I78" s="279">
        <f t="shared" si="20"/>
        <v>62474</v>
      </c>
    </row>
    <row r="79" spans="1:9" ht="2.25" customHeight="1">
      <c r="A79" s="25">
        <v>49</v>
      </c>
      <c r="B79" s="22"/>
      <c r="C79" s="22"/>
      <c r="D79" s="22"/>
    </row>
    <row r="80" spans="1:9" ht="13.5" thickBot="1">
      <c r="A80" s="20">
        <v>50</v>
      </c>
      <c r="B80" s="21" t="s">
        <v>223</v>
      </c>
      <c r="C80" s="21"/>
      <c r="D80" s="21"/>
      <c r="E80" s="398">
        <f>SUM(E76:E78)</f>
        <v>1444926</v>
      </c>
      <c r="F80" s="398">
        <f t="shared" ref="F80:I80" si="21">SUM(F76:F78)</f>
        <v>-1981.2074932780815</v>
      </c>
      <c r="G80" s="398">
        <f t="shared" si="21"/>
        <v>1442944.7925067218</v>
      </c>
      <c r="H80" s="398">
        <f t="shared" si="21"/>
        <v>0</v>
      </c>
      <c r="I80" s="398">
        <f t="shared" si="21"/>
        <v>1442944.7925067218</v>
      </c>
    </row>
    <row r="81" spans="1:9" ht="13.5" thickTop="1">
      <c r="A81" s="20">
        <v>51</v>
      </c>
      <c r="B81" s="2" t="s">
        <v>690</v>
      </c>
      <c r="E81" s="321">
        <f>ROUND(E56/E80,4)</f>
        <v>7.6499999999999999E-2</v>
      </c>
      <c r="G81" s="321">
        <f>ROUND(G56/G80,4)</f>
        <v>7.0699999999999999E-2</v>
      </c>
      <c r="I81" s="321" t="e">
        <f>ROUND(I56/I80,4)</f>
        <v>#REF!</v>
      </c>
    </row>
    <row r="82" spans="1:9" ht="6.75" customHeight="1">
      <c r="A82" s="1142"/>
      <c r="B82" s="1142"/>
      <c r="C82" s="1142"/>
      <c r="D82" s="1142"/>
      <c r="E82" s="1142"/>
      <c r="F82" s="1142"/>
      <c r="G82" s="1142"/>
      <c r="H82" s="1142"/>
      <c r="I82" s="1142"/>
    </row>
    <row r="84" spans="1:9">
      <c r="E84" s="474"/>
    </row>
    <row r="85" spans="1:9">
      <c r="E85" s="474"/>
    </row>
    <row r="89" spans="1:9">
      <c r="I89" s="442"/>
    </row>
    <row r="90" spans="1:9">
      <c r="I90" s="442"/>
    </row>
    <row r="91" spans="1:9">
      <c r="I91" s="442"/>
    </row>
  </sheetData>
  <mergeCells count="3">
    <mergeCell ref="E4:I4"/>
    <mergeCell ref="A82:I82"/>
    <mergeCell ref="E1:F1"/>
  </mergeCells>
  <phoneticPr fontId="0" type="noConversion"/>
  <pageMargins left="0.75" right="0.51" top="0.75" bottom="0.5" header="0.5" footer="0.35"/>
  <pageSetup scale="74" orientation="portrait" r:id="rId1"/>
  <headerFooter scaleWithDoc="0" alignWithMargins="0">
    <oddHeader xml:space="preserve">&amp;LPro Forma - Modified Historical Test Period Study&amp;RExhibit No. ____(EMA-2)
</oddHeader>
    <oddFooter xml:space="preserve">&amp;RPage &amp;P of &amp;N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13"/>
  <sheetViews>
    <sheetView view="pageBreakPreview" zoomScale="115" zoomScaleNormal="100" zoomScaleSheetLayoutView="115" workbookViewId="0">
      <pane ySplit="1995" topLeftCell="A37" activePane="bottomLeft"/>
      <selection sqref="A1:J110"/>
      <selection pane="bottomLeft" activeCell="E31" sqref="E31:F46"/>
    </sheetView>
  </sheetViews>
  <sheetFormatPr defaultColWidth="11.42578125" defaultRowHeight="12.75"/>
  <cols>
    <col min="1" max="1" width="6.42578125" style="26" customWidth="1"/>
    <col min="2" max="2" width="15.28515625" style="26" customWidth="1"/>
    <col min="3" max="3" width="24.42578125" style="26" customWidth="1"/>
    <col min="4" max="4" width="6" style="26" customWidth="1"/>
    <col min="5" max="5" width="11.42578125" style="26" customWidth="1"/>
    <col min="6" max="6" width="14.42578125" style="26" customWidth="1"/>
    <col min="7" max="7" width="11.42578125" style="26" customWidth="1"/>
    <col min="8" max="9" width="15.140625" style="58" customWidth="1"/>
    <col min="10" max="10" width="14.7109375" style="30" customWidth="1"/>
    <col min="11" max="11" width="10.7109375" style="134" customWidth="1"/>
    <col min="12" max="12" width="12" style="26" customWidth="1"/>
    <col min="13" max="13" width="3.42578125" style="26" customWidth="1"/>
    <col min="14" max="14" width="12.85546875" style="26" customWidth="1"/>
    <col min="15" max="15" width="9" style="26" customWidth="1"/>
    <col min="16" max="18" width="11.42578125" style="26" customWidth="1"/>
    <col min="19" max="19" width="3" style="26" customWidth="1"/>
    <col min="20" max="16384" width="11.42578125" style="26"/>
  </cols>
  <sheetData>
    <row r="1" spans="1:19">
      <c r="A1" s="26" t="s">
        <v>76</v>
      </c>
      <c r="E1" s="460" t="s">
        <v>116</v>
      </c>
      <c r="J1" s="461"/>
      <c r="K1" s="142"/>
      <c r="L1" s="28"/>
      <c r="M1" s="28"/>
      <c r="N1" s="29"/>
      <c r="O1" s="28"/>
      <c r="P1" s="28"/>
      <c r="Q1" s="28"/>
      <c r="R1" s="28"/>
      <c r="S1" s="27"/>
    </row>
    <row r="2" spans="1:19">
      <c r="E2" s="30"/>
      <c r="K2" s="142"/>
      <c r="L2" s="28"/>
      <c r="M2" s="28"/>
      <c r="N2" s="31"/>
      <c r="O2" s="28"/>
      <c r="P2" s="28"/>
      <c r="Q2" s="28"/>
      <c r="R2" s="28"/>
      <c r="S2" s="27"/>
    </row>
    <row r="3" spans="1:19">
      <c r="E3" s="30" t="s">
        <v>254</v>
      </c>
      <c r="K3" s="142"/>
      <c r="L3" s="28"/>
      <c r="M3" s="28"/>
      <c r="N3" s="31"/>
      <c r="O3" s="28"/>
      <c r="P3" s="28"/>
      <c r="Q3" s="28"/>
      <c r="R3" s="28"/>
      <c r="S3" s="27"/>
    </row>
    <row r="4" spans="1:19">
      <c r="E4" s="30" t="s">
        <v>255</v>
      </c>
      <c r="K4" s="142"/>
      <c r="L4" s="28"/>
      <c r="M4" s="28"/>
      <c r="N4" s="31"/>
      <c r="O4" s="28"/>
      <c r="P4" s="28"/>
      <c r="Q4" s="28"/>
      <c r="R4" s="28"/>
      <c r="S4" s="27"/>
    </row>
    <row r="5" spans="1:19">
      <c r="E5" s="194" t="str">
        <f>'Tab 4 Adjustment Details'!$A$5</f>
        <v>TWELVE MONTHS ENDED DECEMBER 31, 2016</v>
      </c>
      <c r="K5" s="142"/>
      <c r="L5" s="28"/>
      <c r="M5" s="28"/>
      <c r="N5" s="32"/>
      <c r="O5" s="28"/>
      <c r="P5" s="28"/>
      <c r="Q5" s="28"/>
      <c r="R5" s="28"/>
      <c r="S5" s="27"/>
    </row>
    <row r="6" spans="1:19">
      <c r="K6" s="142"/>
      <c r="L6" s="28"/>
      <c r="M6" s="28"/>
      <c r="N6" s="28"/>
      <c r="O6" s="28"/>
      <c r="P6" s="28"/>
      <c r="Q6" s="28"/>
      <c r="R6" s="28"/>
      <c r="S6" s="27"/>
    </row>
    <row r="7" spans="1:19">
      <c r="C7" s="163"/>
      <c r="D7" s="163"/>
      <c r="E7" s="163"/>
      <c r="F7" s="163"/>
      <c r="G7" s="163"/>
      <c r="K7" s="142"/>
      <c r="L7" s="198" t="s">
        <v>272</v>
      </c>
      <c r="M7" s="198"/>
      <c r="N7" s="198" t="s">
        <v>272</v>
      </c>
      <c r="O7" s="28"/>
      <c r="P7" s="28"/>
      <c r="Q7" s="28"/>
      <c r="R7" s="28"/>
      <c r="S7" s="27"/>
    </row>
    <row r="8" spans="1:19">
      <c r="E8" s="1143" t="s">
        <v>291</v>
      </c>
      <c r="F8" s="1143"/>
      <c r="G8" s="1143"/>
      <c r="H8" s="1143"/>
      <c r="I8" s="1143"/>
      <c r="J8" s="1143"/>
      <c r="K8" s="142"/>
      <c r="L8" s="198" t="s">
        <v>24</v>
      </c>
      <c r="M8" s="198"/>
      <c r="N8" s="198" t="s">
        <v>29</v>
      </c>
      <c r="O8" s="28"/>
      <c r="P8" s="28"/>
      <c r="Q8" s="31"/>
      <c r="R8" s="28"/>
      <c r="S8" s="27"/>
    </row>
    <row r="9" spans="1:19">
      <c r="A9" s="418" t="s">
        <v>8</v>
      </c>
      <c r="B9" s="418" t="s">
        <v>79</v>
      </c>
      <c r="C9" s="59" t="s">
        <v>143</v>
      </c>
      <c r="D9" s="30" t="s">
        <v>146</v>
      </c>
      <c r="E9" s="209" t="s">
        <v>224</v>
      </c>
      <c r="F9" s="209" t="s">
        <v>29</v>
      </c>
      <c r="G9" s="209" t="s">
        <v>267</v>
      </c>
      <c r="H9" s="209" t="s">
        <v>268</v>
      </c>
      <c r="I9" s="209" t="s">
        <v>601</v>
      </c>
      <c r="J9" s="209" t="s">
        <v>269</v>
      </c>
      <c r="K9" s="142"/>
      <c r="L9"/>
      <c r="M9"/>
      <c r="N9"/>
      <c r="O9" s="28"/>
      <c r="P9" s="31"/>
      <c r="Q9" s="31"/>
      <c r="R9" s="31"/>
      <c r="S9" s="27"/>
    </row>
    <row r="10" spans="1:19">
      <c r="A10" s="208">
        <v>1</v>
      </c>
      <c r="B10" s="284">
        <f>'ADJ SUMMARY'!A10</f>
        <v>1</v>
      </c>
      <c r="C10" s="38" t="s">
        <v>270</v>
      </c>
      <c r="D10" s="55"/>
      <c r="E10" s="492">
        <f>'Tab 4 Adjustment Details'!E16+'ROO INPUT'!F99+'ROO INPUT'!F101+34-1787</f>
        <v>155763</v>
      </c>
      <c r="F10" s="181">
        <f>'Tab 4 Adjustment Details'!E28</f>
        <v>327335</v>
      </c>
      <c r="G10" s="492">
        <f>'Tab 4 Adjustment Details'!E62+'Tab 4 Adjustment Details'!E63+SUM('ROO INPUT'!F315:'ROO INPUT'!F320)-756-959</f>
        <v>1332351</v>
      </c>
      <c r="H10" s="181">
        <f>'Tab 4 Adjustment Details'!E69+'Tab 4 Adjustment Details'!E70+'ROO INPUT'!F418</f>
        <v>-494437</v>
      </c>
      <c r="I10" s="181">
        <f>'Tab 4 Adjustment Details'!E79-'ROO INPUT'!F445-'ROO INPUT'!F446-'ROO INPUT'!F472-'ROO INPUT'!F473</f>
        <v>6880</v>
      </c>
      <c r="J10" s="492">
        <f>'Tab 4 Adjustment Details'!E76+2544+74931+21985</f>
        <v>-255247</v>
      </c>
      <c r="K10" s="146"/>
      <c r="L10" s="210">
        <f>SUM(G10:J10)</f>
        <v>589547</v>
      </c>
      <c r="M10"/>
      <c r="N10" s="210">
        <f>F10-E10</f>
        <v>171572</v>
      </c>
      <c r="O10" s="28"/>
      <c r="P10" s="36"/>
      <c r="Q10" s="36"/>
      <c r="R10" s="28"/>
      <c r="S10" s="27"/>
    </row>
    <row r="11" spans="1:19" s="55" customFormat="1">
      <c r="A11" s="208">
        <v>2</v>
      </c>
      <c r="B11" s="284">
        <f>'ADJ SUMMARY'!A11</f>
        <v>1.01</v>
      </c>
      <c r="C11" s="38" t="str">
        <f>'ADJ SUMMARY'!C11</f>
        <v>Deferred FIT Rate Base</v>
      </c>
      <c r="E11" s="110">
        <f>'Tab 4 Adjustment Details'!$F$16</f>
        <v>0</v>
      </c>
      <c r="F11" s="110">
        <f>'Tab 4 Adjustment Details'!$F$28</f>
        <v>0</v>
      </c>
      <c r="G11" s="181">
        <f>'Tab 4 Adjustment Details'!$F$62+'Tab 4 Adjustment Details'!$F$63</f>
        <v>0</v>
      </c>
      <c r="H11" s="181">
        <f>'Tab 4 Adjustment Details'!$F$69+'Tab 4 Adjustment Details'!$F$70</f>
        <v>0</v>
      </c>
      <c r="I11" s="181">
        <f>'Tab 4 Adjustment Details'!$F$79</f>
        <v>0</v>
      </c>
      <c r="J11" s="493">
        <f>'Tab 4 Adjustment Details'!$F$76</f>
        <v>806</v>
      </c>
      <c r="K11" s="142"/>
      <c r="L11" s="210">
        <f>SUM(G11:J11)</f>
        <v>806</v>
      </c>
      <c r="M11"/>
      <c r="N11" s="210">
        <f t="shared" ref="N11" si="0">F11-E11</f>
        <v>0</v>
      </c>
      <c r="O11" s="140"/>
      <c r="P11" s="114"/>
      <c r="Q11" s="114"/>
      <c r="R11" s="140"/>
      <c r="S11" s="141"/>
    </row>
    <row r="12" spans="1:19" s="55" customFormat="1">
      <c r="A12" s="208">
        <v>3</v>
      </c>
      <c r="B12" s="284">
        <f>'ADJ SUMMARY'!A12</f>
        <v>1.02</v>
      </c>
      <c r="C12" s="38" t="str">
        <f>'ADJ SUMMARY'!C12</f>
        <v>Deferred Debits and Credits</v>
      </c>
      <c r="E12" s="110">
        <f>'Tab 4 Adjustment Details'!$G$16</f>
        <v>0</v>
      </c>
      <c r="F12" s="110">
        <f>'Tab 4 Adjustment Details'!$G$28</f>
        <v>4</v>
      </c>
      <c r="G12" s="181">
        <f>'Tab 4 Adjustment Details'!$G$62+'Tab 4 Adjustment Details'!$G$63</f>
        <v>0</v>
      </c>
      <c r="H12" s="181">
        <f>'Tab 4 Adjustment Details'!$G$69+'Tab 4 Adjustment Details'!$G$70</f>
        <v>0</v>
      </c>
      <c r="I12" s="494">
        <f>'Tab 4 Adjustment Details'!$G$79+0</f>
        <v>0</v>
      </c>
      <c r="J12" s="181">
        <f>'Tab 4 Adjustment Details'!$G$76</f>
        <v>0</v>
      </c>
      <c r="K12" s="140"/>
      <c r="L12" s="210">
        <f t="shared" ref="L12:L31" si="1">SUM(G12:J12)</f>
        <v>0</v>
      </c>
      <c r="M12"/>
      <c r="N12" s="210">
        <f t="shared" ref="N12:N31" si="2">F12-E12</f>
        <v>4</v>
      </c>
      <c r="O12" s="140"/>
      <c r="P12" s="114"/>
      <c r="Q12" s="114"/>
      <c r="R12" s="140"/>
      <c r="S12" s="141"/>
    </row>
    <row r="13" spans="1:19" s="55" customFormat="1">
      <c r="A13" s="208">
        <v>4</v>
      </c>
      <c r="B13" s="285">
        <f>'ADJ SUMMARY'!A13</f>
        <v>1.03</v>
      </c>
      <c r="C13" s="229" t="str">
        <f>'ADJ SUMMARY'!C13</f>
        <v>Working Capital</v>
      </c>
      <c r="E13" s="110">
        <f>'Tab 4 Adjustment Details'!$H$16</f>
        <v>0</v>
      </c>
      <c r="F13" s="110">
        <f>'Tab 4 Adjustment Details'!$H$28</f>
        <v>0</v>
      </c>
      <c r="G13" s="181">
        <f>'Tab 4 Adjustment Details'!$H$62+'Tab 4 Adjustment Details'!$H$63</f>
        <v>0</v>
      </c>
      <c r="H13" s="181">
        <f>'Tab 4 Adjustment Details'!$H$69+'Tab 4 Adjustment Details'!$H$70</f>
        <v>0</v>
      </c>
      <c r="I13" s="181">
        <f>'Tab 4 Adjustment Details'!$H$79</f>
        <v>0</v>
      </c>
      <c r="J13" s="181">
        <f>'Tab 4 Adjustment Details'!$H$76</f>
        <v>0</v>
      </c>
      <c r="K13" s="140"/>
      <c r="L13" s="210">
        <f t="shared" si="1"/>
        <v>0</v>
      </c>
      <c r="M13"/>
      <c r="N13" s="210">
        <f t="shared" si="2"/>
        <v>0</v>
      </c>
      <c r="O13" s="140"/>
      <c r="P13" s="114"/>
      <c r="Q13" s="114"/>
      <c r="R13" s="140"/>
      <c r="S13" s="141"/>
    </row>
    <row r="14" spans="1:19" s="55" customFormat="1">
      <c r="A14" s="208">
        <v>5</v>
      </c>
      <c r="B14" s="285">
        <f>'ADJ SUMMARY'!A14</f>
        <v>2.0099999999999998</v>
      </c>
      <c r="C14" s="38" t="str">
        <f>'ADJ SUMMARY'!C14</f>
        <v>Eliminate B &amp; O Taxes</v>
      </c>
      <c r="E14" s="110">
        <f>'Tab 4 Adjustment Details'!$I$16</f>
        <v>0</v>
      </c>
      <c r="F14" s="110">
        <f>'Tab 4 Adjustment Details'!$I$28</f>
        <v>0</v>
      </c>
      <c r="G14" s="181">
        <f>'Tab 4 Adjustment Details'!$I$62+'Tab 4 Adjustment Details'!$I$63</f>
        <v>0</v>
      </c>
      <c r="H14" s="181">
        <f>'Tab 4 Adjustment Details'!$I$69+'Tab 4 Adjustment Details'!$I$70</f>
        <v>0</v>
      </c>
      <c r="I14" s="181">
        <f>'Tab 4 Adjustment Details'!$I$79</f>
        <v>0</v>
      </c>
      <c r="J14" s="181">
        <f>'Tab 4 Adjustment Details'!$I$76</f>
        <v>0</v>
      </c>
      <c r="K14" s="142"/>
      <c r="L14" s="210">
        <f t="shared" si="1"/>
        <v>0</v>
      </c>
      <c r="M14"/>
      <c r="N14" s="210">
        <f t="shared" si="2"/>
        <v>0</v>
      </c>
      <c r="O14" s="140"/>
      <c r="P14" s="114"/>
      <c r="Q14" s="114"/>
      <c r="R14" s="140"/>
      <c r="S14" s="141"/>
    </row>
    <row r="15" spans="1:19" s="55" customFormat="1">
      <c r="A15" s="208">
        <v>6</v>
      </c>
      <c r="B15" s="285">
        <f>'ADJ SUMMARY'!A15</f>
        <v>2.0199999999999996</v>
      </c>
      <c r="C15" s="38" t="str">
        <f>'ADJ SUMMARY'!C15</f>
        <v>Restate Property Tax</v>
      </c>
      <c r="E15" s="110">
        <f>'Tab 4 Adjustment Details'!$J$16</f>
        <v>0</v>
      </c>
      <c r="F15" s="110">
        <f>'Tab 4 Adjustment Details'!$J$28</f>
        <v>86</v>
      </c>
      <c r="G15" s="181">
        <f>'Tab 4 Adjustment Details'!$J$62+'Tab 4 Adjustment Details'!$J$63</f>
        <v>0</v>
      </c>
      <c r="H15" s="181">
        <f>'Tab 4 Adjustment Details'!$J$69+'Tab 4 Adjustment Details'!$J$70</f>
        <v>0</v>
      </c>
      <c r="I15" s="181">
        <f>'Tab 4 Adjustment Details'!$J$79</f>
        <v>0</v>
      </c>
      <c r="J15" s="181">
        <f>'Tab 4 Adjustment Details'!$J$76</f>
        <v>0</v>
      </c>
      <c r="K15" s="142"/>
      <c r="L15" s="210">
        <f t="shared" ref="L15" si="3">SUM(G15:J15)</f>
        <v>0</v>
      </c>
      <c r="M15"/>
      <c r="N15" s="210">
        <f t="shared" ref="N15" si="4">F15-E15</f>
        <v>86</v>
      </c>
      <c r="O15" s="140"/>
      <c r="P15" s="114"/>
      <c r="Q15" s="114"/>
      <c r="R15" s="140"/>
      <c r="S15" s="141"/>
    </row>
    <row r="16" spans="1:19" s="55" customFormat="1">
      <c r="A16" s="208">
        <v>7</v>
      </c>
      <c r="B16" s="285">
        <f>'ADJ SUMMARY'!A16</f>
        <v>2.0299999999999994</v>
      </c>
      <c r="C16" s="38" t="str">
        <f>'ADJ SUMMARY'!C16</f>
        <v>Uncollect. Expense</v>
      </c>
      <c r="E16" s="110">
        <f>'Tab 4 Adjustment Details'!$K$16</f>
        <v>0</v>
      </c>
      <c r="F16" s="110">
        <f>'Tab 4 Adjustment Details'!$K$28</f>
        <v>0</v>
      </c>
      <c r="G16" s="181">
        <f>'Tab 4 Adjustment Details'!$K$62+'Tab 4 Adjustment Details'!$K$63</f>
        <v>0</v>
      </c>
      <c r="H16" s="181">
        <f>'Tab 4 Adjustment Details'!$K$69+'Tab 4 Adjustment Details'!$K$70</f>
        <v>0</v>
      </c>
      <c r="I16" s="181">
        <f>'Tab 4 Adjustment Details'!$K$79</f>
        <v>0</v>
      </c>
      <c r="J16" s="181">
        <f>'Tab 4 Adjustment Details'!$K$76</f>
        <v>0</v>
      </c>
      <c r="K16" s="140"/>
      <c r="L16" s="210">
        <f t="shared" si="1"/>
        <v>0</v>
      </c>
      <c r="M16"/>
      <c r="N16" s="210">
        <f t="shared" si="2"/>
        <v>0</v>
      </c>
      <c r="O16" s="140"/>
      <c r="P16" s="114"/>
      <c r="Q16" s="114"/>
      <c r="R16" s="140"/>
      <c r="S16" s="141"/>
    </row>
    <row r="17" spans="1:19" s="55" customFormat="1">
      <c r="A17" s="208">
        <v>8</v>
      </c>
      <c r="B17" s="285">
        <f>'ADJ SUMMARY'!A17</f>
        <v>2.0399999999999991</v>
      </c>
      <c r="C17" s="38" t="str">
        <f>'ADJ SUMMARY'!C17</f>
        <v>Regulatory Expense</v>
      </c>
      <c r="E17" s="110">
        <f>'Tab 4 Adjustment Details'!$L$16</f>
        <v>0</v>
      </c>
      <c r="F17" s="110">
        <f>'Tab 4 Adjustment Details'!$L$28</f>
        <v>0</v>
      </c>
      <c r="G17" s="181">
        <f>'Tab 4 Adjustment Details'!$L$62+'Tab 4 Adjustment Details'!$L$63</f>
        <v>0</v>
      </c>
      <c r="H17" s="181">
        <f>'Tab 4 Adjustment Details'!$L$69+'Tab 4 Adjustment Details'!$L$70</f>
        <v>0</v>
      </c>
      <c r="I17" s="181">
        <f>'Tab 4 Adjustment Details'!$L$79</f>
        <v>0</v>
      </c>
      <c r="J17" s="181">
        <f>'Tab 4 Adjustment Details'!$L$76</f>
        <v>0</v>
      </c>
      <c r="K17" s="140"/>
      <c r="L17" s="210">
        <f t="shared" si="1"/>
        <v>0</v>
      </c>
      <c r="M17"/>
      <c r="N17" s="210">
        <f t="shared" si="2"/>
        <v>0</v>
      </c>
      <c r="O17" s="140"/>
      <c r="P17" s="114"/>
      <c r="Q17" s="114"/>
      <c r="R17" s="140"/>
      <c r="S17" s="141"/>
    </row>
    <row r="18" spans="1:19">
      <c r="A18" s="208">
        <v>9</v>
      </c>
      <c r="B18" s="285">
        <f>'ADJ SUMMARY'!A18</f>
        <v>2.0499999999999989</v>
      </c>
      <c r="C18" s="38" t="str">
        <f>'ADJ SUMMARY'!C18</f>
        <v>Injuries and Damages</v>
      </c>
      <c r="E18" s="110">
        <f>'Tab 4 Adjustment Details'!$M$16</f>
        <v>0</v>
      </c>
      <c r="F18" s="110">
        <f>'Tab 4 Adjustment Details'!$M$28</f>
        <v>0</v>
      </c>
      <c r="G18" s="181">
        <f>'Tab 4 Adjustment Details'!$M$62+'Tab 4 Adjustment Details'!$M$63</f>
        <v>0</v>
      </c>
      <c r="H18" s="181">
        <f>'Tab 4 Adjustment Details'!$M$69+'Tab 4 Adjustment Details'!$M$70</f>
        <v>0</v>
      </c>
      <c r="I18" s="181">
        <f>'Tab 4 Adjustment Details'!$M$79</f>
        <v>0</v>
      </c>
      <c r="J18" s="181">
        <f>'Tab 4 Adjustment Details'!$M$76</f>
        <v>0</v>
      </c>
      <c r="K18" s="142"/>
      <c r="L18" s="210">
        <f t="shared" si="1"/>
        <v>0</v>
      </c>
      <c r="M18"/>
      <c r="N18" s="210">
        <f t="shared" si="2"/>
        <v>0</v>
      </c>
      <c r="O18" s="28"/>
      <c r="P18" s="37"/>
      <c r="Q18" s="37"/>
      <c r="R18" s="28"/>
      <c r="S18" s="27"/>
    </row>
    <row r="19" spans="1:19">
      <c r="A19" s="208">
        <v>10</v>
      </c>
      <c r="B19" s="285">
        <f>'ADJ SUMMARY'!A19</f>
        <v>2.0599999999999987</v>
      </c>
      <c r="C19" s="38" t="str">
        <f>'ADJ SUMMARY'!C19</f>
        <v>FIT/DFIT/ ITC Expense</v>
      </c>
      <c r="E19" s="110">
        <f>'Tab 4 Adjustment Details'!$N$16</f>
        <v>0</v>
      </c>
      <c r="F19" s="110">
        <f>'Tab 4 Adjustment Details'!$N$28</f>
        <v>0</v>
      </c>
      <c r="G19" s="181">
        <f>'Tab 4 Adjustment Details'!$N$62+'Tab 4 Adjustment Details'!$N$63</f>
        <v>0</v>
      </c>
      <c r="H19" s="181">
        <f>'Tab 4 Adjustment Details'!$N$69+'Tab 4 Adjustment Details'!$N$70</f>
        <v>0</v>
      </c>
      <c r="I19" s="181">
        <f>'Tab 4 Adjustment Details'!$N$79</f>
        <v>0</v>
      </c>
      <c r="J19" s="181">
        <f>'Tab 4 Adjustment Details'!$N$76</f>
        <v>0</v>
      </c>
      <c r="K19" s="149"/>
      <c r="L19" s="210">
        <f t="shared" si="1"/>
        <v>0</v>
      </c>
      <c r="M19"/>
      <c r="N19" s="210">
        <f t="shared" si="2"/>
        <v>0</v>
      </c>
      <c r="O19" s="28"/>
      <c r="P19" s="37"/>
      <c r="Q19" s="37"/>
      <c r="R19" s="28"/>
      <c r="S19" s="27"/>
    </row>
    <row r="20" spans="1:19" s="48" customFormat="1">
      <c r="A20" s="208">
        <v>11</v>
      </c>
      <c r="B20" s="285">
        <f>'ADJ SUMMARY'!A20</f>
        <v>2.0699999999999985</v>
      </c>
      <c r="C20" s="38" t="str">
        <f>'ADJ SUMMARY'!C20</f>
        <v>Office Space Charges to Non-Utility</v>
      </c>
      <c r="D20" s="55"/>
      <c r="E20" s="110">
        <f>'Tab 4 Adjustment Details'!$O$16</f>
        <v>0</v>
      </c>
      <c r="F20" s="110">
        <f>'Tab 4 Adjustment Details'!$O$28</f>
        <v>0</v>
      </c>
      <c r="G20" s="181">
        <f>'Tab 4 Adjustment Details'!$O$62+'Tab 4 Adjustment Details'!$O$63</f>
        <v>0</v>
      </c>
      <c r="H20" s="181">
        <f>'Tab 4 Adjustment Details'!$O$69+'Tab 4 Adjustment Details'!$O$70</f>
        <v>0</v>
      </c>
      <c r="I20" s="181">
        <f>'Tab 4 Adjustment Details'!$O$79</f>
        <v>0</v>
      </c>
      <c r="J20" s="181">
        <f>'Tab 4 Adjustment Details'!$O$76</f>
        <v>0</v>
      </c>
      <c r="K20" s="50"/>
      <c r="L20" s="210">
        <f t="shared" si="1"/>
        <v>0</v>
      </c>
      <c r="M20"/>
      <c r="N20" s="210">
        <f t="shared" si="2"/>
        <v>0</v>
      </c>
      <c r="O20" s="50"/>
      <c r="P20" s="53"/>
      <c r="Q20" s="53"/>
      <c r="R20" s="50"/>
      <c r="S20" s="49"/>
    </row>
    <row r="21" spans="1:19" s="48" customFormat="1">
      <c r="A21" s="208">
        <v>12</v>
      </c>
      <c r="B21" s="285">
        <f>'ADJ SUMMARY'!A21</f>
        <v>2.0799999999999983</v>
      </c>
      <c r="C21" s="38" t="str">
        <f>'ADJ SUMMARY'!C21</f>
        <v>Restate Excise Taxes</v>
      </c>
      <c r="D21" s="55"/>
      <c r="E21" s="110">
        <f>'Tab 4 Adjustment Details'!$P$16</f>
        <v>0</v>
      </c>
      <c r="F21" s="110">
        <f>'Tab 4 Adjustment Details'!$P$28</f>
        <v>0</v>
      </c>
      <c r="G21" s="181">
        <f>'Tab 4 Adjustment Details'!$P$62+'Tab 4 Adjustment Details'!$P$63</f>
        <v>0</v>
      </c>
      <c r="H21" s="181">
        <f>'Tab 4 Adjustment Details'!$P$69+'Tab 4 Adjustment Details'!$P$70</f>
        <v>0</v>
      </c>
      <c r="I21" s="181">
        <f>'Tab 4 Adjustment Details'!$P$79</f>
        <v>0</v>
      </c>
      <c r="J21" s="181">
        <f>'Tab 4 Adjustment Details'!$P$76</f>
        <v>0</v>
      </c>
      <c r="K21" s="50"/>
      <c r="L21" s="210">
        <f t="shared" si="1"/>
        <v>0</v>
      </c>
      <c r="M21"/>
      <c r="N21" s="210">
        <f t="shared" si="2"/>
        <v>0</v>
      </c>
      <c r="O21" s="50"/>
      <c r="P21" s="53"/>
      <c r="Q21" s="53"/>
      <c r="R21" s="50"/>
      <c r="S21" s="49"/>
    </row>
    <row r="22" spans="1:19" s="48" customFormat="1">
      <c r="A22" s="208">
        <v>13</v>
      </c>
      <c r="B22" s="285">
        <f>'ADJ SUMMARY'!A22</f>
        <v>2.0899999999999981</v>
      </c>
      <c r="C22" s="38" t="str">
        <f>'ADJ SUMMARY'!C22</f>
        <v>Net Gains / Losses</v>
      </c>
      <c r="D22" s="55"/>
      <c r="E22" s="110">
        <f>'Tab 4 Adjustment Details'!$Q$16</f>
        <v>0</v>
      </c>
      <c r="F22" s="110">
        <f>'Tab 4 Adjustment Details'!$Q$28</f>
        <v>0</v>
      </c>
      <c r="G22" s="181">
        <f>'Tab 4 Adjustment Details'!$Q$62+'Tab 4 Adjustment Details'!$Q$63</f>
        <v>0</v>
      </c>
      <c r="H22" s="181">
        <f>'Tab 4 Adjustment Details'!$Q$69+'Tab 4 Adjustment Details'!$Q$70</f>
        <v>0</v>
      </c>
      <c r="I22" s="181">
        <f>'Tab 4 Adjustment Details'!$Q$79</f>
        <v>0</v>
      </c>
      <c r="J22" s="181">
        <f>'Tab 4 Adjustment Details'!$Q$76</f>
        <v>0</v>
      </c>
      <c r="K22" s="50"/>
      <c r="L22" s="210">
        <f t="shared" si="1"/>
        <v>0</v>
      </c>
      <c r="M22"/>
      <c r="N22" s="210">
        <f t="shared" si="2"/>
        <v>0</v>
      </c>
      <c r="O22" s="50"/>
      <c r="P22" s="53"/>
      <c r="Q22" s="53"/>
      <c r="R22" s="50"/>
      <c r="S22" s="49"/>
    </row>
    <row r="23" spans="1:19" s="135" customFormat="1">
      <c r="A23" s="208">
        <v>14</v>
      </c>
      <c r="B23" s="285">
        <f>'ADJ SUMMARY'!A23</f>
        <v>2.0999999999999979</v>
      </c>
      <c r="C23" s="38" t="str">
        <f>'ADJ SUMMARY'!C23</f>
        <v>Weather Normalization</v>
      </c>
      <c r="E23" s="110">
        <f>'Tab 4 Adjustment Details'!$R$16</f>
        <v>0</v>
      </c>
      <c r="F23" s="110">
        <f>'Tab 4 Adjustment Details'!$R$28</f>
        <v>0</v>
      </c>
      <c r="G23" s="181">
        <f>'Tab 4 Adjustment Details'!$R$62+'Tab 4 Adjustment Details'!$R$63</f>
        <v>0</v>
      </c>
      <c r="H23" s="181">
        <f>'Tab 4 Adjustment Details'!$R$69+'Tab 4 Adjustment Details'!$R$70</f>
        <v>0</v>
      </c>
      <c r="I23" s="181">
        <f>'Tab 4 Adjustment Details'!$R$79</f>
        <v>0</v>
      </c>
      <c r="J23" s="181">
        <f>'Tab 4 Adjustment Details'!$R$76</f>
        <v>0</v>
      </c>
      <c r="K23" s="142"/>
      <c r="L23" s="210">
        <f t="shared" si="1"/>
        <v>0</v>
      </c>
      <c r="M23"/>
      <c r="N23" s="210">
        <f t="shared" si="2"/>
        <v>0</v>
      </c>
      <c r="O23" s="132"/>
      <c r="P23" s="137"/>
      <c r="Q23" s="137"/>
      <c r="R23" s="132"/>
      <c r="S23" s="138"/>
    </row>
    <row r="24" spans="1:19" s="48" customFormat="1">
      <c r="A24" s="208">
        <v>15</v>
      </c>
      <c r="B24" s="285">
        <f>'ADJ SUMMARY'!A24</f>
        <v>2.1099999999999977</v>
      </c>
      <c r="C24" s="38" t="str">
        <f>'ADJ SUMMARY'!C24</f>
        <v>Eliminate Adder Schedules</v>
      </c>
      <c r="D24" s="55"/>
      <c r="E24" s="110">
        <f>'Tab 4 Adjustment Details'!$S$16</f>
        <v>0</v>
      </c>
      <c r="F24" s="110">
        <f>'Tab 4 Adjustment Details'!$S$28</f>
        <v>12</v>
      </c>
      <c r="G24" s="181">
        <f>'Tab 4 Adjustment Details'!$S$62+'Tab 4 Adjustment Details'!$S$63</f>
        <v>0</v>
      </c>
      <c r="H24" s="181">
        <f>'Tab 4 Adjustment Details'!$S$69+'Tab 4 Adjustment Details'!$S$70</f>
        <v>0</v>
      </c>
      <c r="I24" s="181">
        <f>'Tab 4 Adjustment Details'!$S$79</f>
        <v>0</v>
      </c>
      <c r="J24" s="181">
        <f>'Tab 4 Adjustment Details'!$S$76</f>
        <v>0</v>
      </c>
      <c r="K24" s="50"/>
      <c r="L24" s="210"/>
      <c r="M24"/>
      <c r="N24" s="210"/>
      <c r="O24" s="50"/>
      <c r="P24" s="53"/>
      <c r="Q24" s="53"/>
      <c r="R24" s="50"/>
      <c r="S24" s="49"/>
    </row>
    <row r="25" spans="1:19" s="48" customFormat="1">
      <c r="A25" s="208">
        <v>16</v>
      </c>
      <c r="B25" s="285">
        <f>'ADJ SUMMARY'!A25</f>
        <v>2.1199999999999974</v>
      </c>
      <c r="C25" s="38" t="str">
        <f>'ADJ SUMMARY'!C25</f>
        <v>Misc. Restating Non-Util / Non- Recurring Expenses</v>
      </c>
      <c r="D25" s="55"/>
      <c r="E25" s="110">
        <f>'Tab 4 Adjustment Details'!$T$16</f>
        <v>0</v>
      </c>
      <c r="F25" s="110">
        <f>'Tab 4 Adjustment Details'!$T$28</f>
        <v>-5</v>
      </c>
      <c r="G25" s="181">
        <f>'Tab 4 Adjustment Details'!$T$62+'Tab 4 Adjustment Details'!$T$63</f>
        <v>0</v>
      </c>
      <c r="H25" s="181">
        <f>'Tab 4 Adjustment Details'!$T$69+'Tab 4 Adjustment Details'!$T$70</f>
        <v>0</v>
      </c>
      <c r="I25" s="181">
        <f>'Tab 4 Adjustment Details'!$T$79</f>
        <v>0</v>
      </c>
      <c r="J25" s="181">
        <f>'Tab 4 Adjustment Details'!$T$76</f>
        <v>0</v>
      </c>
      <c r="K25" s="50"/>
      <c r="L25" s="210">
        <f t="shared" ref="L25:L30" si="5">SUM(G25:J25)</f>
        <v>0</v>
      </c>
      <c r="M25"/>
      <c r="N25" s="210">
        <f t="shared" ref="N25:N30" si="6">F25-E25</f>
        <v>-5</v>
      </c>
      <c r="O25" s="50"/>
      <c r="P25" s="53"/>
      <c r="Q25" s="53"/>
      <c r="R25" s="50"/>
      <c r="S25" s="49"/>
    </row>
    <row r="26" spans="1:19">
      <c r="A26" s="208">
        <v>17</v>
      </c>
      <c r="B26" s="285">
        <f>'ADJ SUMMARY'!A26</f>
        <v>2.1299999999999972</v>
      </c>
      <c r="C26" s="38" t="str">
        <f>'ADJ SUMMARY'!C26</f>
        <v>Eliminate WA Power Cost Defer</v>
      </c>
      <c r="E26" s="110">
        <f>'Tab 4 Adjustment Details'!$U$16</f>
        <v>0</v>
      </c>
      <c r="F26" s="110">
        <f>'Tab 4 Adjustment Details'!$U$28</f>
        <v>-2270</v>
      </c>
      <c r="G26" s="181">
        <f>'Tab 4 Adjustment Details'!$U$62+'Tab 4 Adjustment Details'!$U$63</f>
        <v>0</v>
      </c>
      <c r="H26" s="181">
        <f>'Tab 4 Adjustment Details'!$U$69+'Tab 4 Adjustment Details'!$U$70</f>
        <v>0</v>
      </c>
      <c r="I26" s="181">
        <f>'Tab 4 Adjustment Details'!$U$79</f>
        <v>0</v>
      </c>
      <c r="J26" s="181">
        <f>'Tab 4 Adjustment Details'!$U$76</f>
        <v>0</v>
      </c>
      <c r="K26" s="142"/>
      <c r="L26" s="210">
        <f t="shared" si="5"/>
        <v>0</v>
      </c>
      <c r="M26"/>
      <c r="N26" s="210">
        <f t="shared" si="6"/>
        <v>-2270</v>
      </c>
      <c r="O26" s="28"/>
      <c r="P26" s="37"/>
      <c r="Q26" s="37"/>
      <c r="R26" s="42"/>
      <c r="S26" s="27"/>
    </row>
    <row r="27" spans="1:19" s="48" customFormat="1">
      <c r="A27" s="208">
        <v>18</v>
      </c>
      <c r="B27" s="285">
        <f>'ADJ SUMMARY'!A27</f>
        <v>2.139999999999997</v>
      </c>
      <c r="C27" s="38" t="str">
        <f>'ADJ SUMMARY'!C27</f>
        <v>Nez Perce Settlement Adjustment</v>
      </c>
      <c r="D27" s="55"/>
      <c r="E27" s="110">
        <f>'Tab 4 Adjustment Details'!$V$16</f>
        <v>0</v>
      </c>
      <c r="F27" s="110">
        <f>'Tab 4 Adjustment Details'!$V$28</f>
        <v>-4</v>
      </c>
      <c r="G27" s="181">
        <f>'Tab 4 Adjustment Details'!$V$62+'Tab 4 Adjustment Details'!$V$63</f>
        <v>0</v>
      </c>
      <c r="H27" s="181">
        <f>'Tab 4 Adjustment Details'!$V$69+'Tab 4 Adjustment Details'!$V$70</f>
        <v>0</v>
      </c>
      <c r="I27" s="181">
        <f>'Tab 4 Adjustment Details'!$V$79</f>
        <v>0</v>
      </c>
      <c r="J27" s="181">
        <f>'Tab 4 Adjustment Details'!$V$76</f>
        <v>0</v>
      </c>
      <c r="K27" s="50"/>
      <c r="L27" s="210">
        <f t="shared" si="5"/>
        <v>0</v>
      </c>
      <c r="M27"/>
      <c r="N27" s="210">
        <f t="shared" si="6"/>
        <v>-4</v>
      </c>
      <c r="O27" s="50"/>
      <c r="P27" s="53"/>
      <c r="Q27" s="53"/>
      <c r="R27" s="50"/>
      <c r="S27" s="49"/>
    </row>
    <row r="28" spans="1:19" s="48" customFormat="1">
      <c r="A28" s="208">
        <v>19</v>
      </c>
      <c r="B28" s="285">
        <f>'ADJ SUMMARY'!A29</f>
        <v>2.1599999999999966</v>
      </c>
      <c r="C28" s="38" t="str">
        <f>'ADJ SUMMARY'!C29</f>
        <v>Normalize CS2/Colstrip Major Maint</v>
      </c>
      <c r="D28" s="55"/>
      <c r="E28" s="110">
        <f>'Tab 4 Adjustment Details'!$V$16</f>
        <v>0</v>
      </c>
      <c r="F28" s="110">
        <f>'Tab 4 Adjustment Details'!$V$28</f>
        <v>-4</v>
      </c>
      <c r="G28" s="553">
        <f>'Tab 4 Adjustment Details'!$V$62+'Tab 4 Adjustment Details'!$V$63</f>
        <v>0</v>
      </c>
      <c r="H28" s="553">
        <f>'Tab 4 Adjustment Details'!$V$69+'Tab 4 Adjustment Details'!$V$70</f>
        <v>0</v>
      </c>
      <c r="I28" s="553">
        <f>'Tab 4 Adjustment Details'!$V$79</f>
        <v>0</v>
      </c>
      <c r="J28" s="553">
        <f>'Tab 4 Adjustment Details'!$V$76</f>
        <v>0</v>
      </c>
      <c r="K28" s="50"/>
      <c r="L28" s="210">
        <f t="shared" si="5"/>
        <v>0</v>
      </c>
      <c r="M28"/>
      <c r="N28" s="210">
        <f t="shared" si="6"/>
        <v>-4</v>
      </c>
      <c r="O28" s="50"/>
      <c r="P28" s="53"/>
      <c r="Q28" s="53"/>
      <c r="R28" s="50"/>
      <c r="S28" s="49"/>
    </row>
    <row r="29" spans="1:19">
      <c r="A29" s="208">
        <v>20</v>
      </c>
      <c r="B29" s="285">
        <f>'ADJ SUMMARY'!A30</f>
        <v>2.1699999999999964</v>
      </c>
      <c r="C29" s="38" t="str">
        <f>'ADJ SUMMARY'!C30</f>
        <v>Restate Debt Interest</v>
      </c>
      <c r="D29" s="55"/>
      <c r="E29" s="110">
        <f>'Tab 4 Adjustment Details'!$Y$16</f>
        <v>0</v>
      </c>
      <c r="F29" s="110">
        <f>'Tab 4 Adjustment Details'!$Y$28</f>
        <v>0</v>
      </c>
      <c r="G29" s="181">
        <f>'Tab 4 Adjustment Details'!$Y$62+'Tab 4 Adjustment Details'!$Y$63</f>
        <v>0</v>
      </c>
      <c r="H29" s="181">
        <f>'Tab 4 Adjustment Details'!$Y$69+'Tab 4 Adjustment Details'!$Y$70</f>
        <v>0</v>
      </c>
      <c r="I29" s="181">
        <f>'Tab 4 Adjustment Details'!$Y$79</f>
        <v>0</v>
      </c>
      <c r="J29" s="181">
        <f>'Tab 4 Adjustment Details'!$Y$76</f>
        <v>0</v>
      </c>
      <c r="K29" s="142"/>
      <c r="L29" s="210">
        <f t="shared" si="5"/>
        <v>0</v>
      </c>
      <c r="M29"/>
      <c r="N29" s="210">
        <f t="shared" si="6"/>
        <v>0</v>
      </c>
      <c r="O29" s="28"/>
      <c r="P29" s="37"/>
      <c r="Q29" s="37"/>
      <c r="R29" s="28"/>
      <c r="S29" s="27"/>
    </row>
    <row r="30" spans="1:19">
      <c r="A30" s="208">
        <v>20</v>
      </c>
      <c r="B30" s="285">
        <f>'ADJ SUMMARY'!A31</f>
        <v>2.1799999999999962</v>
      </c>
      <c r="C30" s="38" t="str">
        <f>'ADJ SUMMARY'!C31</f>
        <v>Authorized Power Supply</v>
      </c>
      <c r="D30" s="55"/>
      <c r="E30" s="110">
        <f>'Tab 4 Adjustment Details'!$Y$16</f>
        <v>0</v>
      </c>
      <c r="F30" s="110">
        <f>'Tab 4 Adjustment Details'!$Y$28</f>
        <v>0</v>
      </c>
      <c r="G30" s="553">
        <f>'Tab 4 Adjustment Details'!$Y$62+'Tab 4 Adjustment Details'!$Y$63</f>
        <v>0</v>
      </c>
      <c r="H30" s="553">
        <f>'Tab 4 Adjustment Details'!$Y$69+'Tab 4 Adjustment Details'!$Y$70</f>
        <v>0</v>
      </c>
      <c r="I30" s="553">
        <f>'Tab 4 Adjustment Details'!$Y$79</f>
        <v>0</v>
      </c>
      <c r="J30" s="553">
        <f>'Tab 4 Adjustment Details'!$Y$76</f>
        <v>0</v>
      </c>
      <c r="K30" s="142"/>
      <c r="L30" s="210">
        <f t="shared" si="5"/>
        <v>0</v>
      </c>
      <c r="M30"/>
      <c r="N30" s="210">
        <f t="shared" si="6"/>
        <v>0</v>
      </c>
      <c r="O30" s="28"/>
      <c r="P30" s="37"/>
      <c r="Q30" s="37"/>
      <c r="R30" s="28"/>
      <c r="S30" s="712"/>
    </row>
    <row r="31" spans="1:19" s="135" customFormat="1">
      <c r="A31" s="208">
        <v>23</v>
      </c>
      <c r="B31" s="284">
        <f>'ADJ SUMMARY'!A36</f>
        <v>3.01</v>
      </c>
      <c r="C31" s="38" t="str">
        <f>'ADJ SUMMARY'!C36</f>
        <v>Pro Forma Trans/Power Sup Non-ERM Rev/Exp</v>
      </c>
      <c r="D31" s="55"/>
      <c r="E31" s="759"/>
      <c r="F31" s="759"/>
      <c r="G31" s="181">
        <f>'Tab 4 Adjustment Details'!$AD$62+'Tab 4 Adjustment Details'!$AD$63</f>
        <v>0</v>
      </c>
      <c r="H31" s="181">
        <f>'Tab 4 Adjustment Details'!$AD$69+'Tab 4 Adjustment Details'!$AD$70</f>
        <v>0</v>
      </c>
      <c r="I31" s="181">
        <f>'Tab 4 Adjustment Details'!$AD$79</f>
        <v>0</v>
      </c>
      <c r="J31" s="181">
        <f>'Tab 4 Adjustment Details'!$AD$76</f>
        <v>0</v>
      </c>
      <c r="K31" s="142"/>
      <c r="L31" s="210">
        <f t="shared" si="1"/>
        <v>0</v>
      </c>
      <c r="M31"/>
      <c r="N31" s="210">
        <f t="shared" si="2"/>
        <v>0</v>
      </c>
    </row>
    <row r="32" spans="1:19" s="135" customFormat="1">
      <c r="A32" s="208">
        <v>23</v>
      </c>
      <c r="B32" s="284">
        <f>'ADJ SUMMARY'!A37</f>
        <v>3.0199999999999996</v>
      </c>
      <c r="C32" s="38" t="str">
        <f>'ADJ SUMMARY'!C37</f>
        <v>Pro Forma Labor Non-Exec</v>
      </c>
      <c r="D32" s="55"/>
      <c r="E32" s="759"/>
      <c r="F32" s="759"/>
      <c r="G32" s="553">
        <f>'Tab 4 Adjustment Details'!$AD$62+'Tab 4 Adjustment Details'!$AD$63</f>
        <v>0</v>
      </c>
      <c r="H32" s="553">
        <f>'Tab 4 Adjustment Details'!$AD$69+'Tab 4 Adjustment Details'!$AD$70</f>
        <v>0</v>
      </c>
      <c r="I32" s="553">
        <f>'Tab 4 Adjustment Details'!$AD$79</f>
        <v>0</v>
      </c>
      <c r="J32" s="553">
        <f>'Tab 4 Adjustment Details'!$AD$76</f>
        <v>0</v>
      </c>
      <c r="K32" s="142"/>
      <c r="L32" s="210">
        <f t="shared" ref="L32:L40" si="7">SUM(G32:J32)</f>
        <v>0</v>
      </c>
      <c r="M32"/>
      <c r="N32" s="210">
        <f t="shared" ref="N32:N40" si="8">F32-E32</f>
        <v>0</v>
      </c>
    </row>
    <row r="33" spans="1:19" s="135" customFormat="1">
      <c r="A33" s="208">
        <v>23</v>
      </c>
      <c r="B33" s="284">
        <f>'ADJ SUMMARY'!A38</f>
        <v>3.0299999999999994</v>
      </c>
      <c r="C33" s="38" t="str">
        <f>'ADJ SUMMARY'!C38</f>
        <v>Pro Forma Labor Exec</v>
      </c>
      <c r="D33" s="55"/>
      <c r="E33" s="759"/>
      <c r="F33" s="759"/>
      <c r="G33" s="553">
        <f>'Tab 4 Adjustment Details'!$AD$62+'Tab 4 Adjustment Details'!$AD$63</f>
        <v>0</v>
      </c>
      <c r="H33" s="553">
        <f>'Tab 4 Adjustment Details'!$AD$69+'Tab 4 Adjustment Details'!$AD$70</f>
        <v>0</v>
      </c>
      <c r="I33" s="553">
        <f>'Tab 4 Adjustment Details'!$AD$79</f>
        <v>0</v>
      </c>
      <c r="J33" s="553">
        <f>'Tab 4 Adjustment Details'!$AD$76</f>
        <v>0</v>
      </c>
      <c r="K33" s="142"/>
      <c r="L33" s="210">
        <f t="shared" si="7"/>
        <v>0</v>
      </c>
      <c r="M33"/>
      <c r="N33" s="210">
        <f t="shared" si="8"/>
        <v>0</v>
      </c>
    </row>
    <row r="34" spans="1:19" s="135" customFormat="1">
      <c r="A34" s="208">
        <v>23</v>
      </c>
      <c r="B34" s="284">
        <f>'ADJ SUMMARY'!A39</f>
        <v>3.0399999999999991</v>
      </c>
      <c r="C34" s="38" t="str">
        <f>'ADJ SUMMARY'!C39</f>
        <v>Pro Forma Employee Benefits</v>
      </c>
      <c r="D34" s="55"/>
      <c r="E34" s="759"/>
      <c r="F34" s="759"/>
      <c r="G34" s="553">
        <f>'Tab 4 Adjustment Details'!$AD$62+'Tab 4 Adjustment Details'!$AD$63</f>
        <v>0</v>
      </c>
      <c r="H34" s="553">
        <f>'Tab 4 Adjustment Details'!$AD$69+'Tab 4 Adjustment Details'!$AD$70</f>
        <v>0</v>
      </c>
      <c r="I34" s="553">
        <f>'Tab 4 Adjustment Details'!$AD$79</f>
        <v>0</v>
      </c>
      <c r="J34" s="553">
        <f>'Tab 4 Adjustment Details'!$AD$76</f>
        <v>0</v>
      </c>
      <c r="K34" s="142"/>
      <c r="L34" s="210">
        <f t="shared" si="7"/>
        <v>0</v>
      </c>
      <c r="M34"/>
      <c r="N34" s="210">
        <f t="shared" si="8"/>
        <v>0</v>
      </c>
    </row>
    <row r="35" spans="1:19" s="135" customFormat="1">
      <c r="A35" s="208">
        <v>23</v>
      </c>
      <c r="B35" s="284">
        <f>'ADJ SUMMARY'!A40</f>
        <v>3.0499999999999989</v>
      </c>
      <c r="C35" s="38" t="str">
        <f>'ADJ SUMMARY'!C40</f>
        <v>Pro Forma Incentive Expenses</v>
      </c>
      <c r="D35" s="55"/>
      <c r="E35" s="759"/>
      <c r="F35" s="759"/>
      <c r="G35" s="553">
        <f>'Tab 4 Adjustment Details'!$AD$62+'Tab 4 Adjustment Details'!$AD$63</f>
        <v>0</v>
      </c>
      <c r="H35" s="553">
        <f>'Tab 4 Adjustment Details'!$AD$69+'Tab 4 Adjustment Details'!$AD$70</f>
        <v>0</v>
      </c>
      <c r="I35" s="553">
        <f>'Tab 4 Adjustment Details'!$AD$79</f>
        <v>0</v>
      </c>
      <c r="J35" s="553">
        <f>'Tab 4 Adjustment Details'!$AD$76</f>
        <v>0</v>
      </c>
      <c r="K35" s="142"/>
      <c r="L35" s="210">
        <f t="shared" si="7"/>
        <v>0</v>
      </c>
      <c r="M35"/>
      <c r="N35" s="210">
        <f t="shared" si="8"/>
        <v>0</v>
      </c>
    </row>
    <row r="36" spans="1:19" s="135" customFormat="1">
      <c r="A36" s="208">
        <v>23</v>
      </c>
      <c r="B36" s="284">
        <f>'ADJ SUMMARY'!A41</f>
        <v>3.0599999999999987</v>
      </c>
      <c r="C36" s="38" t="str">
        <f>'ADJ SUMMARY'!C41</f>
        <v>Pro Forma Property Tax</v>
      </c>
      <c r="D36" s="55"/>
      <c r="E36" s="759"/>
      <c r="F36" s="759"/>
      <c r="G36" s="553">
        <f>'Tab 4 Adjustment Details'!$AD$62+'Tab 4 Adjustment Details'!$AD$63</f>
        <v>0</v>
      </c>
      <c r="H36" s="553">
        <f>'Tab 4 Adjustment Details'!$AD$69+'Tab 4 Adjustment Details'!$AD$70</f>
        <v>0</v>
      </c>
      <c r="I36" s="553">
        <f>'Tab 4 Adjustment Details'!$AD$79</f>
        <v>0</v>
      </c>
      <c r="J36" s="553">
        <f>'Tab 4 Adjustment Details'!$AD$76</f>
        <v>0</v>
      </c>
      <c r="K36" s="142"/>
      <c r="L36" s="210">
        <f t="shared" si="7"/>
        <v>0</v>
      </c>
      <c r="M36"/>
      <c r="N36" s="210">
        <f t="shared" si="8"/>
        <v>0</v>
      </c>
    </row>
    <row r="37" spans="1:19" s="135" customFormat="1">
      <c r="A37" s="208">
        <v>23</v>
      </c>
      <c r="B37" s="284">
        <f>'ADJ SUMMARY'!A42</f>
        <v>3.0699999999999985</v>
      </c>
      <c r="C37" s="38" t="str">
        <f>'ADJ SUMMARY'!C42</f>
        <v>Pro Forma IS/IT Expense</v>
      </c>
      <c r="D37" s="55"/>
      <c r="E37" s="759"/>
      <c r="F37" s="759"/>
      <c r="G37" s="553">
        <f>'Tab 4 Adjustment Details'!$AD$62+'Tab 4 Adjustment Details'!$AD$63</f>
        <v>0</v>
      </c>
      <c r="H37" s="553">
        <f>'Tab 4 Adjustment Details'!$AD$69+'Tab 4 Adjustment Details'!$AD$70</f>
        <v>0</v>
      </c>
      <c r="I37" s="553">
        <f>'Tab 4 Adjustment Details'!$AD$79</f>
        <v>0</v>
      </c>
      <c r="J37" s="553">
        <f>'Tab 4 Adjustment Details'!$AD$76</f>
        <v>0</v>
      </c>
      <c r="K37" s="142"/>
      <c r="L37" s="210">
        <f t="shared" si="7"/>
        <v>0</v>
      </c>
      <c r="M37"/>
      <c r="N37" s="210">
        <f t="shared" si="8"/>
        <v>0</v>
      </c>
    </row>
    <row r="38" spans="1:19" s="135" customFormat="1">
      <c r="A38" s="208">
        <v>23</v>
      </c>
      <c r="B38" s="284">
        <f>'ADJ SUMMARY'!A43</f>
        <v>3.0799999999999983</v>
      </c>
      <c r="C38" s="38" t="str">
        <f>'ADJ SUMMARY'!C43</f>
        <v>Pro Forma Revenue Normalization</v>
      </c>
      <c r="D38" s="55"/>
      <c r="E38" s="759"/>
      <c r="F38" s="759"/>
      <c r="G38" s="553">
        <f>'Tab 4 Adjustment Details'!$AD$62+'Tab 4 Adjustment Details'!$AD$63</f>
        <v>0</v>
      </c>
      <c r="H38" s="553">
        <f>'Tab 4 Adjustment Details'!$AD$69+'Tab 4 Adjustment Details'!$AD$70</f>
        <v>0</v>
      </c>
      <c r="I38" s="553">
        <f>'Tab 4 Adjustment Details'!$AD$79</f>
        <v>0</v>
      </c>
      <c r="J38" s="553">
        <f>'Tab 4 Adjustment Details'!$AD$76</f>
        <v>0</v>
      </c>
      <c r="K38" s="142"/>
      <c r="L38" s="210">
        <f t="shared" si="7"/>
        <v>0</v>
      </c>
      <c r="M38"/>
      <c r="N38" s="210">
        <f t="shared" si="8"/>
        <v>0</v>
      </c>
    </row>
    <row r="39" spans="1:19" s="135" customFormat="1">
      <c r="A39" s="208">
        <v>23</v>
      </c>
      <c r="B39" s="284">
        <f>'ADJ SUMMARY'!A44</f>
        <v>3.0899999999999981</v>
      </c>
      <c r="C39" s="38" t="str">
        <f>'ADJ SUMMARY'!C44</f>
        <v>Pro Forma Def. Debits, Credits &amp; Regulatory Amorts</v>
      </c>
      <c r="D39" s="55"/>
      <c r="E39" s="759"/>
      <c r="F39" s="759"/>
      <c r="G39" s="553">
        <f>'Tab 4 Adjustment Details'!$AD$62+'Tab 4 Adjustment Details'!$AD$63</f>
        <v>0</v>
      </c>
      <c r="H39" s="553">
        <f>'Tab 4 Adjustment Details'!$AD$69+'Tab 4 Adjustment Details'!$AD$70</f>
        <v>0</v>
      </c>
      <c r="I39" s="553">
        <f>'Tab 4 Adjustment Details'!$AD$79</f>
        <v>0</v>
      </c>
      <c r="J39" s="553">
        <f>'Tab 4 Adjustment Details'!$AD$76</f>
        <v>0</v>
      </c>
      <c r="K39" s="142"/>
      <c r="L39" s="210">
        <f t="shared" si="7"/>
        <v>0</v>
      </c>
      <c r="M39"/>
      <c r="N39" s="210">
        <f t="shared" si="8"/>
        <v>0</v>
      </c>
    </row>
    <row r="40" spans="1:19" s="135" customFormat="1">
      <c r="A40" s="208">
        <v>23</v>
      </c>
      <c r="B40" s="284">
        <f>'ADJ SUMMARY'!A45</f>
        <v>3.0999999999999979</v>
      </c>
      <c r="C40" s="38" t="str">
        <f>'ADJ SUMMARY'!C45</f>
        <v>Pro Forma 2017 Threshhold Capital Adds</v>
      </c>
      <c r="D40" s="55"/>
      <c r="E40" s="759"/>
      <c r="F40" s="759"/>
      <c r="G40" s="553">
        <f>'Tab 4 Adjustment Details'!$AD$62+'Tab 4 Adjustment Details'!$AD$63</f>
        <v>0</v>
      </c>
      <c r="H40" s="553">
        <f>'Tab 4 Adjustment Details'!$AD$69+'Tab 4 Adjustment Details'!$AD$70</f>
        <v>0</v>
      </c>
      <c r="I40" s="553">
        <f>'Tab 4 Adjustment Details'!$AD$79</f>
        <v>0</v>
      </c>
      <c r="J40" s="553">
        <f>'Tab 4 Adjustment Details'!$AD$76</f>
        <v>0</v>
      </c>
      <c r="K40" s="142"/>
      <c r="L40" s="210">
        <f t="shared" si="7"/>
        <v>0</v>
      </c>
      <c r="M40"/>
      <c r="N40" s="210">
        <f t="shared" si="8"/>
        <v>0</v>
      </c>
    </row>
    <row r="41" spans="1:19" s="135" customFormat="1">
      <c r="A41" s="208">
        <v>23</v>
      </c>
      <c r="B41" s="284">
        <f>'ADJ SUMMARY'!A46</f>
        <v>3.1099999999999977</v>
      </c>
      <c r="C41" s="38" t="str">
        <f>'ADJ SUMMARY'!C46</f>
        <v>Pro Forma O&amp;M Offsets</v>
      </c>
      <c r="D41" s="55"/>
      <c r="E41" s="759"/>
      <c r="F41" s="759"/>
      <c r="G41" s="553">
        <f>'Tab 4 Adjustment Details'!$AD$62+'Tab 4 Adjustment Details'!$AD$63</f>
        <v>0</v>
      </c>
      <c r="H41" s="553">
        <f>'Tab 4 Adjustment Details'!$AD$69+'Tab 4 Adjustment Details'!$AD$70</f>
        <v>0</v>
      </c>
      <c r="I41" s="553">
        <f>'Tab 4 Adjustment Details'!$AD$79</f>
        <v>0</v>
      </c>
      <c r="J41" s="553">
        <f>'Tab 4 Adjustment Details'!$AD$76</f>
        <v>0</v>
      </c>
      <c r="K41" s="142"/>
      <c r="L41" s="210">
        <f t="shared" ref="L41" si="9">SUM(G41:J41)</f>
        <v>0</v>
      </c>
      <c r="M41"/>
      <c r="N41" s="210">
        <f t="shared" ref="N41" si="10">F41-E41</f>
        <v>0</v>
      </c>
    </row>
    <row r="42" spans="1:19" s="135" customFormat="1">
      <c r="A42" s="208">
        <v>23</v>
      </c>
      <c r="B42" s="284">
        <f>'ADJ SUMMARY'!A47</f>
        <v>3.1199999999999974</v>
      </c>
      <c r="C42" s="38" t="str">
        <f>'ADJ SUMMARY'!C47</f>
        <v>Pro Forma Director Fees Exp</v>
      </c>
      <c r="D42" s="55"/>
      <c r="E42" s="759"/>
      <c r="F42" s="759"/>
      <c r="G42" s="553">
        <f>'Tab 4 Adjustment Details'!$AD$62+'Tab 4 Adjustment Details'!$AD$63</f>
        <v>0</v>
      </c>
      <c r="H42" s="553">
        <f>'Tab 4 Adjustment Details'!$AD$69+'Tab 4 Adjustment Details'!$AD$70</f>
        <v>0</v>
      </c>
      <c r="I42" s="553">
        <f>'Tab 4 Adjustment Details'!$AD$79</f>
        <v>0</v>
      </c>
      <c r="J42" s="553">
        <f>'Tab 4 Adjustment Details'!$AD$76</f>
        <v>0</v>
      </c>
      <c r="K42" s="142"/>
      <c r="L42" s="210">
        <f t="shared" ref="L42:L44" si="11">SUM(G42:J42)</f>
        <v>0</v>
      </c>
      <c r="M42"/>
      <c r="N42" s="210">
        <f t="shared" ref="N42:N44" si="12">F42-E42</f>
        <v>0</v>
      </c>
    </row>
    <row r="43" spans="1:19" s="135" customFormat="1">
      <c r="A43" s="208">
        <v>23</v>
      </c>
      <c r="B43" s="284">
        <f>'ADJ SUMMARY'!A48</f>
        <v>3.1299999999999972</v>
      </c>
      <c r="C43" s="38" t="str">
        <f>'ADJ SUMMARY'!C48</f>
        <v>PF Normalize CS2/Colstrip Major Maint</v>
      </c>
      <c r="D43" s="55"/>
      <c r="E43" s="759"/>
      <c r="F43" s="759"/>
      <c r="G43" s="553">
        <f>'Tab 4 Adjustment Details'!$AD$62+'Tab 4 Adjustment Details'!$AD$63</f>
        <v>0</v>
      </c>
      <c r="H43" s="553">
        <f>'Tab 4 Adjustment Details'!$AD$69+'Tab 4 Adjustment Details'!$AD$70</f>
        <v>0</v>
      </c>
      <c r="I43" s="553">
        <f>'Tab 4 Adjustment Details'!$AD$79</f>
        <v>0</v>
      </c>
      <c r="J43" s="553">
        <f>'Tab 4 Adjustment Details'!$AD$76</f>
        <v>0</v>
      </c>
      <c r="K43" s="142"/>
      <c r="L43" s="210">
        <f t="shared" si="11"/>
        <v>0</v>
      </c>
      <c r="M43"/>
      <c r="N43" s="210">
        <f t="shared" si="12"/>
        <v>0</v>
      </c>
    </row>
    <row r="44" spans="1:19" s="135" customFormat="1">
      <c r="A44" s="208">
        <v>23</v>
      </c>
      <c r="B44" s="284">
        <f>'ADJ SUMMARY'!A49</f>
        <v>3.139999999999997</v>
      </c>
      <c r="C44" s="38" t="str">
        <f>'ADJ SUMMARY'!C49</f>
        <v>Pro Forma Underground Equip Inspection</v>
      </c>
      <c r="D44" s="55"/>
      <c r="E44" s="759"/>
      <c r="F44" s="759"/>
      <c r="G44" s="553">
        <f>'Tab 4 Adjustment Details'!$AD$62+'Tab 4 Adjustment Details'!$AD$63</f>
        <v>0</v>
      </c>
      <c r="H44" s="553">
        <f>'Tab 4 Adjustment Details'!$AD$69+'Tab 4 Adjustment Details'!$AD$70</f>
        <v>0</v>
      </c>
      <c r="I44" s="553">
        <f>'Tab 4 Adjustment Details'!$AD$79</f>
        <v>0</v>
      </c>
      <c r="J44" s="553">
        <f>'Tab 4 Adjustment Details'!$AD$76</f>
        <v>0</v>
      </c>
      <c r="K44" s="142"/>
      <c r="L44" s="210">
        <f t="shared" si="11"/>
        <v>0</v>
      </c>
      <c r="M44"/>
      <c r="N44" s="210">
        <f t="shared" si="12"/>
        <v>0</v>
      </c>
    </row>
    <row r="45" spans="1:19" s="135" customFormat="1">
      <c r="A45" s="208">
        <v>23</v>
      </c>
      <c r="B45" s="284" t="e">
        <f>'ADJ SUMMARY'!#REF!</f>
        <v>#REF!</v>
      </c>
      <c r="C45" s="38" t="e">
        <f>'ADJ SUMMARY'!#REF!</f>
        <v>#REF!</v>
      </c>
      <c r="D45" s="55"/>
      <c r="E45" s="759"/>
      <c r="F45" s="759"/>
      <c r="G45" s="553">
        <f>'Tab 4 Adjustment Details'!$AD$62+'Tab 4 Adjustment Details'!$AD$63</f>
        <v>0</v>
      </c>
      <c r="H45" s="553">
        <f>'Tab 4 Adjustment Details'!$AD$69+'Tab 4 Adjustment Details'!$AD$70</f>
        <v>0</v>
      </c>
      <c r="I45" s="553">
        <f>'Tab 4 Adjustment Details'!$AD$79</f>
        <v>0</v>
      </c>
      <c r="J45" s="553">
        <f>'Tab 4 Adjustment Details'!$AD$76</f>
        <v>0</v>
      </c>
      <c r="K45" s="142"/>
      <c r="L45" s="210">
        <f t="shared" ref="L45" si="13">SUM(G45:J45)</f>
        <v>0</v>
      </c>
      <c r="M45"/>
      <c r="N45" s="210">
        <f t="shared" ref="N45" si="14">F45-E45</f>
        <v>0</v>
      </c>
    </row>
    <row r="46" spans="1:19">
      <c r="A46" s="208">
        <v>22</v>
      </c>
      <c r="B46" s="284">
        <f>'ADJ SUMMARY'!A52</f>
        <v>4</v>
      </c>
      <c r="C46" s="38" t="str">
        <f>'ADJ SUMMARY'!C52</f>
        <v>Pro Forma Power Supply &amp; Transm Revs</v>
      </c>
      <c r="D46" s="143"/>
      <c r="E46" s="759"/>
      <c r="F46" s="759"/>
      <c r="G46" s="181">
        <f>'Tab 4 Adjustment Details'!$AS$62+'Tab 4 Adjustment Details'!$AS$63</f>
        <v>0</v>
      </c>
      <c r="H46" s="181">
        <f>'Tab 4 Adjustment Details'!$AS$69+'Tab 4 Adjustment Details'!$AS$70</f>
        <v>0</v>
      </c>
      <c r="I46" s="181">
        <f>'Tab 4 Adjustment Details'!$AS$79</f>
        <v>0</v>
      </c>
      <c r="J46" s="181">
        <f>'Tab 4 Adjustment Details'!$AS$76</f>
        <v>0</v>
      </c>
      <c r="K46" s="142"/>
      <c r="L46" s="210">
        <f>SUM(G46:J46)</f>
        <v>0</v>
      </c>
      <c r="M46"/>
      <c r="N46" s="210">
        <f>F46-E46</f>
        <v>0</v>
      </c>
      <c r="O46" s="28"/>
      <c r="P46" s="37"/>
      <c r="Q46" s="37"/>
      <c r="R46" s="28"/>
      <c r="S46" s="27"/>
    </row>
    <row r="47" spans="1:19" ht="3" customHeight="1">
      <c r="A47" s="208">
        <v>40</v>
      </c>
      <c r="B47" s="285"/>
      <c r="C47" s="229"/>
      <c r="D47" s="163"/>
      <c r="E47" s="181"/>
      <c r="F47" s="181"/>
      <c r="G47" s="181"/>
      <c r="H47" s="181"/>
      <c r="I47" s="181"/>
      <c r="J47" s="181"/>
      <c r="K47" s="142"/>
      <c r="L47" s="210"/>
      <c r="M47"/>
      <c r="N47" s="210"/>
      <c r="P47" s="164"/>
    </row>
    <row r="48" spans="1:19" ht="15.75" customHeight="1">
      <c r="A48" s="208">
        <v>37</v>
      </c>
      <c r="B48" s="28" t="s">
        <v>187</v>
      </c>
      <c r="C48" s="28"/>
      <c r="D48" s="28"/>
      <c r="E48" s="151">
        <f t="shared" ref="E48:J48" si="15">SUM(E10:E47)</f>
        <v>155763</v>
      </c>
      <c r="F48" s="151">
        <f t="shared" si="15"/>
        <v>325154</v>
      </c>
      <c r="G48" s="151">
        <f t="shared" si="15"/>
        <v>1332351</v>
      </c>
      <c r="H48" s="151">
        <f t="shared" si="15"/>
        <v>-494437</v>
      </c>
      <c r="I48" s="151">
        <f t="shared" si="15"/>
        <v>6880</v>
      </c>
      <c r="J48" s="151">
        <f t="shared" si="15"/>
        <v>-254441</v>
      </c>
      <c r="K48" s="164"/>
      <c r="L48" s="151">
        <f>SUM(L10:L47)</f>
        <v>590353</v>
      </c>
      <c r="N48" s="151">
        <f>SUM(N10:N47)</f>
        <v>169379</v>
      </c>
      <c r="P48" s="164"/>
    </row>
    <row r="49" spans="1:19">
      <c r="A49" s="30"/>
      <c r="B49" s="28"/>
      <c r="C49" s="28"/>
      <c r="D49" s="28"/>
      <c r="E49" s="44"/>
      <c r="F49" s="125"/>
      <c r="G49" s="125"/>
      <c r="H49" s="126"/>
      <c r="I49" s="126"/>
      <c r="J49" s="31"/>
      <c r="K49" s="142"/>
      <c r="L49" s="28"/>
    </row>
    <row r="50" spans="1:19">
      <c r="A50" s="1125" t="s">
        <v>293</v>
      </c>
      <c r="B50" s="1125"/>
      <c r="C50" s="1125"/>
      <c r="D50" s="1125"/>
      <c r="E50" s="1125"/>
      <c r="F50" s="1125"/>
      <c r="G50" s="1125"/>
      <c r="H50" s="1125"/>
      <c r="I50" s="402"/>
      <c r="J50" s="142"/>
      <c r="K50" s="142"/>
      <c r="L50" s="37"/>
    </row>
    <row r="51" spans="1:19">
      <c r="H51" s="26"/>
      <c r="I51" s="26"/>
      <c r="J51" s="31"/>
      <c r="K51" s="142"/>
      <c r="L51" s="28"/>
    </row>
    <row r="52" spans="1:19">
      <c r="A52" s="1125" t="s">
        <v>271</v>
      </c>
      <c r="B52" s="1125"/>
      <c r="C52" s="1125"/>
      <c r="D52" s="1125"/>
      <c r="E52" s="1125"/>
      <c r="F52" s="1125"/>
      <c r="G52" s="1125"/>
      <c r="H52" s="1125"/>
      <c r="I52" s="402"/>
      <c r="J52" s="31"/>
      <c r="K52" s="142"/>
      <c r="L52" s="28"/>
    </row>
    <row r="53" spans="1:19">
      <c r="H53" s="26"/>
      <c r="I53" s="26"/>
      <c r="J53" s="31"/>
      <c r="K53" s="142"/>
      <c r="L53" s="28"/>
    </row>
    <row r="54" spans="1:19">
      <c r="A54" s="30" t="s">
        <v>8</v>
      </c>
      <c r="F54" s="30" t="s">
        <v>256</v>
      </c>
      <c r="G54" s="30" t="s">
        <v>230</v>
      </c>
      <c r="H54" s="26"/>
      <c r="I54" s="26"/>
      <c r="J54" s="31"/>
      <c r="K54" s="142"/>
      <c r="L54" s="28"/>
    </row>
    <row r="55" spans="1:19">
      <c r="A55" s="30">
        <v>1</v>
      </c>
      <c r="B55" s="26" t="s">
        <v>239</v>
      </c>
      <c r="C55" s="26" t="s">
        <v>184</v>
      </c>
      <c r="D55" s="23"/>
      <c r="F55" s="153">
        <f>SUM(G48:J48)</f>
        <v>590353</v>
      </c>
      <c r="H55" s="26"/>
      <c r="I55" s="26"/>
      <c r="J55" s="31"/>
      <c r="K55" s="142"/>
      <c r="L55" s="28"/>
    </row>
    <row r="56" spans="1:19">
      <c r="A56" s="30"/>
      <c r="D56" s="23"/>
      <c r="F56" s="39"/>
      <c r="H56" s="26"/>
      <c r="I56" s="26"/>
      <c r="J56" s="31"/>
      <c r="K56" s="142"/>
      <c r="L56" s="28"/>
    </row>
    <row r="57" spans="1:19">
      <c r="A57" s="30">
        <v>2</v>
      </c>
      <c r="B57" s="26" t="s">
        <v>292</v>
      </c>
      <c r="C57" s="163" t="s">
        <v>130</v>
      </c>
      <c r="D57" s="23"/>
      <c r="F57" s="195">
        <f>'Tab 2 Rev. Req. Calc.'!N14</f>
        <v>7.0800000000000002E-2</v>
      </c>
      <c r="G57" s="165">
        <f>'Tab 2 Rev. Req. Calc.'!O13</f>
        <v>2.6800000000000001E-2</v>
      </c>
      <c r="H57" s="26"/>
      <c r="I57" s="26"/>
      <c r="J57" s="31"/>
      <c r="K57" s="142"/>
      <c r="L57" s="28"/>
    </row>
    <row r="58" spans="1:19">
      <c r="A58" s="30"/>
      <c r="D58" s="23"/>
      <c r="F58" s="196"/>
      <c r="H58" s="26"/>
      <c r="I58" s="26"/>
      <c r="J58" s="31"/>
      <c r="K58" s="142"/>
      <c r="L58" s="28"/>
    </row>
    <row r="59" spans="1:19">
      <c r="A59" s="30">
        <v>3</v>
      </c>
      <c r="B59" s="26" t="s">
        <v>24</v>
      </c>
      <c r="C59" s="26" t="s">
        <v>131</v>
      </c>
      <c r="D59" s="23"/>
      <c r="F59" s="39">
        <f>F55*F57</f>
        <v>41796.992400000003</v>
      </c>
      <c r="H59" s="26"/>
      <c r="I59" s="26"/>
      <c r="J59" s="31"/>
      <c r="K59" s="142"/>
      <c r="L59" s="28"/>
    </row>
    <row r="60" spans="1:19">
      <c r="A60" s="30"/>
      <c r="D60" s="23"/>
      <c r="F60" s="39"/>
      <c r="H60" s="26"/>
      <c r="I60" s="26"/>
      <c r="J60" s="31"/>
      <c r="K60" s="142"/>
      <c r="L60" s="28"/>
    </row>
    <row r="61" spans="1:19">
      <c r="A61" s="30">
        <v>4</v>
      </c>
      <c r="B61" s="26" t="s">
        <v>231</v>
      </c>
      <c r="C61" s="26" t="s">
        <v>131</v>
      </c>
      <c r="D61" s="23"/>
      <c r="F61" s="39">
        <f>F55*G57*-0.35</f>
        <v>-5537.5111399999996</v>
      </c>
      <c r="H61" s="26"/>
      <c r="I61" s="26"/>
      <c r="J61" s="31"/>
      <c r="K61" s="142"/>
      <c r="L61" s="28"/>
    </row>
    <row r="62" spans="1:19">
      <c r="A62" s="30"/>
      <c r="C62" s="26" t="s">
        <v>232</v>
      </c>
      <c r="D62" s="23"/>
      <c r="F62" s="39"/>
      <c r="H62" s="26"/>
      <c r="I62" s="26"/>
      <c r="J62" s="31"/>
      <c r="K62" s="142"/>
      <c r="L62" s="28"/>
      <c r="M62" s="28"/>
      <c r="N62" s="28"/>
      <c r="O62" s="28"/>
      <c r="P62" s="37"/>
      <c r="Q62" s="37"/>
      <c r="R62" s="28"/>
      <c r="S62" s="27"/>
    </row>
    <row r="63" spans="1:19">
      <c r="A63" s="30"/>
      <c r="D63" s="23"/>
      <c r="F63" s="39"/>
      <c r="H63" s="26"/>
      <c r="I63" s="26"/>
      <c r="J63" s="127"/>
      <c r="K63" s="211"/>
      <c r="L63" s="42"/>
      <c r="M63" s="28"/>
      <c r="N63" s="28"/>
      <c r="O63" s="28"/>
      <c r="P63" s="36"/>
      <c r="Q63" s="36"/>
      <c r="R63" s="46"/>
      <c r="S63" s="27"/>
    </row>
    <row r="64" spans="1:19">
      <c r="A64" s="30">
        <v>5</v>
      </c>
      <c r="B64" s="26" t="s">
        <v>233</v>
      </c>
      <c r="C64" s="26" t="s">
        <v>131</v>
      </c>
      <c r="D64" s="23"/>
      <c r="F64" s="197">
        <f>F48-E48</f>
        <v>169391</v>
      </c>
      <c r="H64" s="26"/>
      <c r="I64" s="26"/>
      <c r="J64" s="127"/>
      <c r="K64" s="142"/>
      <c r="L64" s="28"/>
      <c r="M64" s="28"/>
      <c r="N64" s="28"/>
      <c r="O64" s="28"/>
      <c r="P64" s="36"/>
      <c r="Q64" s="36"/>
      <c r="R64" s="46"/>
      <c r="S64" s="27"/>
    </row>
    <row r="65" spans="1:13">
      <c r="A65" s="30"/>
      <c r="C65" s="26" t="s">
        <v>234</v>
      </c>
      <c r="D65" s="23"/>
      <c r="F65" s="36"/>
      <c r="H65" s="26"/>
      <c r="I65" s="26"/>
      <c r="J65" s="26"/>
      <c r="K65" s="26"/>
    </row>
    <row r="66" spans="1:13">
      <c r="A66" s="30"/>
      <c r="D66" s="23"/>
      <c r="F66" s="36"/>
      <c r="H66" s="26"/>
      <c r="I66" s="26"/>
      <c r="J66" s="26"/>
      <c r="K66" s="26"/>
    </row>
    <row r="67" spans="1:13">
      <c r="A67" s="30">
        <v>6</v>
      </c>
      <c r="B67" s="26" t="s">
        <v>231</v>
      </c>
      <c r="C67" s="26" t="s">
        <v>131</v>
      </c>
      <c r="D67" s="23"/>
      <c r="F67" s="39">
        <f>F64*-0.35</f>
        <v>-59286.85</v>
      </c>
      <c r="H67" s="26"/>
      <c r="I67" s="26"/>
      <c r="J67" s="26"/>
      <c r="K67" s="26"/>
    </row>
    <row r="68" spans="1:13">
      <c r="A68" s="30"/>
      <c r="C68" s="26" t="s">
        <v>235</v>
      </c>
      <c r="D68" s="23"/>
      <c r="H68" s="26"/>
      <c r="I68" s="26"/>
      <c r="J68" s="26"/>
      <c r="K68" s="26"/>
    </row>
    <row r="69" spans="1:13">
      <c r="A69" s="30"/>
      <c r="D69" s="23"/>
      <c r="H69" s="26"/>
      <c r="I69" s="26"/>
      <c r="J69" s="26"/>
      <c r="K69" s="26"/>
    </row>
    <row r="70" spans="1:13">
      <c r="A70" s="30">
        <v>7</v>
      </c>
      <c r="B70" s="26" t="s">
        <v>236</v>
      </c>
      <c r="C70" s="26" t="s">
        <v>131</v>
      </c>
      <c r="D70" s="23"/>
      <c r="F70" s="39">
        <f>SUM(F59:F68)</f>
        <v>146363.63125999999</v>
      </c>
      <c r="H70" s="26"/>
      <c r="I70" s="26"/>
      <c r="J70" s="26"/>
      <c r="K70" s="26"/>
    </row>
    <row r="71" spans="1:13">
      <c r="A71" s="30"/>
      <c r="D71" s="23"/>
      <c r="H71" s="26"/>
      <c r="I71" s="26"/>
      <c r="J71" s="26"/>
      <c r="K71" s="26"/>
    </row>
    <row r="72" spans="1:13">
      <c r="A72" s="30">
        <v>8</v>
      </c>
      <c r="B72" s="26" t="s">
        <v>238</v>
      </c>
      <c r="C72" s="26" t="s">
        <v>237</v>
      </c>
      <c r="D72" s="23"/>
      <c r="F72" s="26">
        <f>1-0.35</f>
        <v>0.65</v>
      </c>
      <c r="H72" s="26"/>
      <c r="I72" s="26"/>
      <c r="J72" s="26"/>
      <c r="K72" s="26"/>
    </row>
    <row r="73" spans="1:13" ht="13.5" thickBot="1">
      <c r="A73" s="30"/>
      <c r="D73" s="23"/>
      <c r="H73" s="26"/>
      <c r="I73" s="26"/>
      <c r="J73" s="462"/>
      <c r="K73" s="26"/>
    </row>
    <row r="74" spans="1:13" ht="13.5" thickBot="1">
      <c r="A74" s="30">
        <v>9</v>
      </c>
      <c r="B74" s="26" t="s">
        <v>239</v>
      </c>
      <c r="C74" s="26" t="s">
        <v>139</v>
      </c>
      <c r="D74" s="23"/>
      <c r="F74" s="185">
        <f>F70/F72</f>
        <v>225174.81732307692</v>
      </c>
      <c r="G74" s="39"/>
      <c r="H74" s="26"/>
      <c r="I74" s="26"/>
      <c r="J74" s="26"/>
      <c r="K74" s="26"/>
    </row>
    <row r="75" spans="1:13">
      <c r="H75" s="26"/>
      <c r="I75" s="26"/>
      <c r="J75" s="153"/>
      <c r="K75" s="26"/>
    </row>
    <row r="76" spans="1:13">
      <c r="A76" s="30">
        <v>10</v>
      </c>
      <c r="B76" s="152" t="s">
        <v>287</v>
      </c>
      <c r="F76" s="462">
        <v>5571472.3669999996</v>
      </c>
      <c r="G76" s="153"/>
      <c r="J76" s="26"/>
      <c r="K76" s="26"/>
    </row>
    <row r="77" spans="1:13">
      <c r="A77"/>
      <c r="D77" s="23"/>
      <c r="H77" s="26"/>
      <c r="I77" s="26"/>
      <c r="J77" s="26"/>
      <c r="K77" s="26"/>
    </row>
    <row r="78" spans="1:13" ht="14.25" customHeight="1">
      <c r="A78" s="463">
        <v>11</v>
      </c>
      <c r="B78" s="26" t="s">
        <v>639</v>
      </c>
      <c r="F78" s="466">
        <f>F74/F76</f>
        <v>4.0415675155600558E-2</v>
      </c>
      <c r="H78" s="26"/>
      <c r="I78" s="26"/>
      <c r="J78" s="39"/>
      <c r="K78" s="467"/>
    </row>
    <row r="79" spans="1:13">
      <c r="H79" s="26"/>
      <c r="I79" s="26"/>
      <c r="J79" s="26"/>
      <c r="K79" s="26"/>
    </row>
    <row r="80" spans="1:13">
      <c r="A80" s="463">
        <v>12</v>
      </c>
      <c r="B80" s="26" t="s">
        <v>640</v>
      </c>
      <c r="F80" s="202">
        <f>166841.645+31981.271</f>
        <v>198822.916</v>
      </c>
      <c r="J80" s="26"/>
      <c r="K80" s="166">
        <f>F80/F82</f>
        <v>0.68729998868090691</v>
      </c>
      <c r="L80" s="166">
        <v>0.68730000000000002</v>
      </c>
      <c r="M80" s="26" t="s">
        <v>647</v>
      </c>
    </row>
    <row r="81" spans="1:11" ht="12.75" customHeight="1">
      <c r="F81" s="202"/>
      <c r="H81" s="26"/>
      <c r="I81" s="26"/>
      <c r="J81" s="26"/>
      <c r="K81" s="26"/>
    </row>
    <row r="82" spans="1:11">
      <c r="A82" s="463">
        <v>13</v>
      </c>
      <c r="B82" s="26" t="s">
        <v>641</v>
      </c>
      <c r="F82" s="202">
        <f>242749.374+46531.754</f>
        <v>289281.12800000003</v>
      </c>
      <c r="H82" s="26"/>
      <c r="I82" s="26"/>
      <c r="J82" s="26"/>
      <c r="K82" s="26"/>
    </row>
    <row r="83" spans="1:11" ht="13.5" thickBot="1">
      <c r="H83" s="26"/>
      <c r="I83" s="26"/>
      <c r="J83" s="26"/>
      <c r="K83" s="26"/>
    </row>
    <row r="84" spans="1:11" ht="12.75" customHeight="1" thickBot="1">
      <c r="A84" s="463">
        <v>14</v>
      </c>
      <c r="B84" s="26" t="s">
        <v>642</v>
      </c>
      <c r="F84" s="506">
        <f>F78*F80/F82</f>
        <v>2.7777693076975474E-2</v>
      </c>
      <c r="G84" s="163" t="s">
        <v>685</v>
      </c>
      <c r="H84" s="163"/>
      <c r="I84" s="163"/>
      <c r="J84" s="202"/>
      <c r="K84" s="467"/>
    </row>
    <row r="85" spans="1:11">
      <c r="G85" s="163" t="s">
        <v>686</v>
      </c>
      <c r="H85" s="163"/>
      <c r="I85" s="163"/>
      <c r="J85" s="202"/>
      <c r="K85" s="26"/>
    </row>
    <row r="86" spans="1:11">
      <c r="G86" s="163" t="s">
        <v>687</v>
      </c>
      <c r="H86" s="163"/>
      <c r="I86" s="163"/>
      <c r="J86" s="163"/>
      <c r="K86" s="26"/>
    </row>
    <row r="87" spans="1:11">
      <c r="H87" s="26"/>
      <c r="I87" s="26"/>
      <c r="J87" s="26"/>
      <c r="K87" s="26"/>
    </row>
    <row r="88" spans="1:11">
      <c r="H88" s="26"/>
      <c r="I88" s="26"/>
      <c r="J88" s="26"/>
      <c r="K88" s="26"/>
    </row>
    <row r="89" spans="1:11">
      <c r="C89" s="464"/>
      <c r="H89" s="26"/>
      <c r="I89" s="26"/>
      <c r="J89" s="26"/>
      <c r="K89" s="26"/>
    </row>
    <row r="90" spans="1:11">
      <c r="C90" s="465"/>
      <c r="H90" s="26"/>
      <c r="I90" s="26"/>
      <c r="J90" s="26"/>
      <c r="K90" s="26"/>
    </row>
    <row r="91" spans="1:11">
      <c r="D91" s="465"/>
      <c r="E91" s="491" t="s">
        <v>677</v>
      </c>
      <c r="F91" s="465"/>
      <c r="G91" s="465"/>
      <c r="I91" s="465"/>
      <c r="J91" s="26"/>
      <c r="K91" s="26"/>
    </row>
    <row r="92" spans="1:11">
      <c r="D92" s="465"/>
      <c r="I92" s="26"/>
      <c r="J92" s="26"/>
      <c r="K92" s="26"/>
    </row>
    <row r="93" spans="1:11">
      <c r="I93" s="26"/>
      <c r="J93" s="26"/>
      <c r="K93" s="26"/>
    </row>
    <row r="94" spans="1:11">
      <c r="B94" s="432" t="s">
        <v>8</v>
      </c>
      <c r="C94" s="465" t="s">
        <v>80</v>
      </c>
      <c r="D94" s="465"/>
      <c r="E94" s="465"/>
      <c r="F94" s="465"/>
      <c r="G94" s="465" t="s">
        <v>126</v>
      </c>
      <c r="I94" s="465"/>
      <c r="J94" s="26"/>
      <c r="K94" s="26"/>
    </row>
    <row r="95" spans="1:11">
      <c r="B95" s="432"/>
      <c r="I95" s="26"/>
      <c r="J95" s="26"/>
      <c r="K95" s="26"/>
    </row>
    <row r="96" spans="1:11" ht="12" customHeight="1">
      <c r="B96" s="432">
        <v>1</v>
      </c>
      <c r="C96" s="26" t="s">
        <v>678</v>
      </c>
      <c r="G96" s="462">
        <v>5689806.233</v>
      </c>
      <c r="I96" s="26"/>
      <c r="J96" s="26"/>
      <c r="K96" s="26"/>
    </row>
    <row r="97" spans="2:19">
      <c r="B97" s="432"/>
      <c r="I97" s="26"/>
      <c r="J97" s="26"/>
      <c r="K97" s="26"/>
    </row>
    <row r="98" spans="2:19">
      <c r="B98" s="432">
        <v>2</v>
      </c>
      <c r="C98" s="152" t="s">
        <v>643</v>
      </c>
      <c r="G98" s="153">
        <f>F76</f>
        <v>5571472.3669999996</v>
      </c>
      <c r="I98" s="26"/>
      <c r="J98" s="26"/>
      <c r="K98" s="26"/>
    </row>
    <row r="99" spans="2:19">
      <c r="B99" s="432"/>
      <c r="I99" s="26"/>
      <c r="J99" s="26"/>
      <c r="K99" s="26"/>
    </row>
    <row r="100" spans="2:19">
      <c r="B100" s="432">
        <v>3</v>
      </c>
      <c r="C100" s="26" t="s">
        <v>679</v>
      </c>
      <c r="G100" s="153">
        <f>G96-G98</f>
        <v>118333.86600000039</v>
      </c>
      <c r="I100" s="26"/>
      <c r="J100" s="26"/>
      <c r="K100" s="26"/>
    </row>
    <row r="101" spans="2:19">
      <c r="B101" s="432"/>
      <c r="I101" s="26"/>
      <c r="J101" s="26"/>
      <c r="K101" s="26"/>
    </row>
    <row r="102" spans="2:19" ht="12.75" customHeight="1">
      <c r="B102" s="432">
        <v>4</v>
      </c>
      <c r="C102" s="26" t="s">
        <v>644</v>
      </c>
      <c r="G102" s="468">
        <f>F84</f>
        <v>2.7777693076975474E-2</v>
      </c>
      <c r="I102" s="26"/>
      <c r="J102" s="26"/>
      <c r="K102" s="26"/>
    </row>
    <row r="103" spans="2:19">
      <c r="B103" s="432"/>
      <c r="I103" s="26"/>
      <c r="J103" s="26"/>
      <c r="K103" s="26"/>
    </row>
    <row r="104" spans="2:19">
      <c r="B104" s="432">
        <v>5</v>
      </c>
      <c r="C104" s="26" t="s">
        <v>680</v>
      </c>
      <c r="G104" s="467">
        <f>-G100*G102</f>
        <v>-3287.0418103599541</v>
      </c>
      <c r="I104" s="37"/>
      <c r="J104" s="26"/>
      <c r="K104" s="26"/>
    </row>
    <row r="105" spans="2:19">
      <c r="B105" s="432"/>
      <c r="I105" s="26"/>
      <c r="J105" s="26"/>
      <c r="K105" s="26"/>
    </row>
    <row r="106" spans="2:19">
      <c r="B106" s="432">
        <v>6</v>
      </c>
      <c r="C106" s="26" t="s">
        <v>645</v>
      </c>
      <c r="G106" s="468">
        <f>F78</f>
        <v>4.0415675155600558E-2</v>
      </c>
      <c r="I106" s="26"/>
      <c r="J106" s="26"/>
      <c r="K106" s="26"/>
    </row>
    <row r="107" spans="2:19">
      <c r="B107" s="432"/>
      <c r="I107" s="26"/>
      <c r="J107" s="26"/>
      <c r="K107" s="26"/>
    </row>
    <row r="108" spans="2:19">
      <c r="B108" s="432">
        <v>7</v>
      </c>
      <c r="C108" s="26" t="s">
        <v>681</v>
      </c>
      <c r="G108" s="467">
        <f>-G100*G106</f>
        <v>-4782.5430881623815</v>
      </c>
      <c r="I108" s="37"/>
      <c r="J108" s="26"/>
      <c r="K108" s="26"/>
    </row>
    <row r="109" spans="2:19" ht="13.5" thickBot="1">
      <c r="B109" s="432"/>
      <c r="I109" s="26"/>
      <c r="J109" s="26"/>
      <c r="K109" s="26"/>
    </row>
    <row r="110" spans="2:19" ht="14.25" thickTop="1" thickBot="1">
      <c r="B110" s="432">
        <v>8</v>
      </c>
      <c r="C110" s="26" t="s">
        <v>682</v>
      </c>
      <c r="G110" s="470">
        <f>G104-G108</f>
        <v>1495.5012778024275</v>
      </c>
      <c r="I110" s="26"/>
      <c r="J110" s="26"/>
      <c r="K110" s="26"/>
    </row>
    <row r="111" spans="2:19" ht="13.5" thickTop="1">
      <c r="I111" s="26"/>
      <c r="J111" s="26"/>
      <c r="K111" s="26"/>
    </row>
    <row r="112" spans="2:19" ht="12" customHeight="1">
      <c r="G112" s="58"/>
      <c r="J112" s="31"/>
      <c r="L112" s="28"/>
      <c r="M112" s="28"/>
      <c r="N112" s="28"/>
      <c r="O112" s="28"/>
      <c r="P112" s="37"/>
      <c r="Q112" s="37"/>
      <c r="R112" s="28"/>
      <c r="S112" s="27"/>
    </row>
    <row r="113" spans="1:6" ht="12" customHeight="1">
      <c r="A113" s="465"/>
      <c r="F113" s="469"/>
    </row>
  </sheetData>
  <mergeCells count="3">
    <mergeCell ref="A50:H50"/>
    <mergeCell ref="A52:H52"/>
    <mergeCell ref="E8:J8"/>
  </mergeCells>
  <phoneticPr fontId="0" type="noConversion"/>
  <pageMargins left="1.1000000000000001" right="0.75" top="0.75" bottom="0.75" header="0.5" footer="0.5"/>
  <pageSetup scale="72" orientation="landscape" horizontalDpi="4294967292" r:id="rId1"/>
  <headerFooter alignWithMargins="0">
    <oddHeader xml:space="preserve">&amp;C
</oddHeader>
    <oddFooter>&amp;L&amp;F / &amp;A&amp;RPage &amp;P of &amp;N</oddFooter>
  </headerFooter>
  <rowBreaks count="2" manualBreakCount="2">
    <brk id="49" max="9" man="1"/>
    <brk id="90" max="9"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92"/>
  <sheetViews>
    <sheetView view="pageBreakPreview" zoomScale="115" zoomScaleNormal="100" zoomScaleSheetLayoutView="115" workbookViewId="0">
      <selection activeCell="D34" sqref="D34"/>
    </sheetView>
  </sheetViews>
  <sheetFormatPr defaultColWidth="9.140625" defaultRowHeight="12.75"/>
  <cols>
    <col min="1" max="1" width="4.7109375" style="534" customWidth="1"/>
    <col min="2" max="3" width="1.7109375" style="533" customWidth="1"/>
    <col min="4" max="4" width="38.28515625" style="533" customWidth="1"/>
    <col min="5" max="5" width="11.7109375" style="273" customWidth="1"/>
    <col min="6" max="6" width="13.7109375" style="273" customWidth="1"/>
    <col min="7" max="7" width="11.7109375" style="273" customWidth="1"/>
    <col min="8" max="8" width="12.85546875" style="273" customWidth="1"/>
    <col min="9" max="9" width="15" style="273" customWidth="1"/>
    <col min="10" max="10" width="13.85546875" style="273" customWidth="1"/>
    <col min="11" max="11" width="9.140625" style="26"/>
    <col min="12" max="12" width="10.5703125" style="26" customWidth="1"/>
    <col min="13" max="13" width="9.140625" style="26"/>
    <col min="14" max="14" width="11.140625" style="26" bestFit="1" customWidth="1"/>
    <col min="15" max="16" width="9.140625" style="26"/>
    <col min="17" max="17" width="11.140625" style="26" bestFit="1" customWidth="1"/>
    <col min="18" max="18" width="9.140625" style="55"/>
    <col min="19" max="37" width="9.140625" style="26"/>
    <col min="38" max="38" width="14.7109375" style="26" customWidth="1"/>
    <col min="39" max="16384" width="9.140625" style="26"/>
  </cols>
  <sheetData>
    <row r="1" spans="1:23">
      <c r="A1" s="532">
        <f>'Tab 4 Adjustment Details'!A2</f>
        <v>0</v>
      </c>
      <c r="D1" s="534"/>
      <c r="E1" s="1116"/>
      <c r="F1" s="1116"/>
    </row>
    <row r="2" spans="1:23">
      <c r="A2" s="532" t="str">
        <f>'Tab 4 Adjustment Details'!A3</f>
        <v xml:space="preserve">WASHINGTON ELECTRIC RESULTS - PRO FORMA </v>
      </c>
      <c r="D2" s="534"/>
      <c r="F2" s="651"/>
      <c r="G2" s="474"/>
      <c r="H2" s="474"/>
      <c r="I2" s="474"/>
      <c r="J2" s="474"/>
    </row>
    <row r="3" spans="1:23" ht="1.5" customHeight="1">
      <c r="A3" s="691"/>
      <c r="D3" s="534"/>
      <c r="F3" s="474"/>
      <c r="G3" s="474"/>
      <c r="H3" s="474"/>
      <c r="I3" s="474"/>
      <c r="J3" s="474"/>
    </row>
    <row r="4" spans="1:23">
      <c r="A4" s="532" t="str">
        <f>'Tab 4 Adjustment Details'!A5</f>
        <v>TWELVE MONTHS ENDED DECEMBER 31, 2016</v>
      </c>
      <c r="D4" s="534"/>
      <c r="F4" s="474"/>
      <c r="G4" s="474"/>
      <c r="H4" s="474"/>
      <c r="I4" s="474"/>
      <c r="J4" s="474"/>
    </row>
    <row r="5" spans="1:23" ht="14.25">
      <c r="A5" s="1144" t="str">
        <f>'Tab 4 Adjustment Details'!A6</f>
        <v xml:space="preserve">(000'S OF DOLLARS)  </v>
      </c>
      <c r="B5" s="1144"/>
      <c r="C5" s="1144"/>
      <c r="D5" s="1144"/>
      <c r="E5" s="1139" t="s">
        <v>738</v>
      </c>
      <c r="F5" s="1140"/>
      <c r="G5" s="1140"/>
      <c r="H5" s="1140"/>
      <c r="I5" s="1140"/>
      <c r="J5" s="1141"/>
    </row>
    <row r="6" spans="1:23">
      <c r="A6" s="26"/>
      <c r="B6" s="536"/>
      <c r="C6" s="536"/>
      <c r="D6" s="535"/>
      <c r="E6" s="286"/>
      <c r="F6" s="649"/>
      <c r="G6" s="650"/>
      <c r="H6" s="650"/>
      <c r="I6" s="286" t="s">
        <v>743</v>
      </c>
      <c r="J6" s="288"/>
      <c r="W6" s="507"/>
    </row>
    <row r="7" spans="1:23">
      <c r="A7" s="537"/>
      <c r="B7" s="538"/>
      <c r="C7" s="539"/>
      <c r="D7" s="9"/>
      <c r="E7" s="647" t="s">
        <v>719</v>
      </c>
      <c r="F7" s="659" t="s">
        <v>738</v>
      </c>
      <c r="G7" s="659" t="s">
        <v>738</v>
      </c>
      <c r="H7" s="656" t="s">
        <v>728</v>
      </c>
      <c r="I7" s="648" t="s">
        <v>742</v>
      </c>
      <c r="J7" s="689" t="s">
        <v>738</v>
      </c>
    </row>
    <row r="8" spans="1:23">
      <c r="A8" s="540" t="s">
        <v>8</v>
      </c>
      <c r="B8" s="541"/>
      <c r="C8" s="542"/>
      <c r="D8" s="13"/>
      <c r="E8" s="652" t="s">
        <v>7</v>
      </c>
      <c r="F8" s="291" t="s">
        <v>137</v>
      </c>
      <c r="G8" s="291" t="s">
        <v>733</v>
      </c>
      <c r="H8" s="291" t="s">
        <v>173</v>
      </c>
      <c r="I8" s="654" t="s">
        <v>173</v>
      </c>
      <c r="J8" s="291" t="s">
        <v>172</v>
      </c>
    </row>
    <row r="9" spans="1:23">
      <c r="A9" s="543" t="s">
        <v>21</v>
      </c>
      <c r="B9" s="544"/>
      <c r="C9" s="545"/>
      <c r="D9" s="17" t="s">
        <v>22</v>
      </c>
      <c r="E9" s="653" t="s">
        <v>734</v>
      </c>
      <c r="F9" s="293" t="s">
        <v>148</v>
      </c>
      <c r="G9" s="293" t="s">
        <v>137</v>
      </c>
      <c r="H9" s="293" t="s">
        <v>174</v>
      </c>
      <c r="I9" s="655" t="s">
        <v>174</v>
      </c>
      <c r="J9" s="293" t="s">
        <v>137</v>
      </c>
    </row>
    <row r="10" spans="1:23">
      <c r="A10" s="18"/>
      <c r="B10" s="19"/>
      <c r="C10" s="19"/>
      <c r="D10" s="19" t="s">
        <v>34</v>
      </c>
      <c r="E10" s="295" t="s">
        <v>35</v>
      </c>
      <c r="F10" s="295" t="s">
        <v>36</v>
      </c>
      <c r="G10" s="295" t="s">
        <v>37</v>
      </c>
      <c r="H10" s="295" t="s">
        <v>38</v>
      </c>
      <c r="I10" s="295" t="s">
        <v>39</v>
      </c>
      <c r="J10" s="295" t="s">
        <v>729</v>
      </c>
    </row>
    <row r="11" spans="1:23" ht="5.25" customHeight="1"/>
    <row r="12" spans="1:23" ht="5.25" customHeight="1"/>
    <row r="13" spans="1:23" ht="5.25" customHeight="1"/>
    <row r="14" spans="1:23">
      <c r="B14" s="533" t="s">
        <v>40</v>
      </c>
    </row>
    <row r="15" spans="1:23">
      <c r="A15" s="546">
        <v>1</v>
      </c>
      <c r="B15" s="547" t="s">
        <v>41</v>
      </c>
      <c r="C15" s="547"/>
      <c r="D15" s="547"/>
      <c r="E15" s="547">
        <f>'PROPOSED RATES-2018-NOT USED'!G14</f>
        <v>491188</v>
      </c>
      <c r="F15" s="547" t="e">
        <f>G15-E15</f>
        <v>#REF!</v>
      </c>
      <c r="G15" s="547" t="e">
        <f>'Tab 4 Adjustment Details'!#REF!</f>
        <v>#REF!</v>
      </c>
      <c r="H15" s="576" t="e">
        <f>'Tab 3 Conversion Factor'!#REF!</f>
        <v>#REF!</v>
      </c>
      <c r="I15" s="576" t="e">
        <f>'Tab 3 Conversion Factor'!#REF!</f>
        <v>#REF!</v>
      </c>
      <c r="J15" s="547" t="e">
        <f>G15+I15+H15</f>
        <v>#REF!</v>
      </c>
    </row>
    <row r="16" spans="1:23">
      <c r="A16" s="546">
        <v>2</v>
      </c>
      <c r="B16" s="548" t="s">
        <v>42</v>
      </c>
      <c r="C16" s="548"/>
      <c r="D16" s="548"/>
      <c r="E16" s="488">
        <f>'PROPOSED RATES-2018-NOT USED'!G15</f>
        <v>946</v>
      </c>
      <c r="F16" s="559" t="e">
        <f>G16-E16</f>
        <v>#REF!</v>
      </c>
      <c r="G16" s="559" t="e">
        <f>'Tab 4 Adjustment Details'!#REF!</f>
        <v>#REF!</v>
      </c>
      <c r="H16" s="559" t="e">
        <f>'Tab 4 Adjustment Details'!#REF!</f>
        <v>#REF!</v>
      </c>
      <c r="I16" s="559"/>
      <c r="J16" s="488" t="e">
        <f>G16+I16+H16</f>
        <v>#REF!</v>
      </c>
    </row>
    <row r="17" spans="1:13">
      <c r="A17" s="546">
        <v>3</v>
      </c>
      <c r="B17" s="548" t="s">
        <v>43</v>
      </c>
      <c r="C17" s="548"/>
      <c r="D17" s="548"/>
      <c r="E17" s="657">
        <f>'PROPOSED RATES-2018-NOT USED'!G16</f>
        <v>57325</v>
      </c>
      <c r="F17" s="571" t="e">
        <f>G17-E17</f>
        <v>#REF!</v>
      </c>
      <c r="G17" s="571" t="e">
        <f>'Tab 4 Adjustment Details'!#REF!</f>
        <v>#REF!</v>
      </c>
      <c r="H17" s="571" t="e">
        <f>'Tab 4 Adjustment Details'!#REF!</f>
        <v>#REF!</v>
      </c>
      <c r="I17" s="571"/>
      <c r="J17" s="657" t="e">
        <f>G17+I17+H17</f>
        <v>#REF!</v>
      </c>
    </row>
    <row r="18" spans="1:13">
      <c r="A18" s="546">
        <v>4</v>
      </c>
      <c r="B18" s="548"/>
      <c r="C18" s="548" t="s">
        <v>44</v>
      </c>
      <c r="D18" s="548"/>
      <c r="E18" s="559">
        <f>SUM(E15:E17)</f>
        <v>549459</v>
      </c>
      <c r="F18" s="559" t="e">
        <f>SUM(F15:F17)</f>
        <v>#REF!</v>
      </c>
      <c r="G18" s="559" t="e">
        <f t="shared" ref="G18:J18" si="0">SUM(G15:G17)</f>
        <v>#REF!</v>
      </c>
      <c r="H18" s="559" t="e">
        <f t="shared" ref="H18" si="1">SUM(H15:H17)</f>
        <v>#REF!</v>
      </c>
      <c r="I18" s="559" t="e">
        <f t="shared" si="0"/>
        <v>#REF!</v>
      </c>
      <c r="J18" s="488" t="e">
        <f t="shared" si="0"/>
        <v>#REF!</v>
      </c>
    </row>
    <row r="19" spans="1:13">
      <c r="A19" s="546">
        <v>5</v>
      </c>
      <c r="B19" s="548" t="s">
        <v>45</v>
      </c>
      <c r="C19" s="548"/>
      <c r="D19" s="548"/>
      <c r="E19" s="657">
        <f>'PROPOSED RATES-2018-NOT USED'!G18</f>
        <v>13300</v>
      </c>
      <c r="F19" s="571" t="e">
        <f>G19-E19</f>
        <v>#REF!</v>
      </c>
      <c r="G19" s="571" t="e">
        <f>'Tab 4 Adjustment Details'!#REF!</f>
        <v>#REF!</v>
      </c>
      <c r="H19" s="571" t="e">
        <f>'Tab 4 Adjustment Details'!#REF!</f>
        <v>#REF!</v>
      </c>
      <c r="I19" s="571"/>
      <c r="J19" s="657" t="e">
        <f>G19+I19+H19</f>
        <v>#REF!</v>
      </c>
    </row>
    <row r="20" spans="1:13">
      <c r="A20" s="546">
        <v>6</v>
      </c>
      <c r="B20" s="548"/>
      <c r="C20" s="548" t="s">
        <v>46</v>
      </c>
      <c r="D20" s="548"/>
      <c r="E20" s="559">
        <f>SUM(E18:E19)</f>
        <v>562759</v>
      </c>
      <c r="F20" s="559" t="e">
        <f t="shared" ref="F20:J20" si="2">SUM(F18:F19)</f>
        <v>#REF!</v>
      </c>
      <c r="G20" s="559" t="e">
        <f t="shared" si="2"/>
        <v>#REF!</v>
      </c>
      <c r="H20" s="559" t="e">
        <f t="shared" ref="H20" si="3">SUM(H18:H19)</f>
        <v>#REF!</v>
      </c>
      <c r="I20" s="559" t="e">
        <f t="shared" si="2"/>
        <v>#REF!</v>
      </c>
      <c r="J20" s="559" t="e">
        <f t="shared" si="2"/>
        <v>#REF!</v>
      </c>
    </row>
    <row r="21" spans="1:13">
      <c r="A21" s="546"/>
      <c r="B21" s="548"/>
      <c r="C21" s="548"/>
      <c r="D21" s="548"/>
      <c r="E21" s="559"/>
      <c r="F21" s="559"/>
      <c r="G21" s="559"/>
      <c r="H21" s="559"/>
      <c r="I21" s="559"/>
      <c r="J21" s="559"/>
    </row>
    <row r="22" spans="1:13">
      <c r="A22" s="546"/>
      <c r="B22" s="548" t="s">
        <v>47</v>
      </c>
      <c r="C22" s="548"/>
      <c r="D22" s="548"/>
      <c r="E22" s="559"/>
      <c r="F22" s="559"/>
      <c r="G22" s="559"/>
      <c r="H22" s="559"/>
      <c r="I22" s="559"/>
      <c r="J22" s="559"/>
      <c r="M22" s="299"/>
    </row>
    <row r="23" spans="1:13">
      <c r="A23" s="546"/>
      <c r="B23" s="548" t="s">
        <v>48</v>
      </c>
      <c r="C23" s="548"/>
      <c r="D23" s="548"/>
      <c r="E23" s="559"/>
      <c r="F23" s="559"/>
      <c r="G23" s="559"/>
      <c r="H23" s="559"/>
      <c r="I23" s="559"/>
      <c r="J23" s="559"/>
    </row>
    <row r="24" spans="1:13">
      <c r="A24" s="546">
        <v>7</v>
      </c>
      <c r="B24" s="548"/>
      <c r="C24" s="548" t="s">
        <v>49</v>
      </c>
      <c r="D24" s="548"/>
      <c r="E24" s="488">
        <f>'PROPOSED RATES-2018-NOT USED'!G23</f>
        <v>135284.34</v>
      </c>
      <c r="F24" s="559" t="e">
        <f>G24-E24</f>
        <v>#REF!</v>
      </c>
      <c r="G24" s="559" t="e">
        <f>'Tab 4 Adjustment Details'!#REF!</f>
        <v>#REF!</v>
      </c>
      <c r="H24" s="559"/>
      <c r="I24" s="559"/>
      <c r="J24" s="488" t="e">
        <f t="shared" ref="J24:J28" si="4">G24+I24+H24</f>
        <v>#REF!</v>
      </c>
    </row>
    <row r="25" spans="1:13">
      <c r="A25" s="546">
        <v>8</v>
      </c>
      <c r="B25" s="548"/>
      <c r="C25" s="548" t="s">
        <v>50</v>
      </c>
      <c r="D25" s="548"/>
      <c r="E25" s="488">
        <f>'PROPOSED RATES-2018-NOT USED'!G24</f>
        <v>77131</v>
      </c>
      <c r="F25" s="559" t="e">
        <f>G25-E25</f>
        <v>#REF!</v>
      </c>
      <c r="G25" s="559" t="e">
        <f>'Tab 4 Adjustment Details'!#REF!</f>
        <v>#REF!</v>
      </c>
      <c r="H25" s="559"/>
      <c r="I25" s="559"/>
      <c r="J25" s="488" t="e">
        <f t="shared" si="4"/>
        <v>#REF!</v>
      </c>
    </row>
    <row r="26" spans="1:13">
      <c r="A26" s="546">
        <v>9</v>
      </c>
      <c r="B26" s="548"/>
      <c r="C26" s="548" t="s">
        <v>587</v>
      </c>
      <c r="D26" s="548"/>
      <c r="E26" s="488">
        <f>'PROPOSED RATES-2018-NOT USED'!G25</f>
        <v>26806</v>
      </c>
      <c r="F26" s="559" t="e">
        <f>G26-E26</f>
        <v>#REF!</v>
      </c>
      <c r="G26" s="559" t="e">
        <f>'Tab 4 Adjustment Details'!#REF!</f>
        <v>#REF!</v>
      </c>
      <c r="H26" s="559"/>
      <c r="I26" s="559"/>
      <c r="J26" s="488" t="e">
        <f t="shared" si="4"/>
        <v>#REF!</v>
      </c>
      <c r="M26" s="559"/>
    </row>
    <row r="27" spans="1:13">
      <c r="A27" s="546">
        <v>10</v>
      </c>
      <c r="B27" s="548"/>
      <c r="C27" s="548" t="s">
        <v>584</v>
      </c>
      <c r="D27" s="548"/>
      <c r="E27" s="488">
        <f>'PROPOSED RATES-2018-NOT USED'!G26</f>
        <v>3312</v>
      </c>
      <c r="F27" s="559" t="e">
        <f>G27-E27</f>
        <v>#REF!</v>
      </c>
      <c r="G27" s="559" t="e">
        <f>'Tab 4 Adjustment Details'!#REF!</f>
        <v>#REF!</v>
      </c>
      <c r="H27" s="559"/>
      <c r="I27" s="559"/>
      <c r="J27" s="488" t="e">
        <f t="shared" si="4"/>
        <v>#REF!</v>
      </c>
    </row>
    <row r="28" spans="1:13">
      <c r="A28" s="546">
        <v>11</v>
      </c>
      <c r="B28" s="548"/>
      <c r="C28" s="548" t="s">
        <v>27</v>
      </c>
      <c r="D28" s="548"/>
      <c r="E28" s="657">
        <f>'PROPOSED RATES-2018-NOT USED'!G27</f>
        <v>16568</v>
      </c>
      <c r="F28" s="571" t="e">
        <f>G28-E28</f>
        <v>#REF!</v>
      </c>
      <c r="G28" s="571" t="e">
        <f>'Tab 4 Adjustment Details'!#REF!</f>
        <v>#REF!</v>
      </c>
      <c r="H28" s="571"/>
      <c r="I28" s="571"/>
      <c r="J28" s="657" t="e">
        <f t="shared" si="4"/>
        <v>#REF!</v>
      </c>
    </row>
    <row r="29" spans="1:13">
      <c r="A29" s="546">
        <v>12</v>
      </c>
      <c r="B29" s="548"/>
      <c r="C29" s="548"/>
      <c r="D29" s="548" t="s">
        <v>51</v>
      </c>
      <c r="E29" s="559">
        <f>SUM(E24:E28)</f>
        <v>259101.34</v>
      </c>
      <c r="F29" s="559" t="e">
        <f t="shared" ref="F29:J29" si="5">SUM(F24:F28)</f>
        <v>#REF!</v>
      </c>
      <c r="G29" s="559" t="e">
        <f t="shared" si="5"/>
        <v>#REF!</v>
      </c>
      <c r="H29" s="559">
        <f t="shared" ref="H29" si="6">SUM(H24:H28)</f>
        <v>0</v>
      </c>
      <c r="I29" s="559">
        <f t="shared" si="5"/>
        <v>0</v>
      </c>
      <c r="J29" s="559" t="e">
        <f t="shared" si="5"/>
        <v>#REF!</v>
      </c>
    </row>
    <row r="30" spans="1:13" ht="7.5" customHeight="1">
      <c r="A30" s="546"/>
      <c r="B30" s="548"/>
      <c r="C30" s="548"/>
      <c r="D30" s="548"/>
      <c r="E30" s="559"/>
      <c r="F30" s="559"/>
      <c r="G30" s="559"/>
      <c r="H30" s="559"/>
      <c r="I30" s="559"/>
      <c r="J30" s="559"/>
    </row>
    <row r="31" spans="1:13">
      <c r="A31" s="546"/>
      <c r="B31" s="548" t="s">
        <v>52</v>
      </c>
      <c r="C31" s="548"/>
      <c r="D31" s="548"/>
      <c r="E31" s="559"/>
      <c r="F31" s="559"/>
      <c r="G31" s="559"/>
      <c r="H31" s="559"/>
      <c r="I31" s="559"/>
      <c r="J31" s="559"/>
    </row>
    <row r="32" spans="1:13">
      <c r="A32" s="546">
        <v>13</v>
      </c>
      <c r="B32" s="548"/>
      <c r="C32" s="548" t="s">
        <v>49</v>
      </c>
      <c r="D32" s="548"/>
      <c r="E32" s="488">
        <f>'PROPOSED RATES-2018-NOT USED'!G31</f>
        <v>22200.469000000001</v>
      </c>
      <c r="F32" s="559" t="e">
        <f>G32-E32</f>
        <v>#REF!</v>
      </c>
      <c r="G32" s="559" t="e">
        <f>'Tab 4 Adjustment Details'!#REF!</f>
        <v>#REF!</v>
      </c>
      <c r="H32" s="559"/>
      <c r="I32" s="559"/>
      <c r="J32" s="488" t="e">
        <f t="shared" ref="J32:J35" si="7">G32+I32+H32</f>
        <v>#REF!</v>
      </c>
    </row>
    <row r="33" spans="1:10">
      <c r="A33" s="546">
        <v>14</v>
      </c>
      <c r="B33" s="548"/>
      <c r="C33" s="548" t="s">
        <v>587</v>
      </c>
      <c r="D33" s="548"/>
      <c r="E33" s="488">
        <f>'PROPOSED RATES-2018-NOT USED'!G32</f>
        <v>26944</v>
      </c>
      <c r="F33" s="559" t="e">
        <f>G33-E33</f>
        <v>#REF!</v>
      </c>
      <c r="G33" s="559" t="e">
        <f>'Tab 4 Adjustment Details'!#REF!</f>
        <v>#REF!</v>
      </c>
      <c r="H33" s="559"/>
      <c r="I33" s="559"/>
      <c r="J33" s="488" t="e">
        <f t="shared" si="7"/>
        <v>#REF!</v>
      </c>
    </row>
    <row r="34" spans="1:10">
      <c r="A34" s="546">
        <v>15</v>
      </c>
      <c r="B34" s="548"/>
      <c r="C34" s="548" t="s">
        <v>584</v>
      </c>
      <c r="D34" s="548"/>
      <c r="E34" s="488">
        <f>'PROPOSED RATES-2018-NOT USED'!G33</f>
        <v>0</v>
      </c>
      <c r="F34" s="559" t="e">
        <f>G34-E34</f>
        <v>#REF!</v>
      </c>
      <c r="G34" s="559" t="e">
        <f>'Tab 4 Adjustment Details'!#REF!</f>
        <v>#REF!</v>
      </c>
      <c r="H34" s="559"/>
      <c r="I34" s="559"/>
      <c r="J34" s="488" t="e">
        <f t="shared" si="7"/>
        <v>#REF!</v>
      </c>
    </row>
    <row r="35" spans="1:10">
      <c r="A35" s="546">
        <v>16</v>
      </c>
      <c r="B35" s="548"/>
      <c r="C35" s="548" t="s">
        <v>27</v>
      </c>
      <c r="D35" s="548"/>
      <c r="E35" s="657">
        <f>'PROPOSED RATES-2018-NOT USED'!G34</f>
        <v>27784</v>
      </c>
      <c r="F35" s="571" t="e">
        <f>G35-E35</f>
        <v>#REF!</v>
      </c>
      <c r="G35" s="571" t="e">
        <f>'Tab 4 Adjustment Details'!#REF!</f>
        <v>#REF!</v>
      </c>
      <c r="H35" s="571" t="e">
        <f>'Tab 3 Conversion Factor'!#REF!</f>
        <v>#REF!</v>
      </c>
      <c r="I35" s="571" t="e">
        <f>'Tab 3 Conversion Factor'!#REF!</f>
        <v>#REF!</v>
      </c>
      <c r="J35" s="657" t="e">
        <f t="shared" si="7"/>
        <v>#REF!</v>
      </c>
    </row>
    <row r="36" spans="1:10">
      <c r="A36" s="546">
        <v>17</v>
      </c>
      <c r="B36" s="548"/>
      <c r="C36" s="548"/>
      <c r="D36" s="548" t="s">
        <v>53</v>
      </c>
      <c r="E36" s="559">
        <f>SUM(E32:E35)</f>
        <v>76928.468999999997</v>
      </c>
      <c r="F36" s="559" t="e">
        <f t="shared" ref="F36:J36" si="8">SUM(F32:F35)</f>
        <v>#REF!</v>
      </c>
      <c r="G36" s="559" t="e">
        <f t="shared" si="8"/>
        <v>#REF!</v>
      </c>
      <c r="H36" s="559" t="e">
        <f t="shared" ref="H36" si="9">SUM(H32:H35)</f>
        <v>#REF!</v>
      </c>
      <c r="I36" s="559" t="e">
        <f t="shared" si="8"/>
        <v>#REF!</v>
      </c>
      <c r="J36" s="559" t="e">
        <f t="shared" si="8"/>
        <v>#REF!</v>
      </c>
    </row>
    <row r="37" spans="1:10" ht="6.75" customHeight="1">
      <c r="A37" s="546"/>
      <c r="B37" s="548"/>
      <c r="C37" s="548"/>
      <c r="D37" s="548"/>
      <c r="E37" s="559"/>
      <c r="F37" s="559"/>
      <c r="G37" s="559"/>
      <c r="H37" s="559"/>
      <c r="I37" s="559"/>
      <c r="J37" s="559"/>
    </row>
    <row r="38" spans="1:10">
      <c r="A38" s="546">
        <v>18</v>
      </c>
      <c r="B38" s="548" t="s">
        <v>54</v>
      </c>
      <c r="C38" s="548"/>
      <c r="D38" s="548"/>
      <c r="E38" s="488">
        <f>'PROPOSED RATES-2018-NOT USED'!G37</f>
        <v>13142.888000000001</v>
      </c>
      <c r="F38" s="559" t="e">
        <f>G38-E38</f>
        <v>#REF!</v>
      </c>
      <c r="G38" s="559" t="e">
        <f>'Tab 4 Adjustment Details'!#REF!</f>
        <v>#REF!</v>
      </c>
      <c r="H38" s="559" t="e">
        <f>'Tab 3 Conversion Factor'!#REF!</f>
        <v>#REF!</v>
      </c>
      <c r="I38" s="559" t="e">
        <f>'Tab 3 Conversion Factor'!#REF!</f>
        <v>#REF!</v>
      </c>
      <c r="J38" s="488" t="e">
        <f t="shared" ref="J38:J40" si="10">G38+I38+H38</f>
        <v>#REF!</v>
      </c>
    </row>
    <row r="39" spans="1:10">
      <c r="A39" s="546">
        <v>19</v>
      </c>
      <c r="B39" s="548" t="s">
        <v>55</v>
      </c>
      <c r="C39" s="548"/>
      <c r="D39" s="548"/>
      <c r="E39" s="488">
        <f>'PROPOSED RATES-2018-NOT USED'!G38</f>
        <v>1417.0170000000001</v>
      </c>
      <c r="F39" s="559" t="e">
        <f>G39-E39</f>
        <v>#REF!</v>
      </c>
      <c r="G39" s="559" t="e">
        <f>'Tab 4 Adjustment Details'!#REF!</f>
        <v>#REF!</v>
      </c>
      <c r="H39" s="559"/>
      <c r="I39" s="559"/>
      <c r="J39" s="488" t="e">
        <f t="shared" si="10"/>
        <v>#REF!</v>
      </c>
    </row>
    <row r="40" spans="1:10">
      <c r="A40" s="546">
        <v>20</v>
      </c>
      <c r="B40" s="548" t="s">
        <v>56</v>
      </c>
      <c r="C40" s="548"/>
      <c r="D40" s="548"/>
      <c r="E40" s="488">
        <f>'PROPOSED RATES-2018-NOT USED'!G39</f>
        <v>0</v>
      </c>
      <c r="F40" s="559" t="e">
        <f>G40-E40</f>
        <v>#REF!</v>
      </c>
      <c r="G40" s="559" t="e">
        <f>'Tab 4 Adjustment Details'!#REF!</f>
        <v>#REF!</v>
      </c>
      <c r="H40" s="559"/>
      <c r="I40" s="559"/>
      <c r="J40" s="488" t="e">
        <f t="shared" si="10"/>
        <v>#REF!</v>
      </c>
    </row>
    <row r="41" spans="1:10" ht="6.75" customHeight="1">
      <c r="A41" s="548"/>
      <c r="B41" s="548"/>
      <c r="C41" s="548"/>
      <c r="D41" s="548"/>
      <c r="E41" s="559"/>
      <c r="F41" s="559"/>
      <c r="G41" s="559"/>
      <c r="H41" s="559"/>
      <c r="I41" s="559"/>
      <c r="J41" s="559"/>
    </row>
    <row r="42" spans="1:10">
      <c r="A42" s="546"/>
      <c r="B42" s="548" t="s">
        <v>57</v>
      </c>
      <c r="C42" s="548"/>
      <c r="D42" s="548"/>
      <c r="E42" s="559"/>
      <c r="F42" s="559"/>
      <c r="G42" s="559"/>
      <c r="H42" s="559"/>
      <c r="I42" s="559"/>
      <c r="J42" s="559"/>
    </row>
    <row r="43" spans="1:10">
      <c r="A43" s="546">
        <v>21</v>
      </c>
      <c r="B43" s="548"/>
      <c r="C43" s="548" t="s">
        <v>49</v>
      </c>
      <c r="D43" s="548"/>
      <c r="E43" s="488">
        <f>'PROPOSED RATES-2018-NOT USED'!G42</f>
        <v>50024.43</v>
      </c>
      <c r="F43" s="559" t="e">
        <f>G43-E43</f>
        <v>#REF!</v>
      </c>
      <c r="G43" s="559" t="e">
        <f>'Tab 4 Adjustment Details'!#REF!</f>
        <v>#REF!</v>
      </c>
      <c r="H43" s="559" t="e">
        <f>'Tab 3 Conversion Factor'!#REF!</f>
        <v>#REF!</v>
      </c>
      <c r="I43" s="559" t="e">
        <f>'Tab 3 Conversion Factor'!#REF!</f>
        <v>#REF!</v>
      </c>
      <c r="J43" s="488" t="e">
        <f t="shared" ref="J43:J45" si="11">G43+I43+H43</f>
        <v>#REF!</v>
      </c>
    </row>
    <row r="44" spans="1:10">
      <c r="A44" s="546">
        <v>22</v>
      </c>
      <c r="B44" s="548"/>
      <c r="C44" s="548" t="s">
        <v>587</v>
      </c>
      <c r="D44" s="548"/>
      <c r="E44" s="488">
        <f>'PROPOSED RATES-2018-NOT USED'!G43</f>
        <v>23877</v>
      </c>
      <c r="F44" s="559" t="e">
        <f>G44-E44</f>
        <v>#REF!</v>
      </c>
      <c r="G44" s="559" t="e">
        <f>'Tab 4 Adjustment Details'!#REF!</f>
        <v>#REF!</v>
      </c>
      <c r="H44" s="559"/>
      <c r="I44" s="559"/>
      <c r="J44" s="488" t="e">
        <f t="shared" si="11"/>
        <v>#REF!</v>
      </c>
    </row>
    <row r="45" spans="1:10">
      <c r="A45" s="575">
        <v>23</v>
      </c>
      <c r="B45" s="548"/>
      <c r="C45" s="548" t="s">
        <v>27</v>
      </c>
      <c r="D45" s="548"/>
      <c r="E45" s="657">
        <f>'PROPOSED RATES-2018-NOT USED'!G44</f>
        <v>0</v>
      </c>
      <c r="F45" s="571" t="e">
        <f>G45-E45</f>
        <v>#REF!</v>
      </c>
      <c r="G45" s="571" t="e">
        <f>'Tab 4 Adjustment Details'!#REF!</f>
        <v>#REF!</v>
      </c>
      <c r="H45" s="571"/>
      <c r="I45" s="571"/>
      <c r="J45" s="657" t="e">
        <f t="shared" si="11"/>
        <v>#REF!</v>
      </c>
    </row>
    <row r="46" spans="1:10">
      <c r="A46" s="546">
        <v>24</v>
      </c>
      <c r="B46" s="548"/>
      <c r="C46" s="548"/>
      <c r="D46" s="548" t="s">
        <v>58</v>
      </c>
      <c r="E46" s="571">
        <f t="shared" ref="E46:J46" si="12">SUM(E43:E45)</f>
        <v>73901.429999999993</v>
      </c>
      <c r="F46" s="571" t="e">
        <f t="shared" si="12"/>
        <v>#REF!</v>
      </c>
      <c r="G46" s="571" t="e">
        <f t="shared" si="12"/>
        <v>#REF!</v>
      </c>
      <c r="H46" s="571" t="e">
        <f t="shared" si="12"/>
        <v>#REF!</v>
      </c>
      <c r="I46" s="571" t="e">
        <f t="shared" si="12"/>
        <v>#REF!</v>
      </c>
      <c r="J46" s="571" t="e">
        <f t="shared" si="12"/>
        <v>#REF!</v>
      </c>
    </row>
    <row r="47" spans="1:10">
      <c r="A47" s="546">
        <v>25</v>
      </c>
      <c r="B47" s="548" t="s">
        <v>59</v>
      </c>
      <c r="C47" s="548"/>
      <c r="D47" s="548"/>
      <c r="E47" s="571">
        <f t="shared" ref="E47:J47" si="13">E29+E36+E38+E39+E40+E46</f>
        <v>424491.14399999997</v>
      </c>
      <c r="F47" s="571" t="e">
        <f t="shared" si="13"/>
        <v>#REF!</v>
      </c>
      <c r="G47" s="571" t="e">
        <f t="shared" si="13"/>
        <v>#REF!</v>
      </c>
      <c r="H47" s="571" t="e">
        <f t="shared" si="13"/>
        <v>#REF!</v>
      </c>
      <c r="I47" s="571" t="e">
        <f t="shared" si="13"/>
        <v>#REF!</v>
      </c>
      <c r="J47" s="571" t="e">
        <f t="shared" si="13"/>
        <v>#REF!</v>
      </c>
    </row>
    <row r="48" spans="1:10" ht="7.5" customHeight="1">
      <c r="A48" s="546"/>
      <c r="B48" s="548"/>
      <c r="C48" s="548"/>
      <c r="D48" s="548"/>
      <c r="E48" s="559"/>
      <c r="F48" s="559"/>
      <c r="G48" s="559"/>
      <c r="H48" s="559"/>
      <c r="I48" s="559"/>
      <c r="J48" s="559"/>
    </row>
    <row r="49" spans="1:26">
      <c r="A49" s="546">
        <v>26</v>
      </c>
      <c r="B49" s="548" t="s">
        <v>60</v>
      </c>
      <c r="C49" s="548"/>
      <c r="D49" s="548"/>
      <c r="E49" s="559">
        <f t="shared" ref="E49:J49" si="14">E20-E47</f>
        <v>138267.85600000003</v>
      </c>
      <c r="F49" s="559" t="e">
        <f t="shared" si="14"/>
        <v>#REF!</v>
      </c>
      <c r="G49" s="559" t="e">
        <f t="shared" si="14"/>
        <v>#REF!</v>
      </c>
      <c r="H49" s="559" t="e">
        <f t="shared" si="14"/>
        <v>#REF!</v>
      </c>
      <c r="I49" s="559" t="e">
        <f t="shared" si="14"/>
        <v>#REF!</v>
      </c>
      <c r="J49" s="559" t="e">
        <f t="shared" si="14"/>
        <v>#REF!</v>
      </c>
    </row>
    <row r="50" spans="1:26" ht="5.25" customHeight="1">
      <c r="A50" s="546"/>
      <c r="B50" s="548"/>
      <c r="C50" s="548"/>
      <c r="D50" s="548"/>
      <c r="E50" s="559"/>
      <c r="F50" s="559"/>
      <c r="G50" s="559"/>
      <c r="H50" s="559"/>
      <c r="I50" s="559"/>
      <c r="J50" s="559"/>
    </row>
    <row r="51" spans="1:26">
      <c r="A51" s="546"/>
      <c r="B51" s="548" t="s">
        <v>61</v>
      </c>
      <c r="C51" s="548"/>
      <c r="D51" s="548"/>
      <c r="E51" s="559"/>
      <c r="F51" s="559"/>
      <c r="G51" s="559"/>
      <c r="H51" s="559"/>
      <c r="I51" s="559"/>
      <c r="J51" s="559"/>
    </row>
    <row r="52" spans="1:26">
      <c r="A52" s="546">
        <v>27</v>
      </c>
      <c r="B52" s="548" t="s">
        <v>62</v>
      </c>
      <c r="C52" s="548"/>
      <c r="D52" s="548"/>
      <c r="E52" s="488">
        <f>'PROPOSED RATES-2018-NOT USED'!G51</f>
        <v>-30654.500400000001</v>
      </c>
      <c r="F52" s="559" t="e">
        <f>G52-E52</f>
        <v>#REF!</v>
      </c>
      <c r="G52" s="560" t="e">
        <f>'Tab 4 Adjustment Details'!#REF!</f>
        <v>#REF!</v>
      </c>
      <c r="H52" s="559" t="e">
        <f>'Tab 3 Conversion Factor'!#REF!</f>
        <v>#REF!</v>
      </c>
      <c r="I52" s="559" t="e">
        <f>'Tab 3 Conversion Factor'!#REF!</f>
        <v>#REF!</v>
      </c>
      <c r="J52" s="488" t="e">
        <f t="shared" ref="J52:J55" si="15">G52+I52+H52</f>
        <v>#REF!</v>
      </c>
      <c r="N52" s="163"/>
      <c r="O52" s="163"/>
      <c r="Z52" s="163"/>
    </row>
    <row r="53" spans="1:26">
      <c r="A53" s="546">
        <v>28</v>
      </c>
      <c r="B53" s="533" t="s">
        <v>298</v>
      </c>
      <c r="E53" s="488">
        <f>'PROPOSED RATES-2018-NOT USED'!G52</f>
        <v>18.583726286948441</v>
      </c>
      <c r="F53" s="559" t="e">
        <f>G53-E53</f>
        <v>#REF!</v>
      </c>
      <c r="G53" s="559" t="e">
        <f>'Tab 4 Adjustment Details'!#REF!</f>
        <v>#REF!</v>
      </c>
      <c r="H53" s="559"/>
      <c r="I53" s="559"/>
      <c r="J53" s="488" t="e">
        <f t="shared" si="15"/>
        <v>#REF!</v>
      </c>
    </row>
    <row r="54" spans="1:26">
      <c r="A54" s="546">
        <v>29</v>
      </c>
      <c r="B54" s="548" t="s">
        <v>63</v>
      </c>
      <c r="C54" s="548"/>
      <c r="D54" s="548"/>
      <c r="E54" s="488">
        <f>'PROPOSED RATES-2018-NOT USED'!G53</f>
        <v>67191</v>
      </c>
      <c r="F54" s="559" t="e">
        <f>G54-E54</f>
        <v>#REF!</v>
      </c>
      <c r="G54" s="559" t="e">
        <f>'Tab 4 Adjustment Details'!#REF!</f>
        <v>#REF!</v>
      </c>
      <c r="H54" s="559"/>
      <c r="I54" s="559"/>
      <c r="J54" s="488" t="e">
        <f t="shared" si="15"/>
        <v>#REF!</v>
      </c>
      <c r="O54" s="163"/>
    </row>
    <row r="55" spans="1:26">
      <c r="A55" s="546">
        <v>30</v>
      </c>
      <c r="B55" s="548" t="s">
        <v>64</v>
      </c>
      <c r="C55" s="548"/>
      <c r="D55" s="548"/>
      <c r="E55" s="657">
        <f>'PROPOSED RATES-2018-NOT USED'!G54</f>
        <v>-326</v>
      </c>
      <c r="F55" s="571" t="e">
        <f>G55-E55</f>
        <v>#REF!</v>
      </c>
      <c r="G55" s="571" t="e">
        <f>'Tab 4 Adjustment Details'!#REF!</f>
        <v>#REF!</v>
      </c>
      <c r="H55" s="571"/>
      <c r="I55" s="571"/>
      <c r="J55" s="657" t="e">
        <f t="shared" si="15"/>
        <v>#REF!</v>
      </c>
    </row>
    <row r="56" spans="1:26" ht="6.75" customHeight="1">
      <c r="A56" s="546"/>
      <c r="E56" s="559"/>
      <c r="F56" s="559"/>
      <c r="G56" s="559"/>
      <c r="H56" s="559"/>
      <c r="I56" s="559"/>
      <c r="J56" s="559"/>
    </row>
    <row r="57" spans="1:26" ht="13.5" thickBot="1">
      <c r="A57" s="534">
        <v>31</v>
      </c>
      <c r="B57" s="547" t="s">
        <v>65</v>
      </c>
      <c r="C57" s="547"/>
      <c r="D57" s="547"/>
      <c r="E57" s="583">
        <f t="shared" ref="E57:J57" si="16">E49-SUM(E52:E55)</f>
        <v>102038.77267371307</v>
      </c>
      <c r="F57" s="583" t="e">
        <f t="shared" si="16"/>
        <v>#REF!</v>
      </c>
      <c r="G57" s="583" t="e">
        <f t="shared" si="16"/>
        <v>#REF!</v>
      </c>
      <c r="H57" s="583" t="e">
        <f t="shared" si="16"/>
        <v>#REF!</v>
      </c>
      <c r="I57" s="583" t="e">
        <f t="shared" si="16"/>
        <v>#REF!</v>
      </c>
      <c r="J57" s="583" t="e">
        <f t="shared" si="16"/>
        <v>#REF!</v>
      </c>
      <c r="N57" s="39"/>
    </row>
    <row r="58" spans="1:26" ht="7.5" customHeight="1" thickTop="1">
      <c r="E58" s="559"/>
      <c r="F58" s="559"/>
      <c r="G58" s="559"/>
      <c r="H58" s="559"/>
      <c r="I58" s="559"/>
      <c r="J58" s="559"/>
      <c r="N58" s="106"/>
      <c r="Q58" s="106"/>
    </row>
    <row r="59" spans="1:26">
      <c r="B59" s="533" t="s">
        <v>66</v>
      </c>
      <c r="E59" s="559"/>
      <c r="F59" s="559"/>
      <c r="G59" s="559"/>
      <c r="H59" s="559"/>
      <c r="I59" s="559"/>
      <c r="J59" s="559"/>
      <c r="N59" s="39"/>
    </row>
    <row r="60" spans="1:26">
      <c r="A60" s="546"/>
      <c r="B60" s="533" t="s">
        <v>67</v>
      </c>
      <c r="E60" s="559"/>
      <c r="F60" s="559"/>
      <c r="G60" s="559"/>
      <c r="H60" s="559"/>
      <c r="I60" s="559"/>
      <c r="J60" s="559"/>
      <c r="N60" s="39"/>
    </row>
    <row r="61" spans="1:26">
      <c r="A61" s="546">
        <v>32</v>
      </c>
      <c r="B61" s="547"/>
      <c r="C61" s="547" t="s">
        <v>68</v>
      </c>
      <c r="D61" s="547"/>
      <c r="E61" s="547">
        <f>'PROPOSED RATES-2018-NOT USED'!G60</f>
        <v>156057</v>
      </c>
      <c r="F61" s="547" t="e">
        <f t="shared" ref="F61:F70" si="17">G61-E61</f>
        <v>#REF!</v>
      </c>
      <c r="G61" s="547" t="e">
        <f>'Tab 4 Adjustment Details'!#REF!</f>
        <v>#REF!</v>
      </c>
      <c r="H61" s="547"/>
      <c r="I61" s="547"/>
      <c r="J61" s="547" t="e">
        <f>G61+I61+H61</f>
        <v>#REF!</v>
      </c>
    </row>
    <row r="62" spans="1:26">
      <c r="A62" s="546">
        <v>33</v>
      </c>
      <c r="B62" s="548"/>
      <c r="C62" s="548" t="s">
        <v>69</v>
      </c>
      <c r="D62" s="548"/>
      <c r="E62" s="488">
        <f>'PROPOSED RATES-2018-NOT USED'!G61</f>
        <v>839722</v>
      </c>
      <c r="F62" s="559" t="e">
        <f t="shared" si="17"/>
        <v>#REF!</v>
      </c>
      <c r="G62" s="559" t="e">
        <f>'Tab 4 Adjustment Details'!#REF!</f>
        <v>#REF!</v>
      </c>
      <c r="H62" s="559"/>
      <c r="I62" s="559"/>
      <c r="J62" s="488" t="e">
        <f>G62+I62+H62</f>
        <v>#REF!</v>
      </c>
      <c r="N62" s="166"/>
    </row>
    <row r="63" spans="1:26">
      <c r="A63" s="546">
        <v>34</v>
      </c>
      <c r="B63" s="548"/>
      <c r="C63" s="548" t="s">
        <v>70</v>
      </c>
      <c r="D63" s="548"/>
      <c r="E63" s="488">
        <f>'PROPOSED RATES-2018-NOT USED'!G62</f>
        <v>430613</v>
      </c>
      <c r="F63" s="559" t="e">
        <f t="shared" si="17"/>
        <v>#REF!</v>
      </c>
      <c r="G63" s="559" t="e">
        <f>'Tab 4 Adjustment Details'!#REF!</f>
        <v>#REF!</v>
      </c>
      <c r="H63" s="559"/>
      <c r="I63" s="559"/>
      <c r="J63" s="488" t="e">
        <f t="shared" ref="J63:J65" si="18">G63+I63+H63</f>
        <v>#REF!</v>
      </c>
    </row>
    <row r="64" spans="1:26">
      <c r="A64" s="546">
        <v>35</v>
      </c>
      <c r="B64" s="548"/>
      <c r="C64" s="548" t="s">
        <v>52</v>
      </c>
      <c r="D64" s="548"/>
      <c r="E64" s="488">
        <f>'PROPOSED RATES-2018-NOT USED'!G63</f>
        <v>970455</v>
      </c>
      <c r="F64" s="559" t="e">
        <f t="shared" si="17"/>
        <v>#REF!</v>
      </c>
      <c r="G64" s="559" t="e">
        <f>'Tab 4 Adjustment Details'!#REF!</f>
        <v>#REF!</v>
      </c>
      <c r="H64" s="559"/>
      <c r="I64" s="559"/>
      <c r="J64" s="488" t="e">
        <f t="shared" si="18"/>
        <v>#REF!</v>
      </c>
    </row>
    <row r="65" spans="1:10">
      <c r="A65" s="546">
        <v>36</v>
      </c>
      <c r="B65" s="548"/>
      <c r="C65" s="548" t="s">
        <v>71</v>
      </c>
      <c r="D65" s="548"/>
      <c r="E65" s="657">
        <f>'PROPOSED RATES-2018-NOT USED'!G64</f>
        <v>233266</v>
      </c>
      <c r="F65" s="571" t="e">
        <f t="shared" si="17"/>
        <v>#REF!</v>
      </c>
      <c r="G65" s="571" t="e">
        <f>'Tab 4 Adjustment Details'!#REF!</f>
        <v>#REF!</v>
      </c>
      <c r="H65" s="571"/>
      <c r="I65" s="571"/>
      <c r="J65" s="657" t="e">
        <f t="shared" si="18"/>
        <v>#REF!</v>
      </c>
    </row>
    <row r="66" spans="1:10">
      <c r="A66" s="546">
        <v>37</v>
      </c>
      <c r="B66" s="548"/>
      <c r="C66" s="548"/>
      <c r="D66" s="548" t="s">
        <v>72</v>
      </c>
      <c r="E66" s="559">
        <f>SUM(E61:E65)</f>
        <v>2630113</v>
      </c>
      <c r="F66" s="559" t="e">
        <f t="shared" ref="F66:I66" si="19">SUM(F61:F65)</f>
        <v>#REF!</v>
      </c>
      <c r="G66" s="559" t="e">
        <f t="shared" si="19"/>
        <v>#REF!</v>
      </c>
      <c r="H66" s="559">
        <f t="shared" ref="H66" si="20">SUM(H61:H65)</f>
        <v>0</v>
      </c>
      <c r="I66" s="559">
        <f t="shared" si="19"/>
        <v>0</v>
      </c>
      <c r="J66" s="559" t="e">
        <f>SUM(J61:J65)</f>
        <v>#REF!</v>
      </c>
    </row>
    <row r="67" spans="1:10">
      <c r="A67" s="549"/>
      <c r="B67" s="548" t="s">
        <v>221</v>
      </c>
      <c r="C67" s="548"/>
      <c r="D67" s="548"/>
      <c r="E67" s="559"/>
      <c r="F67" s="559"/>
      <c r="G67" s="559"/>
      <c r="H67" s="559"/>
      <c r="I67" s="559"/>
      <c r="J67" s="559"/>
    </row>
    <row r="68" spans="1:10">
      <c r="A68" s="549">
        <v>38</v>
      </c>
      <c r="B68" s="548"/>
      <c r="C68" s="547" t="s">
        <v>216</v>
      </c>
      <c r="D68" s="548"/>
      <c r="E68" s="488">
        <f>'PROPOSED RATES-2018-NOT USED'!G67</f>
        <v>-30914</v>
      </c>
      <c r="F68" s="559" t="e">
        <f t="shared" si="17"/>
        <v>#REF!</v>
      </c>
      <c r="G68" s="559" t="e">
        <f>'Tab 4 Adjustment Details'!#REF!</f>
        <v>#REF!</v>
      </c>
      <c r="H68" s="559"/>
      <c r="I68" s="573"/>
      <c r="J68" s="488" t="e">
        <f t="shared" ref="J68:J72" si="21">G68+I68+H68</f>
        <v>#REF!</v>
      </c>
    </row>
    <row r="69" spans="1:10">
      <c r="A69" s="549">
        <v>39</v>
      </c>
      <c r="B69" s="548"/>
      <c r="C69" s="548" t="s">
        <v>217</v>
      </c>
      <c r="D69" s="548"/>
      <c r="E69" s="488">
        <f>'PROPOSED RATES-2018-NOT USED'!G68</f>
        <v>-351720.20749327808</v>
      </c>
      <c r="F69" s="559" t="e">
        <f t="shared" si="17"/>
        <v>#REF!</v>
      </c>
      <c r="G69" s="547" t="e">
        <f>'Tab 4 Adjustment Details'!#REF!</f>
        <v>#REF!</v>
      </c>
      <c r="H69" s="547"/>
      <c r="I69" s="559"/>
      <c r="J69" s="488" t="e">
        <f t="shared" si="21"/>
        <v>#REF!</v>
      </c>
    </row>
    <row r="70" spans="1:10">
      <c r="A70" s="549">
        <v>40</v>
      </c>
      <c r="B70" s="548"/>
      <c r="C70" s="548" t="s">
        <v>218</v>
      </c>
      <c r="D70" s="548"/>
      <c r="E70" s="488">
        <f>'PROPOSED RATES-2018-NOT USED'!G69</f>
        <v>-135624</v>
      </c>
      <c r="F70" s="559" t="e">
        <f t="shared" si="17"/>
        <v>#REF!</v>
      </c>
      <c r="G70" s="559" t="e">
        <f>'Tab 4 Adjustment Details'!#REF!</f>
        <v>#REF!</v>
      </c>
      <c r="H70" s="559"/>
      <c r="I70" s="559"/>
      <c r="J70" s="488" t="e">
        <f t="shared" si="21"/>
        <v>#REF!</v>
      </c>
    </row>
    <row r="71" spans="1:10">
      <c r="A71" s="549">
        <v>41</v>
      </c>
      <c r="B71" s="548"/>
      <c r="C71" s="548" t="s">
        <v>202</v>
      </c>
      <c r="D71" s="548"/>
      <c r="E71" s="488">
        <f>'PROPOSED RATES-2018-NOT USED'!G70</f>
        <v>-295383</v>
      </c>
      <c r="F71" s="559" t="e">
        <f>G71-E71</f>
        <v>#REF!</v>
      </c>
      <c r="G71" s="559" t="e">
        <f>'Tab 4 Adjustment Details'!#REF!</f>
        <v>#REF!</v>
      </c>
      <c r="H71" s="559"/>
      <c r="I71" s="559"/>
      <c r="J71" s="488" t="e">
        <f t="shared" si="21"/>
        <v>#REF!</v>
      </c>
    </row>
    <row r="72" spans="1:10">
      <c r="A72" s="549">
        <v>42</v>
      </c>
      <c r="B72" s="548"/>
      <c r="C72" s="548" t="s">
        <v>219</v>
      </c>
      <c r="D72" s="548"/>
      <c r="E72" s="657">
        <f>'PROPOSED RATES-2018-NOT USED'!G71</f>
        <v>-80093</v>
      </c>
      <c r="F72" s="571" t="e">
        <f>G72-E72</f>
        <v>#REF!</v>
      </c>
      <c r="G72" s="559" t="e">
        <f>'Tab 4 Adjustment Details'!#REF!</f>
        <v>#REF!</v>
      </c>
      <c r="H72" s="559"/>
      <c r="I72" s="571"/>
      <c r="J72" s="488" t="e">
        <f t="shared" si="21"/>
        <v>#REF!</v>
      </c>
    </row>
    <row r="73" spans="1:10">
      <c r="A73" s="549">
        <v>43</v>
      </c>
      <c r="B73" s="548" t="s">
        <v>303</v>
      </c>
      <c r="C73" s="548"/>
      <c r="D73" s="548"/>
      <c r="E73" s="323">
        <f>SUM(E68:E72)</f>
        <v>-893734.20749327808</v>
      </c>
      <c r="F73" s="323" t="e">
        <f t="shared" ref="F73" si="22">SUM(F68:F72)</f>
        <v>#REF!</v>
      </c>
      <c r="G73" s="323" t="e">
        <f>SUM(G68:G72)</f>
        <v>#REF!</v>
      </c>
      <c r="H73" s="323">
        <f>SUM(H68:H72)</f>
        <v>0</v>
      </c>
      <c r="I73" s="323">
        <f>SUM(I68:I72)</f>
        <v>0</v>
      </c>
      <c r="J73" s="323" t="e">
        <f>SUM(J68:J72)</f>
        <v>#REF!</v>
      </c>
    </row>
    <row r="74" spans="1:10">
      <c r="A74" s="549">
        <v>44</v>
      </c>
      <c r="B74" s="548" t="s">
        <v>592</v>
      </c>
      <c r="C74" s="548"/>
      <c r="D74" s="547"/>
      <c r="E74" s="573">
        <f>E66+E73</f>
        <v>1736378.7925067218</v>
      </c>
      <c r="F74" s="573" t="e">
        <f t="shared" ref="F74:I74" si="23">F66+F73</f>
        <v>#REF!</v>
      </c>
      <c r="G74" s="573" t="e">
        <f t="shared" si="23"/>
        <v>#REF!</v>
      </c>
      <c r="H74" s="573">
        <f t="shared" ref="H74" si="24">H66+H73</f>
        <v>0</v>
      </c>
      <c r="I74" s="573">
        <f t="shared" si="23"/>
        <v>0</v>
      </c>
      <c r="J74" s="573" t="e">
        <f>J66+J73</f>
        <v>#REF!</v>
      </c>
    </row>
    <row r="75" spans="1:10" ht="5.25" customHeight="1">
      <c r="A75" s="549"/>
      <c r="B75" s="548"/>
      <c r="C75" s="548"/>
      <c r="E75" s="395"/>
      <c r="F75" s="395"/>
      <c r="G75" s="395"/>
      <c r="H75" s="395"/>
      <c r="I75" s="395"/>
      <c r="J75" s="395"/>
    </row>
    <row r="76" spans="1:10">
      <c r="A76" s="550">
        <v>45</v>
      </c>
      <c r="B76" s="548" t="s">
        <v>222</v>
      </c>
      <c r="C76" s="548"/>
      <c r="D76" s="548"/>
      <c r="E76" s="657">
        <f>'PROPOSED RATES-2018-NOT USED'!G75</f>
        <v>-355130</v>
      </c>
      <c r="F76" s="571" t="e">
        <f t="shared" ref="F76" si="25">G76-E76</f>
        <v>#REF!</v>
      </c>
      <c r="G76" s="571" t="e">
        <f>'Tab 4 Adjustment Details'!#REF!</f>
        <v>#REF!</v>
      </c>
      <c r="H76" s="571"/>
      <c r="I76" s="355"/>
      <c r="J76" s="657" t="e">
        <f t="shared" ref="J76" si="26">G76+I76+H76</f>
        <v>#REF!</v>
      </c>
    </row>
    <row r="77" spans="1:10">
      <c r="A77" s="550">
        <v>46</v>
      </c>
      <c r="B77" s="548"/>
      <c r="C77" s="548" t="s">
        <v>591</v>
      </c>
      <c r="D77" s="548"/>
      <c r="E77" s="573">
        <f>SUM(E74:E76)</f>
        <v>1381248.7925067218</v>
      </c>
      <c r="F77" s="573" t="e">
        <f t="shared" ref="F77:J77" si="27">SUM(F74:F76)</f>
        <v>#REF!</v>
      </c>
      <c r="G77" s="573" t="e">
        <f t="shared" si="27"/>
        <v>#REF!</v>
      </c>
      <c r="H77" s="573">
        <f t="shared" ref="H77" si="28">SUM(H74:H76)</f>
        <v>0</v>
      </c>
      <c r="I77" s="573">
        <f t="shared" si="27"/>
        <v>0</v>
      </c>
      <c r="J77" s="573" t="e">
        <f t="shared" si="27"/>
        <v>#REF!</v>
      </c>
    </row>
    <row r="78" spans="1:10">
      <c r="A78" s="549">
        <v>47</v>
      </c>
      <c r="B78" s="548" t="s">
        <v>305</v>
      </c>
      <c r="C78" s="548"/>
      <c r="E78" s="488">
        <f>'PROPOSED RATES-2018-NOT USED'!G77</f>
        <v>-778</v>
      </c>
      <c r="F78" s="559" t="e">
        <f t="shared" ref="F78:F79" si="29">G78-E78</f>
        <v>#REF!</v>
      </c>
      <c r="G78" s="559" t="e">
        <f>'Tab 4 Adjustment Details'!#REF!</f>
        <v>#REF!</v>
      </c>
      <c r="H78" s="559"/>
      <c r="J78" s="488" t="e">
        <f t="shared" ref="J78:J79" si="30">G78+I78+H78</f>
        <v>#REF!</v>
      </c>
    </row>
    <row r="79" spans="1:10">
      <c r="A79" s="549">
        <v>48</v>
      </c>
      <c r="B79" s="548" t="s">
        <v>285</v>
      </c>
      <c r="C79" s="548"/>
      <c r="E79" s="657">
        <f>'PROPOSED RATES-2018-NOT USED'!G78</f>
        <v>62474</v>
      </c>
      <c r="F79" s="571" t="e">
        <f t="shared" si="29"/>
        <v>#REF!</v>
      </c>
      <c r="G79" s="571" t="e">
        <f>'Tab 4 Adjustment Details'!#REF!</f>
        <v>#REF!</v>
      </c>
      <c r="H79" s="571"/>
      <c r="I79" s="355"/>
      <c r="J79" s="657" t="e">
        <f t="shared" si="30"/>
        <v>#REF!</v>
      </c>
    </row>
    <row r="80" spans="1:10" ht="2.25" customHeight="1">
      <c r="A80" s="550">
        <v>49</v>
      </c>
      <c r="B80" s="548"/>
      <c r="C80" s="548"/>
      <c r="D80" s="548"/>
    </row>
    <row r="81" spans="1:10" ht="13.5" thickBot="1">
      <c r="A81" s="546">
        <v>50</v>
      </c>
      <c r="B81" s="547" t="s">
        <v>223</v>
      </c>
      <c r="C81" s="547"/>
      <c r="D81" s="547"/>
      <c r="E81" s="398">
        <f>SUM(E77:E79)</f>
        <v>1442944.7925067218</v>
      </c>
      <c r="F81" s="398" t="e">
        <f t="shared" ref="F81:I81" si="31">SUM(F77:F79)</f>
        <v>#REF!</v>
      </c>
      <c r="G81" s="398" t="e">
        <f t="shared" si="31"/>
        <v>#REF!</v>
      </c>
      <c r="H81" s="398">
        <f t="shared" ref="H81" si="32">SUM(H77:H79)</f>
        <v>0</v>
      </c>
      <c r="I81" s="398">
        <f t="shared" si="31"/>
        <v>0</v>
      </c>
      <c r="J81" s="658" t="e">
        <f>SUM(J77:J79)</f>
        <v>#REF!</v>
      </c>
    </row>
    <row r="82" spans="1:10" ht="13.5" thickTop="1">
      <c r="A82" s="546">
        <v>51</v>
      </c>
      <c r="B82" s="533" t="s">
        <v>690</v>
      </c>
      <c r="E82" s="321">
        <f>ROUND(E57/E81,4)</f>
        <v>7.0699999999999999E-2</v>
      </c>
      <c r="G82" s="321" t="e">
        <f>ROUND(G57/G81,4)</f>
        <v>#REF!</v>
      </c>
      <c r="H82" s="321"/>
      <c r="J82" s="321" t="e">
        <f>ROUND(J57/J81,4)</f>
        <v>#REF!</v>
      </c>
    </row>
    <row r="83" spans="1:10">
      <c r="B83" s="502"/>
      <c r="D83" s="690"/>
      <c r="E83" s="501"/>
    </row>
    <row r="85" spans="1:10">
      <c r="E85" s="474"/>
    </row>
    <row r="86" spans="1:10">
      <c r="E86" s="474"/>
    </row>
    <row r="90" spans="1:10">
      <c r="J90" s="442"/>
    </row>
    <row r="91" spans="1:10">
      <c r="J91" s="442"/>
    </row>
    <row r="92" spans="1:10">
      <c r="J92" s="442"/>
    </row>
  </sheetData>
  <mergeCells count="3">
    <mergeCell ref="A5:D5"/>
    <mergeCell ref="E5:J5"/>
    <mergeCell ref="E1:F1"/>
  </mergeCells>
  <pageMargins left="0.75" right="0.51" top="0.75" bottom="0.5" header="0.5" footer="0.35"/>
  <pageSetup scale="74" orientation="portrait" r:id="rId1"/>
  <headerFooter scaleWithDoc="0" alignWithMargins="0">
    <oddHeader xml:space="preserve">&amp;RExhibit No. ____(JSS-2)
</oddHeader>
    <oddFooter xml:space="preserve">&amp;LStaff_DR_091-Supplemental 3 - Attachment F  (09.2015 PF/CC Study - Updated)&amp;RPage &amp;P of &amp;N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dimension ref="A1:AX89"/>
  <sheetViews>
    <sheetView tabSelected="1" zoomScale="130" zoomScaleNormal="130" zoomScaleSheetLayoutView="130" workbookViewId="0">
      <selection activeCell="P59" sqref="P59"/>
    </sheetView>
  </sheetViews>
  <sheetFormatPr defaultColWidth="9.140625" defaultRowHeight="14.25" customHeight="1"/>
  <cols>
    <col min="1" max="1" width="5.140625" style="314" bestFit="1" customWidth="1"/>
    <col min="2" max="2" width="1.7109375" style="314" customWidth="1"/>
    <col min="3" max="3" width="41.42578125" style="314" customWidth="1"/>
    <col min="4" max="4" width="3" style="314" customWidth="1"/>
    <col min="5" max="5" width="15.140625" style="314" customWidth="1"/>
    <col min="6" max="6" width="4.7109375" style="314" hidden="1" customWidth="1"/>
    <col min="7" max="7" width="2.140625" style="314" customWidth="1"/>
    <col min="8" max="8" width="1.7109375" style="26" customWidth="1"/>
    <col min="9" max="9" width="6.85546875" style="26" customWidth="1"/>
    <col min="10" max="10" width="14.140625" style="26" customWidth="1"/>
    <col min="11" max="11" width="12.85546875" style="26" hidden="1" customWidth="1"/>
    <col min="12" max="12" width="12.85546875" style="26" customWidth="1"/>
    <col min="13" max="13" width="18.85546875" style="55" customWidth="1"/>
    <col min="14" max="14" width="14.140625" style="26" customWidth="1"/>
    <col min="15" max="15" width="14" style="26" customWidth="1"/>
    <col min="16" max="16" width="8.7109375" style="26" hidden="1" customWidth="1"/>
    <col min="17" max="17" width="14.7109375" style="26" hidden="1" customWidth="1"/>
    <col min="18" max="18" width="9.140625" style="26" hidden="1" customWidth="1"/>
    <col min="19" max="19" width="10.42578125" style="26" hidden="1" customWidth="1"/>
    <col min="20" max="21" width="9.5703125" style="26" hidden="1" customWidth="1"/>
    <col min="22" max="22" width="11.42578125" style="26" hidden="1" customWidth="1"/>
    <col min="23" max="23" width="10.42578125" style="26" hidden="1" customWidth="1"/>
    <col min="24" max="24" width="9.140625" style="26" hidden="1" customWidth="1"/>
    <col min="25" max="25" width="17" style="26" hidden="1" customWidth="1"/>
    <col min="26" max="26" width="18" style="26" customWidth="1"/>
    <col min="27" max="27" width="17" style="26" customWidth="1"/>
    <col min="28" max="28" width="15.85546875" style="26" customWidth="1"/>
    <col min="29" max="33" width="9.140625" style="26"/>
    <col min="34" max="34" width="11.42578125" style="26" customWidth="1"/>
    <col min="35" max="16384" width="9.140625" style="26"/>
  </cols>
  <sheetData>
    <row r="1" spans="1:50" ht="19.5" customHeight="1">
      <c r="A1" s="105"/>
      <c r="B1" s="105"/>
      <c r="C1" s="105"/>
      <c r="D1" s="105"/>
      <c r="E1" s="105"/>
      <c r="F1" s="105"/>
      <c r="G1" s="105"/>
      <c r="I1" s="1107"/>
      <c r="J1" s="1108"/>
      <c r="K1" s="1108"/>
      <c r="L1" s="1108"/>
      <c r="M1" s="1108"/>
      <c r="N1" s="1109"/>
      <c r="O1" s="504"/>
    </row>
    <row r="2" spans="1:50" ht="14.25" customHeight="1">
      <c r="A2" s="503" t="s">
        <v>790</v>
      </c>
      <c r="B2" s="105"/>
      <c r="C2" s="105"/>
      <c r="D2" s="105"/>
      <c r="E2" s="105"/>
      <c r="F2" s="105"/>
      <c r="G2" s="105"/>
      <c r="I2" s="1110" t="s">
        <v>791</v>
      </c>
      <c r="J2" s="1111"/>
      <c r="K2" s="1111"/>
      <c r="L2" s="1111"/>
      <c r="M2" s="1111"/>
      <c r="N2" s="1112"/>
      <c r="O2" s="516"/>
    </row>
    <row r="3" spans="1:50" ht="14.25" customHeight="1">
      <c r="A3" s="1105" t="s">
        <v>255</v>
      </c>
      <c r="B3" s="1105"/>
      <c r="C3" s="1105"/>
      <c r="D3" s="1105"/>
      <c r="E3" s="1105"/>
      <c r="F3" s="1105"/>
      <c r="G3" s="105"/>
      <c r="I3" s="1110" t="s">
        <v>255</v>
      </c>
      <c r="J3" s="1111"/>
      <c r="K3" s="1111"/>
      <c r="L3" s="1111"/>
      <c r="M3" s="1111"/>
      <c r="N3" s="1112"/>
      <c r="O3" s="516"/>
      <c r="AO3" s="507"/>
    </row>
    <row r="4" spans="1:50" ht="14.25" customHeight="1" thickBot="1">
      <c r="A4" s="1105" t="str">
        <f>'Tab 4 Adjustment Details'!A5</f>
        <v>TWELVE MONTHS ENDED DECEMBER 31, 2016</v>
      </c>
      <c r="B4" s="1105"/>
      <c r="C4" s="1105"/>
      <c r="D4" s="1105"/>
      <c r="E4" s="1105"/>
      <c r="F4" s="1105"/>
      <c r="G4" s="105"/>
      <c r="I4" s="1113"/>
      <c r="J4" s="1114"/>
      <c r="K4" s="1114"/>
      <c r="L4" s="1114"/>
      <c r="M4" s="1114"/>
      <c r="N4" s="1115"/>
      <c r="O4" s="617"/>
    </row>
    <row r="5" spans="1:50" ht="14.25" customHeight="1">
      <c r="A5" s="1105"/>
      <c r="B5" s="1105"/>
      <c r="C5" s="1105"/>
      <c r="D5" s="1105"/>
      <c r="E5" s="1105"/>
      <c r="F5" s="1105"/>
      <c r="G5" s="489"/>
      <c r="I5" s="661" t="s">
        <v>792</v>
      </c>
      <c r="J5" s="662"/>
      <c r="K5" s="662"/>
      <c r="L5" s="662"/>
      <c r="M5" s="662"/>
      <c r="N5" s="663"/>
      <c r="O5" s="447"/>
      <c r="T5" s="507" t="s">
        <v>683</v>
      </c>
      <c r="Y5" s="28"/>
      <c r="Z5" s="28"/>
      <c r="AA5" s="28"/>
      <c r="AR5" s="507"/>
    </row>
    <row r="6" spans="1:50" ht="32.25" customHeight="1">
      <c r="A6" s="764"/>
      <c r="B6" s="764"/>
      <c r="C6" s="764"/>
      <c r="D6" s="764"/>
      <c r="E6" s="1117" t="s">
        <v>788</v>
      </c>
      <c r="F6" s="1117"/>
      <c r="G6" s="36"/>
      <c r="H6" s="184"/>
      <c r="I6" s="664"/>
      <c r="J6" s="665"/>
      <c r="K6" s="665"/>
      <c r="L6" s="666"/>
      <c r="M6" s="667"/>
      <c r="N6" s="668"/>
      <c r="O6" s="646"/>
      <c r="T6" s="507"/>
      <c r="Y6" s="28"/>
      <c r="Z6" s="28"/>
      <c r="AA6" s="28"/>
      <c r="AR6" s="507"/>
    </row>
    <row r="7" spans="1:50" ht="14.25" customHeight="1">
      <c r="A7" s="645"/>
      <c r="B7" s="645"/>
      <c r="C7" s="1116"/>
      <c r="D7" s="1116"/>
      <c r="E7" s="1078" t="s">
        <v>771</v>
      </c>
      <c r="F7" s="1078"/>
      <c r="G7" s="26"/>
      <c r="I7" s="664"/>
      <c r="J7" s="669"/>
      <c r="K7" s="666"/>
      <c r="L7" s="666" t="s">
        <v>122</v>
      </c>
      <c r="M7" s="666"/>
      <c r="N7" s="668" t="s">
        <v>123</v>
      </c>
      <c r="O7" s="646"/>
      <c r="T7" s="507"/>
      <c r="Y7" s="28"/>
      <c r="Z7" s="28"/>
      <c r="AA7" s="28"/>
      <c r="AR7" s="507"/>
    </row>
    <row r="8" spans="1:50" ht="14.25" customHeight="1">
      <c r="A8" s="645"/>
      <c r="B8" s="645"/>
      <c r="C8" s="645"/>
      <c r="D8" s="645"/>
      <c r="E8" s="1079">
        <v>43221</v>
      </c>
      <c r="F8" s="1080"/>
      <c r="G8" s="39"/>
      <c r="H8" s="39"/>
      <c r="I8" s="664"/>
      <c r="J8" s="670" t="s">
        <v>125</v>
      </c>
      <c r="K8" s="666"/>
      <c r="L8" s="670" t="s">
        <v>127</v>
      </c>
      <c r="M8" s="670" t="s">
        <v>128</v>
      </c>
      <c r="N8" s="671" t="s">
        <v>128</v>
      </c>
      <c r="O8" s="448"/>
      <c r="Y8" s="28"/>
      <c r="Z8" s="28"/>
      <c r="AA8" s="28"/>
      <c r="AX8" s="507"/>
    </row>
    <row r="9" spans="1:50" ht="14.25" customHeight="1">
      <c r="A9" s="296" t="s">
        <v>120</v>
      </c>
      <c r="B9" s="296"/>
      <c r="C9" s="296"/>
      <c r="D9" s="296"/>
      <c r="E9" s="1078" t="s">
        <v>121</v>
      </c>
      <c r="F9" s="1078" t="s">
        <v>121</v>
      </c>
      <c r="G9" s="26"/>
      <c r="I9" s="664"/>
      <c r="J9" s="665"/>
      <c r="K9" s="665"/>
      <c r="L9" s="665"/>
      <c r="M9" s="667"/>
      <c r="N9" s="672"/>
      <c r="O9" s="448"/>
    </row>
    <row r="10" spans="1:50" ht="14.25" customHeight="1">
      <c r="A10" s="108" t="s">
        <v>21</v>
      </c>
      <c r="B10" s="296"/>
      <c r="C10" s="108" t="s">
        <v>80</v>
      </c>
      <c r="D10" s="297"/>
      <c r="E10" s="1080" t="s">
        <v>124</v>
      </c>
      <c r="F10" s="1080" t="s">
        <v>124</v>
      </c>
      <c r="G10" s="26"/>
      <c r="I10" s="664"/>
      <c r="J10" s="669" t="s">
        <v>636</v>
      </c>
      <c r="K10" s="673"/>
      <c r="L10" s="674">
        <f>100%-L12</f>
        <v>0.51600000000000001</v>
      </c>
      <c r="M10" s="763">
        <f>+'Tab 1 Rev. Req. Summary'!AJ10</f>
        <v>5.1948000000000001E-2</v>
      </c>
      <c r="N10" s="676">
        <f>ROUND(L10*M10,4)</f>
        <v>2.6800000000000001E-2</v>
      </c>
      <c r="O10" s="448"/>
      <c r="Q10" s="306" t="s">
        <v>248</v>
      </c>
      <c r="R10" s="307"/>
      <c r="S10" s="308" t="s">
        <v>145</v>
      </c>
      <c r="T10" s="309"/>
      <c r="U10" s="296" t="s">
        <v>144</v>
      </c>
    </row>
    <row r="11" spans="1:50" ht="14.25" customHeight="1">
      <c r="A11" s="26"/>
      <c r="B11" s="26"/>
      <c r="C11" s="26"/>
      <c r="D11" s="26"/>
      <c r="E11" s="26"/>
      <c r="F11" s="26"/>
      <c r="G11" s="498"/>
      <c r="H11" s="28"/>
      <c r="I11" s="664"/>
      <c r="J11" s="669"/>
      <c r="K11" s="677"/>
      <c r="L11" s="674"/>
      <c r="M11" s="675"/>
      <c r="N11" s="676"/>
      <c r="O11" s="152"/>
      <c r="Q11" s="317" t="s">
        <v>249</v>
      </c>
      <c r="R11" s="297"/>
      <c r="S11" s="296" t="s">
        <v>122</v>
      </c>
      <c r="T11" s="296" t="s">
        <v>144</v>
      </c>
      <c r="U11" s="296" t="s">
        <v>123</v>
      </c>
    </row>
    <row r="12" spans="1:50" ht="14.25" customHeight="1">
      <c r="A12" s="298">
        <v>1</v>
      </c>
      <c r="B12" s="26"/>
      <c r="C12" s="26" t="s">
        <v>184</v>
      </c>
      <c r="D12" s="26"/>
      <c r="E12" s="467">
        <f>'Tab 4 Adjustment Details'!AY82</f>
        <v>1445390.1135829836</v>
      </c>
      <c r="F12" s="467" t="e">
        <f>'Tab 4 Adjustment Details'!#REF!</f>
        <v>#REF!</v>
      </c>
      <c r="G12" s="499"/>
      <c r="H12" s="36"/>
      <c r="I12" s="664"/>
      <c r="J12" s="669" t="s">
        <v>11</v>
      </c>
      <c r="K12" s="677"/>
      <c r="L12" s="674">
        <v>0.48399999999999999</v>
      </c>
      <c r="M12" s="675">
        <v>9.0999999999999998E-2</v>
      </c>
      <c r="N12" s="676">
        <f>ROUND(L12*M12,4)</f>
        <v>4.3999999999999997E-2</v>
      </c>
      <c r="O12" s="451" t="s">
        <v>241</v>
      </c>
      <c r="Q12" s="108" t="s">
        <v>125</v>
      </c>
      <c r="R12" s="297"/>
      <c r="S12" s="108" t="s">
        <v>127</v>
      </c>
      <c r="T12" s="108" t="s">
        <v>128</v>
      </c>
      <c r="U12" s="108" t="s">
        <v>128</v>
      </c>
    </row>
    <row r="13" spans="1:50" ht="14.25" customHeight="1">
      <c r="A13" s="298"/>
      <c r="B13" s="26"/>
      <c r="C13" s="26"/>
      <c r="D13" s="26"/>
      <c r="E13" s="39"/>
      <c r="F13" s="39"/>
      <c r="G13" s="152"/>
      <c r="H13" s="28"/>
      <c r="I13" s="664"/>
      <c r="J13" s="669"/>
      <c r="K13" s="677"/>
      <c r="L13" s="678"/>
      <c r="M13" s="679"/>
      <c r="N13" s="676"/>
      <c r="O13" s="452">
        <f>SUM(N10:N11)</f>
        <v>2.6800000000000001E-2</v>
      </c>
      <c r="Q13" s="309"/>
      <c r="R13" s="307"/>
      <c r="S13" s="309"/>
      <c r="T13" s="309"/>
      <c r="U13" s="309"/>
    </row>
    <row r="14" spans="1:50" ht="14.25" customHeight="1" thickBot="1">
      <c r="A14" s="298">
        <v>2</v>
      </c>
      <c r="B14" s="26"/>
      <c r="C14" s="26" t="s">
        <v>130</v>
      </c>
      <c r="D14" s="26"/>
      <c r="E14" s="310">
        <f>$N$14</f>
        <v>7.0800000000000002E-2</v>
      </c>
      <c r="F14" s="196"/>
      <c r="G14" s="236"/>
      <c r="H14" s="28"/>
      <c r="I14" s="664"/>
      <c r="J14" s="669" t="s">
        <v>137</v>
      </c>
      <c r="K14" s="673"/>
      <c r="L14" s="680">
        <f>SUM(L10:L12)</f>
        <v>1</v>
      </c>
      <c r="M14" s="679"/>
      <c r="N14" s="681">
        <f>SUM(N10:N12)</f>
        <v>7.0800000000000002E-2</v>
      </c>
      <c r="O14" s="152"/>
      <c r="Q14" s="26" t="s">
        <v>129</v>
      </c>
      <c r="R14" s="36"/>
      <c r="S14" s="166">
        <v>0.4415</v>
      </c>
      <c r="T14" s="166">
        <v>7.7499999999999999E-2</v>
      </c>
      <c r="U14" s="166">
        <f>ROUND(S14*T14,4)</f>
        <v>3.4200000000000001E-2</v>
      </c>
    </row>
    <row r="15" spans="1:50" ht="14.25" customHeight="1" thickTop="1" thickBot="1">
      <c r="A15" s="298"/>
      <c r="B15" s="26"/>
      <c r="C15" s="26"/>
      <c r="D15" s="26"/>
      <c r="E15" s="196"/>
      <c r="F15" s="196"/>
      <c r="G15" s="152"/>
      <c r="H15" s="28"/>
      <c r="I15" s="682"/>
      <c r="J15" s="683"/>
      <c r="K15" s="684"/>
      <c r="L15" s="685"/>
      <c r="M15" s="686"/>
      <c r="N15" s="687"/>
      <c r="O15" s="448"/>
      <c r="R15" s="110"/>
      <c r="S15" s="166"/>
      <c r="T15" s="166"/>
      <c r="U15" s="166"/>
    </row>
    <row r="16" spans="1:50" ht="14.25" customHeight="1">
      <c r="A16" s="298">
        <v>3</v>
      </c>
      <c r="B16" s="26"/>
      <c r="C16" s="26" t="s">
        <v>131</v>
      </c>
      <c r="D16" s="26"/>
      <c r="E16" s="202">
        <f>ROUND(E12*E14,4)</f>
        <v>102333.62</v>
      </c>
      <c r="F16" s="202" t="e">
        <f>ROUND(F12*F14,4)</f>
        <v>#REF!</v>
      </c>
      <c r="G16" s="500"/>
      <c r="H16" s="28"/>
      <c r="I16" s="551"/>
      <c r="O16" s="448"/>
      <c r="Q16" s="318" t="s">
        <v>132</v>
      </c>
      <c r="R16" s="319"/>
      <c r="S16" s="320">
        <v>3.39E-2</v>
      </c>
      <c r="T16" s="320">
        <v>7.0800000000000002E-2</v>
      </c>
      <c r="U16" s="320">
        <f>ROUND(S16*T16,4)</f>
        <v>2.3999999999999998E-3</v>
      </c>
    </row>
    <row r="17" spans="1:29" ht="14.25" customHeight="1">
      <c r="A17" s="298"/>
      <c r="B17" s="26"/>
      <c r="C17" s="26"/>
      <c r="D17" s="26"/>
      <c r="E17" s="39"/>
      <c r="F17" s="39"/>
      <c r="G17" s="315"/>
      <c r="H17" s="28"/>
      <c r="L17" s="155"/>
      <c r="M17" s="155"/>
      <c r="O17" s="448"/>
      <c r="P17" s="155"/>
      <c r="R17" s="110"/>
      <c r="S17" s="166"/>
      <c r="T17" s="166"/>
      <c r="U17" s="166"/>
      <c r="V17" s="312" t="s">
        <v>241</v>
      </c>
      <c r="W17" s="312" t="s">
        <v>242</v>
      </c>
      <c r="AC17" s="239"/>
    </row>
    <row r="18" spans="1:29" ht="14.25" customHeight="1">
      <c r="A18" s="298">
        <v>4</v>
      </c>
      <c r="B18" s="26"/>
      <c r="C18" s="26" t="s">
        <v>135</v>
      </c>
      <c r="D18" s="26"/>
      <c r="E18" s="300">
        <f>'Tab 4 Adjustment Details'!AY57</f>
        <v>126723.61406844697</v>
      </c>
      <c r="F18" s="311" t="e">
        <f>'Tab 4 Adjustment Details'!#REF!</f>
        <v>#REF!</v>
      </c>
      <c r="G18" s="315"/>
      <c r="H18" s="28"/>
      <c r="O18" s="448"/>
      <c r="P18" s="156"/>
      <c r="Q18" s="26" t="s">
        <v>133</v>
      </c>
      <c r="R18" s="110"/>
      <c r="S18" s="166" t="e">
        <f>#REF!</f>
        <v>#REF!</v>
      </c>
      <c r="T18" s="166" t="e">
        <f>#REF!</f>
        <v>#REF!</v>
      </c>
      <c r="U18" s="166" t="e">
        <f>ROUND(S18*T18,4)</f>
        <v>#REF!</v>
      </c>
      <c r="V18" s="313" t="e">
        <f>SUM(U14:U18)</f>
        <v>#REF!</v>
      </c>
      <c r="W18" s="313" t="e">
        <f>U14+U18</f>
        <v>#REF!</v>
      </c>
    </row>
    <row r="19" spans="1:29" ht="14.25" customHeight="1">
      <c r="A19" s="298"/>
      <c r="B19" s="26"/>
      <c r="C19" s="26"/>
      <c r="D19" s="26"/>
      <c r="E19" s="26"/>
      <c r="F19" s="26"/>
      <c r="G19" s="315"/>
      <c r="H19" s="28"/>
      <c r="O19" s="28"/>
      <c r="R19" s="110"/>
      <c r="S19" s="166"/>
      <c r="T19" s="166"/>
      <c r="U19" s="166"/>
      <c r="W19" s="157"/>
    </row>
    <row r="20" spans="1:29" ht="14.25" customHeight="1">
      <c r="A20" s="298">
        <v>5</v>
      </c>
      <c r="B20" s="26"/>
      <c r="C20" s="26" t="s">
        <v>136</v>
      </c>
      <c r="D20" s="26"/>
      <c r="E20" s="39">
        <f>E16-E18</f>
        <v>-24389.994068446977</v>
      </c>
      <c r="F20" s="39" t="e">
        <f t="shared" ref="F20" si="0">F16-F18</f>
        <v>#REF!</v>
      </c>
      <c r="G20" s="315"/>
      <c r="H20" s="28"/>
      <c r="J20" s="28"/>
      <c r="Q20" s="26" t="s">
        <v>134</v>
      </c>
      <c r="R20" s="110"/>
      <c r="S20" s="166"/>
      <c r="T20" s="166"/>
      <c r="U20" s="166">
        <v>0</v>
      </c>
    </row>
    <row r="21" spans="1:29" ht="14.25" customHeight="1">
      <c r="A21" s="298"/>
      <c r="B21" s="26"/>
      <c r="C21" s="26"/>
      <c r="D21" s="26"/>
      <c r="E21" s="26"/>
      <c r="F21" s="26"/>
      <c r="G21" s="315"/>
      <c r="H21" s="28"/>
      <c r="J21" s="304"/>
      <c r="K21" s="152"/>
      <c r="L21" s="152"/>
      <c r="M21" s="191"/>
      <c r="N21" s="152"/>
      <c r="O21" s="152"/>
      <c r="R21" s="110"/>
      <c r="S21" s="166"/>
      <c r="T21" s="166"/>
      <c r="U21" s="166"/>
    </row>
    <row r="22" spans="1:29" ht="11.25" customHeight="1">
      <c r="A22" s="298">
        <v>6</v>
      </c>
      <c r="B22" s="26"/>
      <c r="C22" s="26" t="s">
        <v>138</v>
      </c>
      <c r="D22" s="26"/>
      <c r="E22" s="487">
        <f>+IF(I22=1,'Tab 3 Conversion Factor'!G24,'Tab 3 Conversion Factor'!E24)</f>
        <v>0.75282499999999997</v>
      </c>
      <c r="F22" s="487">
        <f>'Tab 3 Conversion Factor'!G24</f>
        <v>0.75282499999999997</v>
      </c>
      <c r="G22" s="315"/>
      <c r="H22" s="28"/>
      <c r="I22" s="1077">
        <v>1</v>
      </c>
      <c r="J22" s="152"/>
      <c r="K22" s="152"/>
      <c r="L22" s="152"/>
      <c r="M22" s="191"/>
      <c r="N22" s="152"/>
      <c r="O22" s="152"/>
      <c r="Q22" s="26" t="s">
        <v>11</v>
      </c>
      <c r="R22" s="110"/>
      <c r="S22" s="166">
        <f>L12</f>
        <v>0.48399999999999999</v>
      </c>
      <c r="T22" s="166">
        <f>M12</f>
        <v>9.0999999999999998E-2</v>
      </c>
      <c r="U22" s="166">
        <f>ROUND(S22*T22,4)</f>
        <v>4.3999999999999997E-2</v>
      </c>
    </row>
    <row r="23" spans="1:29" ht="14.25" customHeight="1" thickBot="1">
      <c r="A23" s="298"/>
      <c r="B23" s="26"/>
      <c r="C23" s="26"/>
      <c r="D23" s="26"/>
      <c r="E23" s="642"/>
      <c r="F23" s="642">
        <v>2017</v>
      </c>
      <c r="G23" s="315"/>
      <c r="H23" s="28"/>
      <c r="I23" s="152"/>
      <c r="J23" s="236"/>
      <c r="K23" s="236"/>
      <c r="L23" s="236"/>
      <c r="M23" s="191"/>
      <c r="N23" s="152"/>
      <c r="O23" s="152"/>
      <c r="R23" s="110"/>
      <c r="S23" s="83"/>
      <c r="T23" s="83"/>
      <c r="U23" s="166"/>
    </row>
    <row r="24" spans="1:29" ht="14.25" customHeight="1" thickBot="1">
      <c r="A24" s="298">
        <v>7</v>
      </c>
      <c r="B24" s="26"/>
      <c r="C24" s="26" t="s">
        <v>730</v>
      </c>
      <c r="D24" s="26"/>
      <c r="E24" s="704">
        <f>ROUND(E20/E22,3)</f>
        <v>-32397.96</v>
      </c>
      <c r="F24" s="660" t="e">
        <f t="shared" ref="F24" si="1">ROUND(F20/F22,0)</f>
        <v>#REF!</v>
      </c>
      <c r="G24" s="315"/>
      <c r="H24" s="28"/>
      <c r="I24" s="445"/>
      <c r="J24" s="236"/>
      <c r="K24" s="236"/>
      <c r="L24" s="236"/>
      <c r="M24" s="191"/>
      <c r="N24" s="152"/>
      <c r="O24" s="152"/>
      <c r="P24" s="152"/>
      <c r="Q24" s="152"/>
      <c r="R24" s="181"/>
      <c r="S24" s="443"/>
      <c r="T24" s="443"/>
      <c r="U24" s="444"/>
      <c r="V24" s="152"/>
      <c r="W24" s="152"/>
      <c r="X24" s="152"/>
      <c r="AC24" s="239"/>
    </row>
    <row r="25" spans="1:29" ht="14.25" customHeight="1">
      <c r="A25" s="298"/>
      <c r="B25" s="309"/>
      <c r="C25" s="26"/>
      <c r="D25" s="26"/>
      <c r="E25" s="39"/>
      <c r="F25" s="26"/>
      <c r="G25" s="315"/>
      <c r="H25" s="28"/>
      <c r="I25" s="152"/>
      <c r="J25" s="236"/>
      <c r="K25" s="236"/>
      <c r="L25" s="236"/>
      <c r="M25" s="236"/>
      <c r="N25" s="152"/>
      <c r="O25" s="152"/>
      <c r="P25" s="152"/>
      <c r="Q25" s="152"/>
      <c r="R25" s="181"/>
      <c r="S25" s="443"/>
      <c r="T25" s="443"/>
      <c r="U25" s="444"/>
      <c r="V25" s="152"/>
      <c r="W25" s="152"/>
      <c r="X25" s="152"/>
    </row>
    <row r="26" spans="1:29" ht="14.25" customHeight="1">
      <c r="A26" s="298">
        <v>8</v>
      </c>
      <c r="B26" s="309"/>
      <c r="C26" s="26" t="s">
        <v>731</v>
      </c>
      <c r="D26" s="26"/>
      <c r="E26" s="36">
        <f>'Tab 4 Adjustment Details'!AY14+'Tab 4 Adjustment Details'!AY15</f>
        <v>492134</v>
      </c>
      <c r="F26" s="36" t="e">
        <f>'Tab 4 Adjustment Details'!#REF!+'Tab 4 Adjustment Details'!#REF!</f>
        <v>#REF!</v>
      </c>
      <c r="G26" s="315"/>
      <c r="H26" s="28"/>
      <c r="I26" s="446"/>
      <c r="J26" s="646"/>
      <c r="K26" s="646"/>
      <c r="L26" s="646"/>
      <c r="M26" s="646"/>
      <c r="N26" s="646"/>
      <c r="O26" s="152"/>
      <c r="P26" s="152"/>
      <c r="Q26" s="152"/>
      <c r="R26" s="181"/>
      <c r="S26" s="443"/>
      <c r="T26" s="443"/>
      <c r="U26" s="444"/>
      <c r="V26" s="152"/>
      <c r="W26" s="152"/>
      <c r="X26" s="152"/>
    </row>
    <row r="27" spans="1:29" ht="14.25" customHeight="1">
      <c r="A27" s="298"/>
      <c r="B27" s="309"/>
      <c r="C27" s="26"/>
      <c r="D27" s="26"/>
      <c r="E27" s="26"/>
      <c r="F27" s="26"/>
      <c r="G27" s="315"/>
      <c r="H27" s="28"/>
      <c r="I27" s="448"/>
      <c r="J27" s="448"/>
      <c r="K27" s="448"/>
      <c r="L27" s="646"/>
      <c r="M27" s="449"/>
      <c r="N27" s="646"/>
      <c r="O27" s="152"/>
      <c r="P27" s="152"/>
      <c r="Q27" s="152"/>
      <c r="R27" s="236"/>
      <c r="S27" s="444"/>
      <c r="T27" s="443"/>
      <c r="U27" s="444"/>
      <c r="V27" s="152"/>
      <c r="W27" s="152"/>
      <c r="X27" s="152"/>
    </row>
    <row r="28" spans="1:29" ht="14.25" customHeight="1" thickBot="1">
      <c r="A28" s="298">
        <v>9</v>
      </c>
      <c r="B28" s="309"/>
      <c r="C28" s="26" t="s">
        <v>140</v>
      </c>
      <c r="D28" s="26"/>
      <c r="E28" s="490">
        <f>ROUND(E24/E26,4)</f>
        <v>-6.5799999999999997E-2</v>
      </c>
      <c r="F28" s="490" t="e">
        <f t="shared" ref="F28" si="2">ROUND(F24/F26,4)</f>
        <v>#REF!</v>
      </c>
      <c r="G28" s="315"/>
      <c r="H28" s="28"/>
      <c r="I28" s="448"/>
      <c r="J28" s="152"/>
      <c r="K28" s="646"/>
      <c r="L28" s="646"/>
      <c r="M28" s="646"/>
      <c r="N28" s="646"/>
      <c r="O28" s="646"/>
      <c r="P28" s="152"/>
      <c r="Q28" s="152"/>
      <c r="R28" s="152"/>
      <c r="S28" s="152"/>
      <c r="T28" s="152"/>
      <c r="U28" s="152"/>
      <c r="V28" s="152"/>
      <c r="W28" s="152"/>
      <c r="X28" s="152"/>
    </row>
    <row r="29" spans="1:29" ht="14.25" customHeight="1" thickTop="1">
      <c r="E29" s="315"/>
      <c r="F29" s="315"/>
      <c r="G29" s="315"/>
      <c r="H29" s="28"/>
      <c r="I29" s="448"/>
      <c r="J29" s="646"/>
      <c r="K29" s="646"/>
      <c r="L29" s="646"/>
      <c r="M29" s="646"/>
      <c r="N29" s="646"/>
      <c r="O29" s="448"/>
      <c r="P29" s="152"/>
      <c r="Q29" s="152"/>
      <c r="R29" s="152"/>
      <c r="S29" s="152"/>
      <c r="T29" s="152"/>
      <c r="U29" s="152"/>
      <c r="V29" s="152"/>
      <c r="W29" s="152"/>
      <c r="X29" s="152"/>
    </row>
    <row r="30" spans="1:29" ht="14.25" customHeight="1">
      <c r="A30" s="626">
        <v>10</v>
      </c>
      <c r="B30" s="309"/>
      <c r="C30" s="26" t="s">
        <v>732</v>
      </c>
      <c r="D30" s="26"/>
      <c r="E30" s="236">
        <v>511823</v>
      </c>
      <c r="F30" s="36">
        <v>505346</v>
      </c>
      <c r="G30" s="315"/>
      <c r="H30" s="28"/>
      <c r="I30" s="448"/>
      <c r="J30" s="448"/>
      <c r="K30" s="448"/>
      <c r="L30" s="448"/>
      <c r="M30" s="449"/>
      <c r="N30" s="448"/>
      <c r="O30" s="448"/>
      <c r="P30" s="152"/>
      <c r="Q30" s="152"/>
      <c r="R30" s="152"/>
      <c r="S30" s="152"/>
      <c r="T30" s="152"/>
      <c r="U30" s="152"/>
      <c r="V30" s="152"/>
      <c r="W30" s="152"/>
      <c r="X30" s="152"/>
    </row>
    <row r="31" spans="1:29" ht="14.25" customHeight="1">
      <c r="A31" s="626"/>
      <c r="B31" s="309"/>
      <c r="C31" s="26"/>
      <c r="D31" s="26"/>
      <c r="E31" s="163"/>
      <c r="F31" s="26"/>
      <c r="G31" s="315"/>
      <c r="H31" s="28"/>
      <c r="I31" s="448"/>
      <c r="J31" s="152"/>
      <c r="K31" s="236"/>
      <c r="L31" s="444"/>
      <c r="M31" s="450"/>
      <c r="N31" s="444"/>
      <c r="O31" s="448"/>
      <c r="P31" s="152"/>
      <c r="Q31" s="152"/>
      <c r="R31" s="152"/>
      <c r="S31" s="152"/>
      <c r="T31" s="152"/>
      <c r="U31" s="152"/>
      <c r="V31" s="152"/>
      <c r="W31" s="152"/>
      <c r="X31" s="152"/>
    </row>
    <row r="32" spans="1:29" ht="14.25" customHeight="1" thickBot="1">
      <c r="A32" s="626">
        <v>11</v>
      </c>
      <c r="B32" s="309"/>
      <c r="C32" s="26" t="s">
        <v>140</v>
      </c>
      <c r="D32" s="26"/>
      <c r="E32" s="692">
        <f>ROUND(E24/E30,4)</f>
        <v>-6.3299999999999995E-2</v>
      </c>
      <c r="F32" s="490" t="e">
        <f t="shared" ref="F32" si="3">ROUND(F24/F30,4)</f>
        <v>#REF!</v>
      </c>
      <c r="G32" s="315"/>
      <c r="H32" s="28"/>
      <c r="I32" s="448"/>
      <c r="J32" s="152"/>
      <c r="K32" s="181"/>
      <c r="L32" s="444"/>
      <c r="M32" s="450"/>
      <c r="N32" s="444"/>
      <c r="O32" s="152"/>
      <c r="P32" s="152"/>
      <c r="Q32" s="152"/>
      <c r="R32" s="152"/>
      <c r="S32" s="152"/>
      <c r="T32" s="152"/>
      <c r="U32" s="152"/>
      <c r="V32" s="152"/>
      <c r="W32" s="152"/>
      <c r="X32" s="152"/>
    </row>
    <row r="33" spans="1:24" ht="14.25" customHeight="1" thickTop="1">
      <c r="A33" s="315"/>
      <c r="B33" s="315"/>
      <c r="C33" s="315"/>
      <c r="D33" s="315"/>
      <c r="E33" s="316"/>
      <c r="F33" s="315"/>
      <c r="G33" s="315"/>
      <c r="H33" s="28"/>
      <c r="I33" s="448"/>
      <c r="J33" s="152"/>
      <c r="K33" s="553"/>
      <c r="L33" s="444"/>
      <c r="M33" s="450"/>
      <c r="N33" s="444"/>
      <c r="O33" s="152"/>
      <c r="P33" s="152"/>
      <c r="Q33" s="152"/>
      <c r="R33" s="152"/>
      <c r="S33" s="152"/>
      <c r="T33" s="152"/>
      <c r="U33" s="152"/>
      <c r="V33" s="152"/>
      <c r="W33" s="152"/>
      <c r="X33" s="152"/>
    </row>
    <row r="34" spans="1:24" ht="14.25" customHeight="1">
      <c r="A34" s="315"/>
      <c r="B34" s="315"/>
      <c r="C34" s="315"/>
      <c r="D34" s="315"/>
      <c r="E34" s="316"/>
      <c r="F34" s="315"/>
      <c r="G34" s="315"/>
      <c r="H34" s="28"/>
      <c r="I34" s="448"/>
      <c r="J34" s="152"/>
      <c r="K34" s="553"/>
      <c r="L34" s="444"/>
      <c r="M34" s="450"/>
      <c r="N34" s="444"/>
      <c r="O34" s="152"/>
      <c r="P34" s="152"/>
      <c r="Q34" s="152"/>
      <c r="R34" s="152"/>
      <c r="S34" s="152"/>
      <c r="T34" s="152"/>
      <c r="U34" s="152"/>
      <c r="V34" s="152"/>
      <c r="W34" s="152"/>
      <c r="X34" s="152"/>
    </row>
    <row r="35" spans="1:24" s="28" customFormat="1" ht="14.25" customHeight="1">
      <c r="A35" s="315"/>
      <c r="B35" s="315"/>
      <c r="C35" s="315"/>
      <c r="D35" s="315"/>
      <c r="E35" s="316"/>
      <c r="F35" s="315"/>
      <c r="G35" s="315"/>
      <c r="I35" s="448"/>
      <c r="J35" s="152"/>
      <c r="K35" s="553"/>
      <c r="L35" s="444"/>
      <c r="M35" s="450"/>
      <c r="N35" s="444"/>
      <c r="O35" s="451"/>
      <c r="P35" s="152"/>
      <c r="Q35" s="152"/>
      <c r="R35" s="152"/>
      <c r="S35" s="152"/>
      <c r="T35" s="152"/>
      <c r="U35" s="152"/>
      <c r="V35" s="152"/>
      <c r="W35" s="152"/>
      <c r="X35" s="152"/>
    </row>
    <row r="36" spans="1:24" s="28" customFormat="1" ht="14.25" customHeight="1">
      <c r="A36" s="315"/>
      <c r="B36" s="749"/>
      <c r="C36" s="749"/>
      <c r="D36" s="315"/>
      <c r="E36" s="478"/>
      <c r="F36" s="315"/>
      <c r="G36" s="314"/>
      <c r="H36" s="26"/>
      <c r="I36" s="448"/>
      <c r="J36" s="152"/>
      <c r="K36" s="553"/>
      <c r="L36" s="443"/>
      <c r="M36" s="453"/>
      <c r="N36" s="444"/>
      <c r="O36" s="452"/>
      <c r="P36" s="152"/>
      <c r="Q36" s="152"/>
      <c r="R36" s="152"/>
      <c r="S36" s="152"/>
      <c r="T36" s="152"/>
      <c r="U36" s="152"/>
      <c r="V36" s="152"/>
      <c r="W36" s="152"/>
      <c r="X36" s="152"/>
    </row>
    <row r="37" spans="1:24" s="28" customFormat="1" ht="14.25" customHeight="1">
      <c r="A37" s="315"/>
      <c r="B37" s="749"/>
      <c r="C37" s="749"/>
      <c r="D37" s="315"/>
      <c r="E37" s="478"/>
      <c r="F37" s="315"/>
      <c r="G37" s="314"/>
      <c r="H37" s="26"/>
      <c r="I37" s="448"/>
      <c r="J37" s="152"/>
      <c r="K37" s="236"/>
      <c r="L37" s="444"/>
      <c r="M37" s="453"/>
      <c r="N37" s="444"/>
      <c r="O37" s="152"/>
      <c r="P37" s="152"/>
      <c r="Q37" s="152"/>
      <c r="R37" s="152"/>
      <c r="S37" s="152"/>
      <c r="T37" s="152"/>
      <c r="U37" s="152"/>
      <c r="V37" s="152"/>
      <c r="W37" s="152"/>
      <c r="X37" s="152"/>
    </row>
    <row r="38" spans="1:24" s="28" customFormat="1" ht="14.25" customHeight="1">
      <c r="A38" s="315"/>
      <c r="B38" s="750"/>
      <c r="C38" s="749"/>
      <c r="D38" s="315"/>
      <c r="E38" s="751"/>
      <c r="F38" s="315"/>
      <c r="G38" s="314"/>
      <c r="H38" s="26"/>
      <c r="I38" s="448"/>
      <c r="J38" s="152"/>
      <c r="K38" s="553"/>
      <c r="L38" s="444"/>
      <c r="M38" s="450"/>
      <c r="N38" s="444"/>
      <c r="O38" s="448"/>
      <c r="P38" s="152"/>
      <c r="Q38" s="152"/>
      <c r="R38" s="152"/>
      <c r="S38" s="152"/>
      <c r="T38" s="152"/>
      <c r="U38" s="152"/>
      <c r="V38" s="152"/>
      <c r="W38" s="152"/>
      <c r="X38" s="152"/>
    </row>
    <row r="39" spans="1:24" s="28" customFormat="1" ht="14.25" customHeight="1">
      <c r="A39" s="315"/>
      <c r="B39" s="749"/>
      <c r="C39" s="749"/>
      <c r="D39" s="315"/>
      <c r="E39" s="479"/>
      <c r="F39" s="315"/>
      <c r="G39" s="314"/>
      <c r="H39" s="26"/>
      <c r="I39" s="152"/>
      <c r="J39" s="152"/>
      <c r="K39" s="152"/>
      <c r="L39" s="152"/>
      <c r="M39" s="191"/>
      <c r="N39" s="152"/>
      <c r="O39" s="448"/>
      <c r="P39" s="152"/>
      <c r="Q39" s="152"/>
      <c r="R39" s="152"/>
      <c r="S39" s="152"/>
      <c r="T39" s="152"/>
      <c r="U39" s="152"/>
      <c r="V39" s="152"/>
      <c r="W39" s="152"/>
      <c r="X39" s="152"/>
    </row>
    <row r="40" spans="1:24" s="28" customFormat="1" ht="14.25" customHeight="1">
      <c r="A40" s="315"/>
      <c r="B40" s="749"/>
      <c r="C40" s="749"/>
      <c r="D40" s="315"/>
      <c r="E40" s="480"/>
      <c r="F40" s="315"/>
      <c r="G40" s="314"/>
      <c r="H40" s="26"/>
      <c r="I40" s="152"/>
      <c r="J40" s="152"/>
      <c r="K40" s="152"/>
      <c r="L40" s="152"/>
      <c r="M40" s="191"/>
      <c r="N40" s="152"/>
      <c r="O40" s="448"/>
      <c r="P40" s="152"/>
      <c r="Q40" s="152"/>
      <c r="R40" s="152"/>
      <c r="S40" s="152"/>
      <c r="T40" s="152"/>
      <c r="U40" s="152"/>
      <c r="V40" s="152"/>
      <c r="W40" s="152"/>
      <c r="X40" s="152"/>
    </row>
    <row r="41" spans="1:24" s="28" customFormat="1" ht="14.25" customHeight="1">
      <c r="A41" s="315"/>
      <c r="B41" s="749"/>
      <c r="C41" s="749"/>
      <c r="D41" s="315"/>
      <c r="E41" s="479"/>
      <c r="F41" s="315"/>
      <c r="G41" s="314"/>
      <c r="H41" s="26"/>
      <c r="I41" s="152"/>
      <c r="J41" s="152"/>
      <c r="K41" s="152"/>
      <c r="L41" s="152"/>
      <c r="M41" s="191"/>
      <c r="N41" s="253"/>
      <c r="O41" s="152"/>
      <c r="P41" s="152"/>
      <c r="Q41" s="152"/>
      <c r="R41" s="152"/>
      <c r="S41" s="152"/>
      <c r="T41" s="152"/>
      <c r="U41" s="152"/>
      <c r="V41" s="152"/>
      <c r="W41" s="152"/>
      <c r="X41" s="152"/>
    </row>
    <row r="42" spans="1:24" s="28" customFormat="1" ht="14.25" customHeight="1">
      <c r="A42" s="315"/>
      <c r="B42" s="749"/>
      <c r="C42" s="749"/>
      <c r="D42" s="315"/>
      <c r="E42" s="481"/>
      <c r="F42" s="315"/>
      <c r="G42" s="314"/>
      <c r="H42" s="26"/>
      <c r="I42" s="152"/>
      <c r="J42" s="152"/>
      <c r="K42" s="152"/>
      <c r="L42" s="152"/>
      <c r="M42" s="191"/>
      <c r="N42" s="253"/>
      <c r="O42" s="152"/>
      <c r="P42" s="152"/>
      <c r="Q42" s="152"/>
      <c r="R42" s="152"/>
      <c r="S42" s="152"/>
      <c r="T42" s="152"/>
      <c r="U42" s="152"/>
      <c r="V42" s="152"/>
      <c r="W42" s="152"/>
      <c r="X42" s="152"/>
    </row>
    <row r="43" spans="1:24" s="28" customFormat="1" ht="14.25" customHeight="1">
      <c r="A43" s="315"/>
      <c r="B43" s="749"/>
      <c r="C43" s="749"/>
      <c r="D43" s="315"/>
      <c r="E43" s="479"/>
      <c r="F43" s="315"/>
      <c r="G43" s="314"/>
      <c r="H43" s="163"/>
      <c r="I43" s="152"/>
      <c r="J43" s="152"/>
      <c r="K43" s="152"/>
      <c r="L43" s="152"/>
      <c r="M43" s="191"/>
      <c r="N43" s="152"/>
      <c r="O43" s="152"/>
      <c r="P43" s="152"/>
      <c r="Q43" s="152"/>
      <c r="R43" s="152"/>
      <c r="S43" s="152"/>
      <c r="T43" s="152"/>
      <c r="U43" s="152"/>
      <c r="V43" s="152"/>
      <c r="W43" s="152"/>
      <c r="X43" s="152"/>
    </row>
    <row r="44" spans="1:24" s="28" customFormat="1" ht="14.25" customHeight="1">
      <c r="A44" s="315"/>
      <c r="B44" s="749"/>
      <c r="C44" s="749"/>
      <c r="D44" s="315"/>
      <c r="E44" s="482"/>
      <c r="F44" s="315"/>
      <c r="G44" s="314"/>
      <c r="H44" s="26"/>
      <c r="I44" s="454"/>
      <c r="J44" s="152"/>
      <c r="K44" s="152"/>
      <c r="L44" s="152"/>
      <c r="M44" s="191"/>
      <c r="N44" s="253"/>
      <c r="O44" s="152"/>
      <c r="P44" s="152"/>
      <c r="Q44" s="152"/>
      <c r="R44" s="152"/>
      <c r="S44" s="152"/>
      <c r="T44" s="152"/>
      <c r="U44" s="152"/>
      <c r="V44" s="152"/>
      <c r="W44" s="152"/>
      <c r="X44" s="152"/>
    </row>
    <row r="45" spans="1:24" s="28" customFormat="1" ht="14.25" customHeight="1">
      <c r="A45" s="315"/>
      <c r="B45" s="749"/>
      <c r="C45" s="749"/>
      <c r="D45" s="315"/>
      <c r="E45" s="752"/>
      <c r="F45" s="315"/>
      <c r="G45" s="314"/>
      <c r="H45" s="26"/>
      <c r="I45" s="454"/>
      <c r="J45" s="152"/>
      <c r="K45" s="152"/>
      <c r="L45" s="152"/>
      <c r="M45" s="191"/>
      <c r="N45" s="253"/>
      <c r="O45" s="152"/>
      <c r="P45" s="152"/>
      <c r="Q45" s="152"/>
      <c r="R45" s="152"/>
      <c r="S45" s="152"/>
      <c r="T45" s="152"/>
      <c r="U45" s="152"/>
      <c r="V45" s="152"/>
      <c r="W45" s="152"/>
      <c r="X45" s="152"/>
    </row>
    <row r="46" spans="1:24" s="28" customFormat="1" ht="14.25" customHeight="1">
      <c r="A46" s="315"/>
      <c r="B46" s="749"/>
      <c r="C46" s="749"/>
      <c r="D46" s="315"/>
      <c r="E46" s="753"/>
      <c r="F46" s="315"/>
      <c r="G46" s="314"/>
      <c r="H46" s="26"/>
      <c r="I46" s="152"/>
      <c r="J46" s="152"/>
      <c r="K46" s="152"/>
      <c r="L46" s="152"/>
      <c r="M46" s="191"/>
      <c r="N46" s="152"/>
      <c r="O46" s="152"/>
      <c r="P46" s="152"/>
      <c r="Q46" s="152"/>
      <c r="R46" s="152"/>
      <c r="S46" s="152"/>
      <c r="T46" s="152"/>
      <c r="U46" s="152"/>
      <c r="V46" s="152"/>
      <c r="W46" s="152"/>
      <c r="X46" s="152"/>
    </row>
    <row r="47" spans="1:24" ht="14.25" customHeight="1">
      <c r="A47" s="315"/>
      <c r="B47" s="315"/>
      <c r="C47" s="315"/>
      <c r="D47" s="315"/>
      <c r="E47" s="315"/>
      <c r="F47" s="315"/>
      <c r="I47" s="152"/>
      <c r="J47" s="152"/>
      <c r="K47" s="152"/>
      <c r="L47" s="152"/>
      <c r="M47" s="191"/>
      <c r="N47" s="253"/>
      <c r="O47" s="152"/>
      <c r="P47" s="152"/>
      <c r="Q47" s="152"/>
      <c r="R47" s="152"/>
      <c r="S47" s="152"/>
      <c r="T47" s="152"/>
      <c r="U47" s="152"/>
      <c r="V47" s="152"/>
      <c r="W47" s="152"/>
      <c r="X47" s="152"/>
    </row>
    <row r="48" spans="1:24" ht="14.25" customHeight="1">
      <c r="I48" s="152"/>
      <c r="J48" s="152"/>
      <c r="K48" s="152"/>
      <c r="L48" s="152"/>
      <c r="M48" s="191"/>
      <c r="N48" s="253"/>
      <c r="O48" s="152"/>
      <c r="P48" s="152"/>
      <c r="Q48" s="152"/>
      <c r="R48" s="152"/>
      <c r="S48" s="152"/>
      <c r="T48" s="152"/>
      <c r="U48" s="152"/>
      <c r="V48" s="152"/>
      <c r="W48" s="152"/>
      <c r="X48" s="152"/>
    </row>
    <row r="49" spans="9:24" ht="14.25" customHeight="1">
      <c r="I49" s="152"/>
      <c r="J49" s="152"/>
      <c r="K49" s="152"/>
      <c r="L49" s="152"/>
      <c r="M49" s="191"/>
      <c r="N49" s="152"/>
      <c r="O49" s="152"/>
      <c r="P49" s="152"/>
      <c r="Q49" s="152"/>
      <c r="R49" s="152"/>
      <c r="S49" s="152"/>
      <c r="T49" s="152"/>
      <c r="U49" s="152"/>
      <c r="V49" s="152"/>
      <c r="W49" s="152"/>
      <c r="X49" s="152"/>
    </row>
    <row r="50" spans="9:24" ht="14.25" customHeight="1">
      <c r="I50" s="152"/>
      <c r="J50" s="152"/>
      <c r="K50" s="152"/>
      <c r="L50" s="152"/>
      <c r="M50" s="191"/>
      <c r="N50" s="152"/>
      <c r="O50" s="152"/>
      <c r="P50" s="152"/>
      <c r="Q50" s="152"/>
      <c r="R50" s="152"/>
      <c r="S50" s="152"/>
      <c r="T50" s="152"/>
      <c r="U50" s="152"/>
      <c r="V50" s="152"/>
      <c r="W50" s="152"/>
      <c r="X50" s="152"/>
    </row>
    <row r="51" spans="9:24" ht="14.25" customHeight="1">
      <c r="I51" s="152"/>
      <c r="J51" s="152"/>
      <c r="K51" s="152"/>
      <c r="L51" s="152"/>
      <c r="M51" s="191"/>
      <c r="N51" s="152"/>
      <c r="O51" s="152"/>
      <c r="P51" s="152"/>
      <c r="Q51" s="152"/>
      <c r="R51" s="152"/>
      <c r="S51" s="152"/>
      <c r="T51" s="152"/>
      <c r="U51" s="152"/>
      <c r="V51" s="152"/>
      <c r="W51" s="152"/>
      <c r="X51" s="152"/>
    </row>
    <row r="52" spans="9:24" ht="14.25" customHeight="1">
      <c r="I52" s="152"/>
      <c r="J52" s="191"/>
      <c r="K52" s="152"/>
      <c r="L52" s="152"/>
      <c r="M52" s="191"/>
      <c r="N52" s="304"/>
      <c r="O52" s="152"/>
      <c r="P52" s="152"/>
      <c r="Q52" s="152"/>
      <c r="R52" s="152"/>
      <c r="S52" s="152"/>
      <c r="T52" s="152"/>
      <c r="U52" s="152"/>
      <c r="V52" s="152"/>
      <c r="W52" s="152"/>
      <c r="X52" s="152"/>
    </row>
    <row r="53" spans="9:24" ht="14.25" customHeight="1">
      <c r="I53" s="152"/>
      <c r="J53" s="152"/>
      <c r="K53" s="152"/>
      <c r="L53" s="152"/>
      <c r="M53" s="191"/>
      <c r="N53" s="253"/>
      <c r="O53" s="152"/>
      <c r="P53" s="152"/>
      <c r="Q53" s="152"/>
      <c r="R53" s="152"/>
      <c r="S53" s="152"/>
      <c r="T53" s="152"/>
      <c r="U53" s="152"/>
      <c r="V53" s="152"/>
      <c r="W53" s="152"/>
      <c r="X53" s="152"/>
    </row>
    <row r="54" spans="9:24" ht="14.25" customHeight="1">
      <c r="I54" s="152"/>
      <c r="J54" s="1106"/>
      <c r="K54" s="1106"/>
      <c r="L54" s="1106"/>
      <c r="M54" s="1106"/>
      <c r="N54" s="455"/>
      <c r="O54" s="152"/>
      <c r="P54" s="152"/>
      <c r="Q54" s="152"/>
      <c r="R54" s="304"/>
      <c r="S54" s="152"/>
      <c r="T54" s="152"/>
      <c r="U54" s="152"/>
      <c r="V54" s="152"/>
      <c r="W54" s="152"/>
      <c r="X54" s="152"/>
    </row>
    <row r="55" spans="9:24" ht="14.25" customHeight="1">
      <c r="I55" s="152"/>
      <c r="J55" s="152"/>
      <c r="K55" s="152"/>
      <c r="L55" s="152"/>
      <c r="M55" s="191"/>
      <c r="N55" s="152"/>
      <c r="O55" s="152"/>
      <c r="P55" s="152"/>
      <c r="Q55" s="152"/>
      <c r="R55" s="236"/>
      <c r="S55" s="152"/>
      <c r="T55" s="152"/>
      <c r="U55" s="152"/>
      <c r="V55" s="152"/>
      <c r="W55" s="152"/>
      <c r="X55" s="152"/>
    </row>
    <row r="56" spans="9:24" ht="29.25" customHeight="1">
      <c r="I56" s="152"/>
      <c r="J56" s="152"/>
      <c r="K56" s="152"/>
      <c r="L56" s="152"/>
      <c r="M56" s="191"/>
      <c r="N56" s="456"/>
      <c r="O56" s="152"/>
      <c r="P56" s="152"/>
      <c r="Q56" s="152"/>
      <c r="R56" s="444"/>
      <c r="S56" s="152"/>
      <c r="T56" s="152"/>
      <c r="U56" s="152"/>
      <c r="V56" s="152"/>
      <c r="W56" s="152"/>
      <c r="X56" s="152"/>
    </row>
    <row r="57" spans="9:24" ht="14.25" customHeight="1">
      <c r="I57" s="152"/>
      <c r="J57" s="152"/>
      <c r="K57" s="152"/>
      <c r="L57" s="152"/>
      <c r="M57" s="191"/>
      <c r="N57" s="152"/>
      <c r="O57" s="152"/>
      <c r="P57" s="152"/>
      <c r="Q57" s="152"/>
      <c r="R57" s="443"/>
      <c r="S57" s="152"/>
      <c r="T57" s="152"/>
      <c r="U57" s="152"/>
      <c r="V57" s="152"/>
      <c r="W57" s="152"/>
      <c r="X57" s="152"/>
    </row>
    <row r="58" spans="9:24" ht="14.25" customHeight="1">
      <c r="I58" s="152"/>
      <c r="J58" s="152"/>
      <c r="K58" s="152"/>
      <c r="L58" s="152"/>
      <c r="M58" s="191"/>
      <c r="N58" s="457"/>
      <c r="O58" s="152"/>
      <c r="P58" s="152"/>
      <c r="Q58" s="152"/>
      <c r="R58" s="236"/>
      <c r="S58" s="152"/>
      <c r="T58" s="152"/>
      <c r="U58" s="152"/>
      <c r="V58" s="152"/>
      <c r="W58" s="152"/>
      <c r="X58" s="152"/>
    </row>
    <row r="59" spans="9:24" ht="14.25" customHeight="1">
      <c r="I59" s="152"/>
      <c r="J59" s="152"/>
      <c r="K59" s="152"/>
      <c r="L59" s="152"/>
      <c r="M59" s="191"/>
      <c r="N59" s="152"/>
      <c r="O59" s="152"/>
      <c r="P59" s="152"/>
      <c r="Q59" s="152"/>
      <c r="R59" s="236"/>
      <c r="S59" s="152"/>
      <c r="T59" s="152"/>
      <c r="U59" s="152"/>
      <c r="V59" s="152"/>
      <c r="W59" s="152"/>
      <c r="X59" s="152"/>
    </row>
    <row r="60" spans="9:24" ht="14.25" customHeight="1">
      <c r="I60" s="152"/>
      <c r="J60" s="152"/>
      <c r="K60" s="152"/>
      <c r="L60" s="152"/>
      <c r="M60" s="191"/>
      <c r="N60" s="152"/>
      <c r="O60" s="152"/>
      <c r="P60" s="152"/>
      <c r="Q60" s="152"/>
      <c r="R60" s="236"/>
      <c r="S60" s="152"/>
      <c r="T60" s="152"/>
      <c r="U60" s="152"/>
      <c r="V60" s="152"/>
      <c r="W60" s="152"/>
      <c r="X60" s="152"/>
    </row>
    <row r="61" spans="9:24" ht="14.25" customHeight="1">
      <c r="I61" s="152"/>
      <c r="J61" s="191"/>
      <c r="K61" s="152"/>
      <c r="L61" s="152"/>
      <c r="M61" s="191"/>
      <c r="N61" s="304"/>
      <c r="O61" s="152"/>
      <c r="P61" s="152"/>
      <c r="Q61" s="152"/>
      <c r="R61" s="152"/>
      <c r="S61" s="152"/>
      <c r="T61" s="152"/>
      <c r="U61" s="152"/>
      <c r="V61" s="152"/>
      <c r="W61" s="152"/>
      <c r="X61" s="152"/>
    </row>
    <row r="62" spans="9:24" ht="14.25" customHeight="1">
      <c r="I62" s="152"/>
      <c r="J62" s="458"/>
      <c r="K62" s="152"/>
      <c r="L62" s="152"/>
      <c r="M62" s="191"/>
      <c r="N62" s="253"/>
      <c r="O62" s="152"/>
      <c r="P62" s="152"/>
      <c r="Q62" s="152"/>
      <c r="R62" s="236"/>
      <c r="S62" s="152"/>
      <c r="T62" s="152"/>
      <c r="U62" s="152"/>
      <c r="V62" s="152"/>
      <c r="W62" s="152"/>
      <c r="X62" s="152"/>
    </row>
    <row r="63" spans="9:24" ht="14.25" customHeight="1">
      <c r="I63" s="152"/>
      <c r="J63" s="152"/>
      <c r="K63" s="152"/>
      <c r="L63" s="152"/>
      <c r="M63" s="191"/>
      <c r="N63" s="152"/>
      <c r="O63" s="152"/>
      <c r="P63" s="152"/>
      <c r="Q63" s="152"/>
      <c r="R63" s="152"/>
      <c r="S63" s="152"/>
      <c r="T63" s="152"/>
      <c r="U63" s="152"/>
      <c r="V63" s="152"/>
      <c r="W63" s="152"/>
      <c r="X63" s="152"/>
    </row>
    <row r="64" spans="9:24" ht="14.25" customHeight="1">
      <c r="I64" s="152"/>
      <c r="J64" s="152"/>
      <c r="K64" s="152"/>
      <c r="L64" s="152"/>
      <c r="M64" s="191"/>
      <c r="N64" s="248"/>
      <c r="O64" s="152"/>
      <c r="P64" s="152"/>
      <c r="Q64" s="152"/>
      <c r="R64" s="456"/>
      <c r="S64" s="152"/>
      <c r="T64" s="152"/>
      <c r="U64" s="152"/>
      <c r="V64" s="152"/>
      <c r="W64" s="152"/>
      <c r="X64" s="152"/>
    </row>
    <row r="65" spans="9:24" ht="14.25" customHeight="1">
      <c r="I65" s="152"/>
      <c r="J65" s="152"/>
      <c r="K65" s="152"/>
      <c r="L65" s="152"/>
      <c r="M65" s="191"/>
      <c r="N65" s="152"/>
      <c r="O65" s="152"/>
      <c r="P65" s="152"/>
      <c r="Q65" s="152"/>
      <c r="R65" s="152"/>
      <c r="S65" s="152"/>
      <c r="T65" s="152"/>
      <c r="U65" s="152"/>
      <c r="V65" s="152"/>
      <c r="W65" s="152"/>
      <c r="X65" s="152"/>
    </row>
    <row r="66" spans="9:24" ht="14.25" customHeight="1">
      <c r="I66" s="152"/>
      <c r="J66" s="458"/>
      <c r="K66" s="152"/>
      <c r="L66" s="152"/>
      <c r="M66" s="191"/>
      <c r="N66" s="248"/>
      <c r="O66" s="152"/>
      <c r="P66" s="152"/>
      <c r="Q66" s="152"/>
      <c r="R66" s="236"/>
      <c r="S66" s="152"/>
      <c r="T66" s="152"/>
      <c r="U66" s="152"/>
      <c r="V66" s="152"/>
      <c r="W66" s="152"/>
      <c r="X66" s="152"/>
    </row>
    <row r="67" spans="9:24" ht="14.25" customHeight="1">
      <c r="I67" s="152"/>
      <c r="J67" s="458"/>
      <c r="K67" s="152"/>
      <c r="L67" s="152"/>
      <c r="M67" s="191"/>
      <c r="N67" s="152"/>
      <c r="O67" s="152"/>
      <c r="P67" s="152"/>
      <c r="Q67" s="152"/>
      <c r="R67" s="152"/>
      <c r="S67" s="152"/>
      <c r="T67" s="152"/>
      <c r="U67" s="152"/>
      <c r="V67" s="152"/>
      <c r="W67" s="152"/>
      <c r="X67" s="152"/>
    </row>
    <row r="68" spans="9:24" ht="14.25" customHeight="1">
      <c r="I68" s="152"/>
      <c r="J68" s="152"/>
      <c r="K68" s="152"/>
      <c r="L68" s="152"/>
      <c r="M68" s="191"/>
      <c r="N68" s="152"/>
      <c r="O68" s="152"/>
      <c r="P68" s="152"/>
      <c r="Q68" s="152"/>
      <c r="R68" s="236"/>
      <c r="S68" s="152"/>
      <c r="T68" s="152"/>
      <c r="U68" s="152"/>
      <c r="V68" s="152"/>
      <c r="W68" s="152"/>
      <c r="X68" s="152"/>
    </row>
    <row r="69" spans="9:24" ht="14.25" customHeight="1">
      <c r="I69" s="152"/>
      <c r="J69" s="458"/>
      <c r="K69" s="152"/>
      <c r="L69" s="152"/>
      <c r="M69" s="191"/>
      <c r="N69" s="459"/>
      <c r="O69" s="152"/>
      <c r="P69" s="152"/>
      <c r="Q69" s="152"/>
      <c r="R69" s="152"/>
      <c r="S69" s="152"/>
      <c r="T69" s="152"/>
      <c r="U69" s="152"/>
      <c r="V69" s="152"/>
      <c r="W69" s="152"/>
      <c r="X69" s="152"/>
    </row>
    <row r="70" spans="9:24" ht="14.25" customHeight="1">
      <c r="I70" s="152"/>
      <c r="J70" s="152"/>
      <c r="K70" s="152"/>
      <c r="L70" s="152"/>
      <c r="M70" s="191"/>
      <c r="N70" s="152"/>
      <c r="O70" s="152"/>
      <c r="P70" s="152"/>
      <c r="Q70" s="152"/>
      <c r="R70" s="444"/>
      <c r="S70" s="152"/>
      <c r="T70" s="152"/>
      <c r="U70" s="152"/>
      <c r="V70" s="152"/>
      <c r="W70" s="152"/>
      <c r="X70" s="152"/>
    </row>
    <row r="71" spans="9:24" ht="14.25" customHeight="1">
      <c r="I71" s="152"/>
      <c r="J71" s="152"/>
      <c r="K71" s="152"/>
      <c r="L71" s="152"/>
      <c r="M71" s="191"/>
      <c r="N71" s="152"/>
      <c r="O71" s="152"/>
      <c r="P71" s="152"/>
      <c r="Q71" s="152"/>
      <c r="R71" s="152"/>
      <c r="S71" s="152"/>
      <c r="T71" s="152"/>
      <c r="U71" s="152"/>
      <c r="V71" s="152"/>
      <c r="W71" s="152"/>
      <c r="X71" s="152"/>
    </row>
    <row r="72" spans="9:24" ht="14.25" customHeight="1">
      <c r="I72" s="152"/>
      <c r="J72" s="152"/>
      <c r="K72" s="152"/>
      <c r="L72" s="152"/>
      <c r="M72" s="191"/>
      <c r="N72" s="152"/>
      <c r="O72" s="152"/>
      <c r="P72" s="152"/>
      <c r="Q72" s="152"/>
      <c r="R72" s="152"/>
      <c r="S72" s="152"/>
      <c r="T72" s="152"/>
      <c r="U72" s="152"/>
      <c r="V72" s="152"/>
      <c r="W72" s="152"/>
      <c r="X72" s="152"/>
    </row>
    <row r="73" spans="9:24" ht="14.25" customHeight="1">
      <c r="I73" s="152"/>
      <c r="J73" s="152"/>
      <c r="K73" s="152"/>
      <c r="L73" s="152"/>
      <c r="M73" s="191"/>
      <c r="N73" s="152"/>
      <c r="O73" s="152"/>
      <c r="P73" s="458"/>
      <c r="Q73" s="152"/>
      <c r="R73" s="152"/>
      <c r="S73" s="152"/>
      <c r="T73" s="152"/>
      <c r="U73" s="152"/>
      <c r="V73" s="152"/>
      <c r="W73" s="152"/>
      <c r="X73" s="152"/>
    </row>
    <row r="74" spans="9:24" ht="14.25" customHeight="1">
      <c r="I74" s="152"/>
      <c r="J74" s="152"/>
      <c r="K74" s="152"/>
      <c r="L74" s="152"/>
      <c r="M74" s="191"/>
      <c r="N74" s="152"/>
      <c r="O74" s="152"/>
      <c r="P74" s="458"/>
      <c r="Q74" s="152"/>
      <c r="R74" s="152"/>
      <c r="S74" s="152"/>
      <c r="T74" s="152"/>
      <c r="U74" s="152"/>
      <c r="V74" s="152"/>
      <c r="W74" s="152"/>
      <c r="X74" s="152"/>
    </row>
    <row r="75" spans="9:24" ht="14.25" customHeight="1">
      <c r="I75" s="152"/>
      <c r="J75" s="152"/>
      <c r="K75" s="152"/>
      <c r="L75" s="152"/>
      <c r="M75" s="191"/>
      <c r="N75" s="152"/>
      <c r="O75" s="152"/>
      <c r="P75" s="458"/>
      <c r="Q75" s="152"/>
      <c r="R75" s="152"/>
      <c r="S75" s="152"/>
      <c r="T75" s="152"/>
      <c r="U75" s="152"/>
      <c r="V75" s="152"/>
      <c r="W75" s="152"/>
      <c r="X75" s="152"/>
    </row>
    <row r="76" spans="9:24" ht="14.25" customHeight="1">
      <c r="I76" s="152"/>
      <c r="J76" s="152"/>
      <c r="K76" s="152"/>
      <c r="L76" s="152"/>
      <c r="M76" s="191"/>
      <c r="N76" s="152"/>
      <c r="O76" s="152"/>
      <c r="P76" s="458"/>
      <c r="Q76" s="152"/>
      <c r="R76" s="152"/>
      <c r="S76" s="152"/>
      <c r="T76" s="152"/>
      <c r="U76" s="152"/>
      <c r="V76" s="152"/>
      <c r="W76" s="152"/>
      <c r="X76" s="152"/>
    </row>
    <row r="77" spans="9:24" ht="14.25" customHeight="1">
      <c r="I77" s="152"/>
      <c r="J77" s="152"/>
      <c r="K77" s="152"/>
      <c r="L77" s="152"/>
      <c r="M77" s="191"/>
      <c r="N77" s="152"/>
      <c r="O77" s="152"/>
      <c r="P77" s="458"/>
      <c r="Q77" s="152"/>
      <c r="R77" s="152"/>
      <c r="S77" s="152"/>
      <c r="T77" s="152"/>
      <c r="U77" s="152"/>
      <c r="V77" s="152"/>
      <c r="W77" s="152"/>
      <c r="X77" s="152"/>
    </row>
    <row r="78" spans="9:24" ht="14.25" customHeight="1">
      <c r="I78" s="152"/>
      <c r="J78" s="152"/>
      <c r="K78" s="152"/>
      <c r="L78" s="152"/>
      <c r="M78" s="191"/>
      <c r="N78" s="152"/>
      <c r="O78" s="152"/>
      <c r="P78" s="458"/>
      <c r="Q78" s="152"/>
      <c r="R78" s="152"/>
      <c r="S78" s="152"/>
      <c r="T78" s="152"/>
      <c r="U78" s="152"/>
      <c r="V78" s="152"/>
      <c r="W78" s="152"/>
      <c r="X78" s="152"/>
    </row>
    <row r="79" spans="9:24" ht="14.25" customHeight="1">
      <c r="I79" s="152"/>
      <c r="J79" s="152"/>
      <c r="K79" s="152"/>
      <c r="L79" s="152"/>
      <c r="M79" s="191"/>
      <c r="N79" s="152"/>
      <c r="O79" s="152"/>
      <c r="P79" s="458"/>
      <c r="Q79" s="152"/>
      <c r="R79" s="152"/>
      <c r="S79" s="152"/>
      <c r="T79" s="152"/>
      <c r="U79" s="152"/>
      <c r="V79" s="152"/>
      <c r="W79" s="152"/>
      <c r="X79" s="152"/>
    </row>
    <row r="80" spans="9:24" ht="14.25" customHeight="1">
      <c r="I80" s="152"/>
      <c r="J80" s="152"/>
      <c r="K80" s="152"/>
      <c r="L80" s="152"/>
      <c r="M80" s="191"/>
      <c r="N80" s="152"/>
      <c r="O80" s="152"/>
      <c r="P80" s="458"/>
      <c r="Q80" s="152"/>
      <c r="R80" s="152"/>
      <c r="S80" s="152"/>
      <c r="T80" s="152"/>
      <c r="U80" s="152"/>
      <c r="V80" s="152"/>
      <c r="W80" s="152"/>
      <c r="X80" s="152"/>
    </row>
    <row r="81" spans="5:24" ht="14.25" customHeight="1">
      <c r="I81" s="152"/>
      <c r="J81" s="152"/>
      <c r="K81" s="152"/>
      <c r="L81" s="152"/>
      <c r="M81" s="191"/>
      <c r="N81" s="152"/>
      <c r="O81" s="152"/>
      <c r="P81" s="458"/>
      <c r="Q81" s="152"/>
      <c r="R81" s="152"/>
      <c r="S81" s="152"/>
      <c r="T81" s="152"/>
      <c r="U81" s="152"/>
      <c r="V81" s="152"/>
      <c r="W81" s="152"/>
      <c r="X81" s="152"/>
    </row>
    <row r="82" spans="5:24" ht="14.25" customHeight="1">
      <c r="I82" s="152"/>
      <c r="J82" s="152"/>
      <c r="K82" s="152"/>
      <c r="L82" s="152"/>
      <c r="M82" s="191"/>
      <c r="N82" s="152"/>
      <c r="O82" s="152"/>
      <c r="P82" s="458"/>
      <c r="Q82" s="152"/>
      <c r="R82" s="152"/>
      <c r="S82" s="152"/>
      <c r="T82" s="152"/>
      <c r="U82" s="152"/>
      <c r="V82" s="152"/>
      <c r="W82" s="152"/>
      <c r="X82" s="152"/>
    </row>
    <row r="83" spans="5:24" ht="14.25" customHeight="1">
      <c r="I83" s="152"/>
      <c r="J83" s="152"/>
      <c r="K83" s="152"/>
      <c r="L83" s="152"/>
      <c r="M83" s="191"/>
      <c r="N83" s="152"/>
      <c r="O83" s="152"/>
      <c r="P83" s="152"/>
      <c r="Q83" s="152"/>
      <c r="R83" s="152"/>
      <c r="S83" s="152"/>
      <c r="T83" s="152"/>
      <c r="U83" s="152"/>
      <c r="V83" s="152"/>
      <c r="W83" s="152"/>
      <c r="X83" s="152"/>
    </row>
    <row r="84" spans="5:24" ht="14.25" customHeight="1">
      <c r="I84" s="152"/>
      <c r="J84" s="152"/>
      <c r="K84" s="152"/>
      <c r="L84" s="152"/>
      <c r="M84" s="191"/>
      <c r="N84" s="152"/>
      <c r="O84" s="152"/>
      <c r="P84" s="152"/>
      <c r="Q84" s="152"/>
      <c r="R84" s="152"/>
      <c r="S84" s="152"/>
      <c r="T84" s="152"/>
      <c r="U84" s="152"/>
      <c r="V84" s="152"/>
      <c r="W84" s="152"/>
      <c r="X84" s="152"/>
    </row>
    <row r="85" spans="5:24" ht="14.25" customHeight="1">
      <c r="O85" s="152"/>
      <c r="P85" s="152"/>
      <c r="Q85" s="152"/>
      <c r="R85" s="152"/>
      <c r="S85" s="152"/>
      <c r="T85" s="152"/>
      <c r="U85" s="152"/>
      <c r="V85" s="152"/>
      <c r="W85" s="152"/>
      <c r="X85" s="152"/>
    </row>
    <row r="86" spans="5:24" ht="14.25" customHeight="1">
      <c r="O86" s="152"/>
      <c r="P86" s="152"/>
      <c r="Q86" s="152"/>
      <c r="R86" s="152"/>
      <c r="S86" s="152"/>
      <c r="T86" s="152"/>
      <c r="U86" s="152"/>
      <c r="V86" s="152"/>
      <c r="W86" s="152"/>
      <c r="X86" s="152"/>
    </row>
    <row r="88" spans="5:24" ht="14.25" customHeight="1">
      <c r="E88" s="473"/>
    </row>
    <row r="89" spans="5:24" ht="14.25" customHeight="1">
      <c r="E89" s="473"/>
    </row>
  </sheetData>
  <mergeCells count="10">
    <mergeCell ref="A5:F5"/>
    <mergeCell ref="J54:M54"/>
    <mergeCell ref="I1:N1"/>
    <mergeCell ref="I2:N2"/>
    <mergeCell ref="I3:N3"/>
    <mergeCell ref="I4:N4"/>
    <mergeCell ref="A3:F3"/>
    <mergeCell ref="A4:F4"/>
    <mergeCell ref="C7:D7"/>
    <mergeCell ref="E6:F6"/>
  </mergeCells>
  <phoneticPr fontId="0" type="noConversion"/>
  <pageMargins left="0.7" right="0.51" top="1.5" bottom="0.5" header="0.5" footer="0.5"/>
  <pageSetup scale="75" firstPageNumber="4" orientation="portrait" r:id="rId1"/>
  <headerFooter scaleWithDoc="0" alignWithMargins="0">
    <oddFooter>&amp;CElectric Services&amp;RTab 2 Rev. Req. Calc.</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BH82"/>
  <sheetViews>
    <sheetView tabSelected="1" zoomScale="85" zoomScaleNormal="85" zoomScaleSheetLayoutView="55" workbookViewId="0">
      <selection activeCell="P59" sqref="P59"/>
    </sheetView>
  </sheetViews>
  <sheetFormatPr defaultColWidth="9.140625" defaultRowHeight="12.75"/>
  <cols>
    <col min="1" max="1" width="11.5703125" style="26" customWidth="1"/>
    <col min="2" max="2" width="9.140625" style="26"/>
    <col min="3" max="3" width="42" style="26" customWidth="1"/>
    <col min="4" max="4" width="5.85546875" style="26" customWidth="1"/>
    <col min="5" max="5" width="20.140625" style="101" customWidth="1"/>
    <col min="6" max="6" width="2.7109375" style="101" customWidth="1"/>
    <col min="7" max="7" width="20.140625" style="101" customWidth="1"/>
    <col min="8" max="15" width="9.140625" style="26"/>
    <col min="16" max="16" width="9.140625" style="55"/>
    <col min="17" max="35" width="9.140625" style="26"/>
    <col min="36" max="36" width="14.7109375" style="26" customWidth="1"/>
    <col min="37" max="37" width="17" style="26" customWidth="1"/>
    <col min="38" max="38" width="18" style="26" customWidth="1"/>
    <col min="39" max="39" width="17" style="26" customWidth="1"/>
    <col min="40" max="40" width="15.85546875" style="26" customWidth="1"/>
    <col min="41" max="50" width="9.140625" style="26"/>
    <col min="51" max="51" width="11.42578125" style="26" customWidth="1"/>
    <col min="52" max="16384" width="9.140625" style="26"/>
  </cols>
  <sheetData>
    <row r="1" spans="1:51" ht="13.5">
      <c r="A1" s="105"/>
      <c r="B1" s="105"/>
      <c r="C1" s="105"/>
      <c r="D1" s="105"/>
      <c r="E1" s="116"/>
      <c r="F1" s="116"/>
      <c r="G1" s="116"/>
      <c r="H1" s="106"/>
    </row>
    <row r="2" spans="1:51" ht="13.5" customHeight="1">
      <c r="A2" s="1119" t="s">
        <v>183</v>
      </c>
      <c r="B2" s="1119"/>
      <c r="C2" s="1119"/>
      <c r="D2" s="1119"/>
      <c r="E2" s="1119"/>
      <c r="F2" s="814"/>
      <c r="G2" s="26"/>
      <c r="H2" s="106"/>
    </row>
    <row r="3" spans="1:51">
      <c r="A3" s="1105" t="s">
        <v>255</v>
      </c>
      <c r="B3" s="1105"/>
      <c r="C3" s="1105"/>
      <c r="D3" s="1105"/>
      <c r="E3" s="1105"/>
      <c r="F3" s="814"/>
      <c r="G3" s="504"/>
      <c r="H3" s="504"/>
      <c r="W3" s="28"/>
      <c r="X3" s="28"/>
      <c r="Y3" s="28"/>
      <c r="Z3" s="28"/>
      <c r="AA3" s="28"/>
      <c r="AB3" s="28"/>
      <c r="AC3" s="28"/>
      <c r="AD3" s="28"/>
      <c r="AE3" s="28"/>
      <c r="AF3" s="28"/>
      <c r="AG3" s="28"/>
      <c r="AH3" s="28"/>
      <c r="AI3" s="28"/>
      <c r="AJ3" s="28"/>
      <c r="AK3" s="28"/>
      <c r="AL3" s="28"/>
      <c r="AM3" s="28"/>
      <c r="AN3" s="28"/>
      <c r="AO3" s="28"/>
      <c r="AP3" s="694"/>
      <c r="AQ3" s="28"/>
      <c r="AR3" s="28"/>
      <c r="AS3" s="28"/>
    </row>
    <row r="4" spans="1:51" ht="13.5">
      <c r="A4" s="105" t="str">
        <f>'Tab 4 Adjustment Details'!A5</f>
        <v>TWELVE MONTHS ENDED DECEMBER 31, 2016</v>
      </c>
      <c r="B4" s="105"/>
      <c r="C4" s="105"/>
      <c r="D4" s="105"/>
      <c r="E4" s="116"/>
      <c r="F4" s="814"/>
      <c r="G4" s="116"/>
      <c r="H4" s="106"/>
      <c r="W4" s="28"/>
      <c r="X4" s="28"/>
      <c r="Y4" s="28"/>
      <c r="Z4" s="28"/>
      <c r="AA4" s="28"/>
      <c r="AB4" s="28"/>
      <c r="AC4" s="28"/>
      <c r="AD4" s="28"/>
      <c r="AE4" s="28"/>
      <c r="AF4" s="28"/>
      <c r="AG4" s="28"/>
      <c r="AH4" s="28"/>
      <c r="AI4" s="28"/>
      <c r="AJ4" s="28"/>
      <c r="AK4" s="28"/>
      <c r="AL4" s="28"/>
      <c r="AM4" s="28"/>
      <c r="AN4" s="28"/>
      <c r="AO4" s="28"/>
      <c r="AP4" s="28"/>
      <c r="AQ4" s="28"/>
      <c r="AR4" s="28"/>
      <c r="AS4" s="28"/>
    </row>
    <row r="5" spans="1:51">
      <c r="F5" s="814"/>
      <c r="H5" s="106"/>
      <c r="U5" s="507"/>
      <c r="W5" s="28"/>
      <c r="X5" s="28"/>
      <c r="Y5" s="28"/>
      <c r="Z5" s="28"/>
      <c r="AA5" s="28"/>
      <c r="AB5" s="28"/>
      <c r="AC5" s="28"/>
      <c r="AD5" s="28"/>
      <c r="AE5" s="28"/>
      <c r="AF5" s="28"/>
      <c r="AG5" s="28"/>
      <c r="AH5" s="28"/>
      <c r="AI5" s="28"/>
      <c r="AJ5" s="28"/>
      <c r="AK5" s="28"/>
      <c r="AL5" s="28"/>
      <c r="AM5" s="28"/>
      <c r="AN5" s="28"/>
      <c r="AO5" s="28"/>
      <c r="AP5" s="28"/>
      <c r="AQ5" s="28"/>
      <c r="AR5" s="28"/>
      <c r="AS5" s="694"/>
    </row>
    <row r="6" spans="1:51" s="27" customFormat="1" ht="13.5">
      <c r="A6" s="27" t="s">
        <v>120</v>
      </c>
      <c r="E6" s="117"/>
      <c r="F6" s="101"/>
      <c r="G6" s="117" t="s">
        <v>826</v>
      </c>
      <c r="H6" s="107"/>
      <c r="P6" s="141"/>
      <c r="W6" s="693"/>
      <c r="X6" s="693"/>
      <c r="Y6" s="693"/>
      <c r="Z6" s="693"/>
      <c r="AA6" s="693"/>
      <c r="AB6" s="693"/>
      <c r="AC6" s="693"/>
      <c r="AD6" s="693"/>
      <c r="AE6" s="693"/>
      <c r="AF6" s="693"/>
      <c r="AG6" s="693"/>
      <c r="AH6" s="693"/>
      <c r="AI6" s="693"/>
      <c r="AJ6" s="693"/>
      <c r="AK6" s="693"/>
      <c r="AL6" s="693"/>
      <c r="AM6" s="693"/>
      <c r="AN6" s="693"/>
      <c r="AO6" s="693"/>
      <c r="AP6" s="693"/>
      <c r="AQ6" s="693"/>
      <c r="AR6" s="693"/>
      <c r="AS6" s="693"/>
      <c r="AY6" s="507" t="s">
        <v>688</v>
      </c>
    </row>
    <row r="7" spans="1:51" s="27" customFormat="1" ht="13.5">
      <c r="A7" s="108" t="s">
        <v>21</v>
      </c>
      <c r="C7" s="108" t="s">
        <v>80</v>
      </c>
      <c r="D7" s="29"/>
      <c r="E7" s="118" t="s">
        <v>176</v>
      </c>
      <c r="F7" s="101"/>
      <c r="G7" s="118" t="s">
        <v>176</v>
      </c>
      <c r="H7" s="107"/>
      <c r="P7" s="141"/>
      <c r="W7" s="693"/>
      <c r="X7" s="693"/>
      <c r="Y7" s="693"/>
      <c r="Z7" s="693"/>
      <c r="AA7" s="693"/>
      <c r="AB7" s="693"/>
      <c r="AC7" s="693"/>
      <c r="AD7" s="693"/>
      <c r="AE7" s="693"/>
      <c r="AF7" s="693"/>
      <c r="AG7" s="693"/>
      <c r="AH7" s="693"/>
      <c r="AI7" s="693"/>
      <c r="AJ7" s="693"/>
      <c r="AK7" s="693"/>
      <c r="AL7" s="693"/>
      <c r="AM7" s="693"/>
      <c r="AN7" s="693"/>
      <c r="AO7" s="693"/>
      <c r="AP7" s="693"/>
      <c r="AQ7" s="693"/>
      <c r="AR7" s="693"/>
      <c r="AS7" s="693"/>
    </row>
    <row r="8" spans="1:51">
      <c r="H8" s="106"/>
      <c r="W8" s="28"/>
      <c r="X8" s="28"/>
      <c r="Y8" s="28"/>
      <c r="Z8" s="28"/>
      <c r="AA8" s="28"/>
      <c r="AB8" s="28"/>
      <c r="AC8" s="28"/>
      <c r="AD8" s="28"/>
      <c r="AE8" s="28"/>
      <c r="AF8" s="28"/>
      <c r="AG8" s="28"/>
      <c r="AH8" s="28"/>
      <c r="AI8" s="28"/>
      <c r="AJ8" s="28"/>
      <c r="AK8" s="28"/>
      <c r="AL8" s="28"/>
      <c r="AM8" s="28"/>
      <c r="AN8" s="28"/>
      <c r="AO8" s="28"/>
      <c r="AP8" s="28"/>
      <c r="AQ8" s="28"/>
      <c r="AR8" s="28"/>
      <c r="AS8" s="28"/>
    </row>
    <row r="9" spans="1:51">
      <c r="A9" s="30">
        <v>1</v>
      </c>
      <c r="C9" s="109" t="s">
        <v>32</v>
      </c>
      <c r="E9" s="119">
        <v>1</v>
      </c>
      <c r="G9" s="119">
        <v>1</v>
      </c>
    </row>
    <row r="10" spans="1:51">
      <c r="A10" s="30"/>
      <c r="E10" s="119"/>
      <c r="G10" s="119"/>
    </row>
    <row r="11" spans="1:51">
      <c r="A11" s="30"/>
      <c r="C11" s="102" t="s">
        <v>177</v>
      </c>
      <c r="D11" s="103"/>
      <c r="E11" s="119"/>
      <c r="G11" s="119"/>
    </row>
    <row r="12" spans="1:51">
      <c r="A12" s="30">
        <v>2</v>
      </c>
      <c r="C12" s="103" t="s">
        <v>178</v>
      </c>
      <c r="D12" s="103"/>
      <c r="E12" s="120">
        <v>6.5779999999999996E-3</v>
      </c>
      <c r="G12" s="120">
        <v>6.5779999999999996E-3</v>
      </c>
    </row>
    <row r="13" spans="1:51">
      <c r="A13" s="30"/>
      <c r="C13" s="103"/>
      <c r="D13" s="103"/>
      <c r="E13" s="120"/>
      <c r="G13" s="120"/>
    </row>
    <row r="14" spans="1:51">
      <c r="A14" s="30">
        <v>3</v>
      </c>
      <c r="C14" s="103" t="s">
        <v>179</v>
      </c>
      <c r="D14" s="103"/>
      <c r="E14" s="120">
        <v>2E-3</v>
      </c>
      <c r="G14" s="120">
        <v>2E-3</v>
      </c>
    </row>
    <row r="15" spans="1:51">
      <c r="A15" s="30"/>
      <c r="C15" s="103"/>
      <c r="D15" s="103"/>
      <c r="E15" s="120"/>
      <c r="G15" s="120"/>
      <c r="AO15" s="239"/>
    </row>
    <row r="16" spans="1:51">
      <c r="A16" s="30">
        <v>4</v>
      </c>
      <c r="C16" s="103" t="s">
        <v>180</v>
      </c>
      <c r="D16" s="103"/>
      <c r="E16" s="120">
        <v>3.8478999999999999E-2</v>
      </c>
      <c r="G16" s="120">
        <v>3.8478999999999999E-2</v>
      </c>
    </row>
    <row r="17" spans="1:60">
      <c r="A17" s="30"/>
      <c r="C17" s="103"/>
      <c r="D17" s="103"/>
      <c r="E17" s="487"/>
      <c r="G17" s="487"/>
    </row>
    <row r="18" spans="1:60">
      <c r="A18" s="30">
        <v>6</v>
      </c>
      <c r="C18" s="103" t="s">
        <v>181</v>
      </c>
      <c r="D18" s="103"/>
      <c r="E18" s="121">
        <f>SUM(E12:E16)</f>
        <v>4.7057000000000002E-2</v>
      </c>
      <c r="G18" s="121">
        <f>SUM(G12:G16)</f>
        <v>4.7057000000000002E-2</v>
      </c>
    </row>
    <row r="19" spans="1:60">
      <c r="C19" s="103"/>
      <c r="D19" s="103"/>
      <c r="E19" s="120"/>
      <c r="G19" s="120"/>
      <c r="K19" s="299"/>
    </row>
    <row r="20" spans="1:60">
      <c r="A20" s="30">
        <v>7</v>
      </c>
      <c r="C20" s="103" t="s">
        <v>182</v>
      </c>
      <c r="D20" s="103"/>
      <c r="E20" s="120">
        <f>E9-E18</f>
        <v>0.95294299999999998</v>
      </c>
      <c r="G20" s="120">
        <f>G9-G18</f>
        <v>0.95294299999999998</v>
      </c>
      <c r="AO20" s="239"/>
    </row>
    <row r="21" spans="1:60">
      <c r="C21" s="103"/>
      <c r="D21" s="103"/>
      <c r="E21" s="120"/>
      <c r="G21" s="120"/>
      <c r="BB21" s="26">
        <v>109</v>
      </c>
      <c r="BH21" s="26">
        <v>-2</v>
      </c>
    </row>
    <row r="22" spans="1:60">
      <c r="A22" s="30">
        <v>8</v>
      </c>
      <c r="C22" s="103" t="s">
        <v>955</v>
      </c>
      <c r="D22" s="104"/>
      <c r="E22" s="122">
        <f>ROUND(E20*'Tab 1 Rev. Req. Summary'!AI5,6)</f>
        <v>0.33352999999999999</v>
      </c>
      <c r="G22" s="122">
        <f>ROUND(G20*0.21,6)</f>
        <v>0.20011799999999999</v>
      </c>
      <c r="H22" s="106"/>
    </row>
    <row r="23" spans="1:60">
      <c r="C23" s="103"/>
      <c r="D23" s="103"/>
      <c r="E23" s="120"/>
      <c r="G23" s="120"/>
      <c r="H23" s="106"/>
      <c r="K23" s="120"/>
    </row>
    <row r="24" spans="1:60" ht="13.5" thickBot="1">
      <c r="A24" s="30">
        <v>9</v>
      </c>
      <c r="C24" s="102" t="s">
        <v>183</v>
      </c>
      <c r="D24" s="103"/>
      <c r="E24" s="616">
        <f>ROUND(E20-E22,6)</f>
        <v>0.61941299999999999</v>
      </c>
      <c r="G24" s="616">
        <f>ROUND(G20-G22,6)</f>
        <v>0.75282499999999997</v>
      </c>
    </row>
    <row r="25" spans="1:60" ht="13.5" thickTop="1">
      <c r="BF25" s="26">
        <v>622</v>
      </c>
    </row>
    <row r="27" spans="1:60" ht="12.75" customHeight="1">
      <c r="C27" s="1120"/>
      <c r="D27" s="1120"/>
      <c r="E27" s="1120"/>
      <c r="G27" s="26"/>
    </row>
    <row r="28" spans="1:60">
      <c r="C28" s="688"/>
      <c r="D28" s="688"/>
      <c r="E28" s="688"/>
      <c r="G28" s="688"/>
    </row>
    <row r="29" spans="1:60">
      <c r="BH29" s="26">
        <v>-281</v>
      </c>
    </row>
    <row r="30" spans="1:60">
      <c r="A30" s="1105"/>
      <c r="B30" s="1105"/>
      <c r="C30" s="1105"/>
      <c r="D30" s="1105"/>
      <c r="E30" s="1105"/>
      <c r="G30" s="26"/>
    </row>
    <row r="31" spans="1:60" s="28" customFormat="1" ht="15.75" customHeight="1">
      <c r="A31" s="1118"/>
      <c r="B31" s="1118"/>
      <c r="C31" s="1118"/>
      <c r="D31" s="1118"/>
      <c r="E31" s="1118"/>
      <c r="F31" s="101"/>
      <c r="P31" s="140"/>
      <c r="BF31" s="28">
        <v>393</v>
      </c>
    </row>
    <row r="32" spans="1:60" s="28" customFormat="1">
      <c r="A32" s="1118"/>
      <c r="B32" s="1118"/>
      <c r="C32" s="1118"/>
      <c r="D32" s="1118"/>
      <c r="E32" s="1118"/>
      <c r="F32" s="101"/>
      <c r="P32" s="140"/>
    </row>
    <row r="33" spans="5:60" s="28" customFormat="1">
      <c r="E33" s="186"/>
      <c r="F33" s="101"/>
      <c r="G33" s="186"/>
      <c r="P33" s="140"/>
    </row>
    <row r="34" spans="5:60" s="28" customFormat="1">
      <c r="E34" s="186"/>
      <c r="F34" s="101"/>
      <c r="G34" s="186"/>
      <c r="P34" s="140"/>
    </row>
    <row r="35" spans="5:60" s="28" customFormat="1">
      <c r="E35" s="186"/>
      <c r="F35" s="101"/>
      <c r="G35" s="186"/>
      <c r="P35" s="140"/>
    </row>
    <row r="36" spans="5:60" s="28" customFormat="1">
      <c r="E36" s="120"/>
      <c r="F36" s="101"/>
      <c r="G36" s="120"/>
      <c r="P36" s="140"/>
    </row>
    <row r="37" spans="5:60" s="28" customFormat="1">
      <c r="E37" s="120"/>
      <c r="F37" s="101"/>
      <c r="G37" s="120"/>
      <c r="P37" s="140"/>
    </row>
    <row r="38" spans="5:60" s="28" customFormat="1">
      <c r="E38" s="120"/>
      <c r="F38" s="101"/>
      <c r="G38" s="120"/>
      <c r="P38" s="140"/>
    </row>
    <row r="39" spans="5:60" s="28" customFormat="1">
      <c r="E39" s="120"/>
      <c r="F39" s="101"/>
      <c r="G39" s="120"/>
      <c r="P39" s="140"/>
      <c r="BH39" s="28">
        <v>-51</v>
      </c>
    </row>
    <row r="40" spans="5:60" s="28" customFormat="1">
      <c r="E40" s="120"/>
      <c r="F40" s="101"/>
      <c r="G40" s="120"/>
      <c r="P40" s="140"/>
    </row>
    <row r="41" spans="5:60" s="28" customFormat="1">
      <c r="E41" s="120"/>
      <c r="F41" s="120"/>
      <c r="G41" s="120"/>
      <c r="P41" s="140"/>
    </row>
    <row r="42" spans="5:60" s="28" customFormat="1">
      <c r="P42" s="140"/>
    </row>
    <row r="43" spans="5:60" s="28" customFormat="1">
      <c r="E43" s="120"/>
      <c r="F43" s="120"/>
      <c r="G43" s="120"/>
      <c r="P43" s="140"/>
    </row>
    <row r="44" spans="5:60" s="28" customFormat="1">
      <c r="E44" s="120"/>
      <c r="F44" s="120"/>
      <c r="G44" s="120"/>
      <c r="P44" s="140"/>
    </row>
    <row r="45" spans="5:60" s="28" customFormat="1">
      <c r="E45" s="120"/>
      <c r="F45" s="120"/>
      <c r="G45" s="120"/>
      <c r="P45" s="140"/>
    </row>
    <row r="46" spans="5:60" s="28" customFormat="1">
      <c r="E46" s="187"/>
      <c r="F46" s="187"/>
      <c r="G46" s="187"/>
      <c r="P46" s="140"/>
      <c r="AO46" s="240"/>
    </row>
    <row r="47" spans="5:60" s="28" customFormat="1">
      <c r="E47" s="120"/>
      <c r="F47" s="120"/>
      <c r="G47" s="120"/>
      <c r="P47" s="140"/>
    </row>
    <row r="48" spans="5:60" s="28" customFormat="1">
      <c r="E48" s="120"/>
      <c r="F48" s="120"/>
      <c r="G48" s="120"/>
      <c r="H48" s="152"/>
      <c r="L48" s="152"/>
      <c r="M48" s="152"/>
      <c r="P48" s="140"/>
      <c r="X48" s="152"/>
    </row>
    <row r="49" spans="5:41" s="28" customFormat="1">
      <c r="E49" s="120"/>
      <c r="F49" s="120"/>
      <c r="G49" s="120"/>
      <c r="P49" s="140"/>
    </row>
    <row r="50" spans="5:41" s="28" customFormat="1">
      <c r="E50" s="120"/>
      <c r="F50" s="120"/>
      <c r="G50" s="120"/>
      <c r="M50" s="152"/>
      <c r="P50" s="140"/>
    </row>
    <row r="51" spans="5:41" s="28" customFormat="1">
      <c r="E51" s="120"/>
      <c r="F51" s="120"/>
      <c r="G51" s="120"/>
      <c r="P51" s="140"/>
    </row>
    <row r="52" spans="5:41" s="28" customFormat="1">
      <c r="E52" s="187"/>
      <c r="F52" s="187"/>
      <c r="G52" s="187"/>
      <c r="P52" s="140"/>
    </row>
    <row r="53" spans="5:41" s="28" customFormat="1">
      <c r="E53" s="186"/>
      <c r="F53" s="186"/>
      <c r="G53" s="186"/>
      <c r="P53" s="140"/>
    </row>
    <row r="56" spans="5:41">
      <c r="AO56" s="238"/>
    </row>
    <row r="61" spans="5:41">
      <c r="AO61" s="238"/>
    </row>
    <row r="66" spans="41:41">
      <c r="AO66" s="238"/>
    </row>
    <row r="81" spans="5:7">
      <c r="E81" s="472"/>
      <c r="F81" s="472"/>
      <c r="G81" s="472"/>
    </row>
    <row r="82" spans="5:7">
      <c r="E82" s="472"/>
      <c r="F82" s="472"/>
      <c r="G82" s="472"/>
    </row>
  </sheetData>
  <mergeCells count="6">
    <mergeCell ref="A30:E30"/>
    <mergeCell ref="A31:E31"/>
    <mergeCell ref="A32:E32"/>
    <mergeCell ref="A2:E2"/>
    <mergeCell ref="A3:E3"/>
    <mergeCell ref="C27:E27"/>
  </mergeCells>
  <phoneticPr fontId="0" type="noConversion"/>
  <pageMargins left="0.7" right="0.51" top="1.25" bottom="0.5" header="0.5" footer="0.5"/>
  <pageSetup scale="75" firstPageNumber="4" fitToWidth="0" fitToHeight="0" orientation="portrait" r:id="rId1"/>
  <headerFooter scaleWithDoc="0" alignWithMargins="0">
    <oddFooter>&amp;CElectric Services&amp;RTab 3 Conversion Factor</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Y103"/>
  <sheetViews>
    <sheetView tabSelected="1" zoomScale="85" zoomScaleNormal="85" zoomScaleSheetLayoutView="85" workbookViewId="0">
      <pane xSplit="5" ySplit="11" topLeftCell="AI65" activePane="bottomRight" state="frozen"/>
      <selection activeCell="P59" sqref="P59"/>
      <selection pane="topRight" activeCell="P59" sqref="P59"/>
      <selection pane="bottomLeft" activeCell="P59" sqref="P59"/>
      <selection pane="bottomRight" activeCell="P59" sqref="P59"/>
    </sheetView>
  </sheetViews>
  <sheetFormatPr defaultColWidth="10.7109375" defaultRowHeight="12"/>
  <cols>
    <col min="1" max="1" width="4.7109375" style="534" customWidth="1"/>
    <col min="2" max="3" width="1.7109375" style="533" customWidth="1"/>
    <col min="4" max="4" width="35.42578125" style="533" customWidth="1"/>
    <col min="5" max="5" width="12.85546875" style="560" customWidth="1"/>
    <col min="6" max="6" width="11.42578125" style="559" customWidth="1"/>
    <col min="7" max="12" width="9.85546875" style="559" customWidth="1"/>
    <col min="13" max="13" width="10.140625" style="559" customWidth="1"/>
    <col min="14" max="14" width="10.42578125" style="559" customWidth="1"/>
    <col min="15" max="15" width="11.5703125" style="559" customWidth="1"/>
    <col min="16" max="16" width="9.42578125" style="559" customWidth="1"/>
    <col min="17" max="17" width="9.5703125" style="559" customWidth="1"/>
    <col min="18" max="18" width="12" style="559" customWidth="1"/>
    <col min="19" max="19" width="10.85546875" style="560" customWidth="1"/>
    <col min="20" max="20" width="21.5703125" style="560" customWidth="1"/>
    <col min="21" max="21" width="11.7109375" style="559" customWidth="1"/>
    <col min="22" max="22" width="12.42578125" style="559" customWidth="1"/>
    <col min="23" max="26" width="12.42578125" style="560" customWidth="1"/>
    <col min="27" max="27" width="11.42578125" style="560" hidden="1" customWidth="1"/>
    <col min="28" max="28" width="11.7109375" style="559" hidden="1" customWidth="1"/>
    <col min="29" max="29" width="11.7109375" style="558" customWidth="1"/>
    <col min="30" max="30" width="15.7109375" style="560" customWidth="1"/>
    <col min="31" max="31" width="11.7109375" style="559" bestFit="1" customWidth="1"/>
    <col min="32" max="32" width="10.42578125" style="559" bestFit="1" customWidth="1"/>
    <col min="33" max="33" width="13.28515625" style="559" customWidth="1"/>
    <col min="34" max="36" width="10.42578125" style="559" bestFit="1" customWidth="1"/>
    <col min="37" max="37" width="13.28515625" style="560" bestFit="1" customWidth="1"/>
    <col min="38" max="38" width="17.42578125" style="559" customWidth="1"/>
    <col min="39" max="39" width="14.5703125" style="560" customWidth="1"/>
    <col min="40" max="40" width="10.140625" style="560" customWidth="1"/>
    <col min="41" max="41" width="9.42578125" style="560" customWidth="1"/>
    <col min="42" max="42" width="12.140625" style="560" customWidth="1"/>
    <col min="43" max="43" width="13.5703125" style="560" customWidth="1"/>
    <col min="44" max="44" width="11.28515625" style="561" customWidth="1"/>
    <col min="45" max="45" width="13.140625" style="560" customWidth="1"/>
    <col min="46" max="46" width="13" style="561" customWidth="1"/>
    <col min="47" max="47" width="15" style="630" customWidth="1"/>
    <col min="48" max="49" width="10.7109375" style="533"/>
    <col min="50" max="50" width="13.140625" style="533" bestFit="1" customWidth="1"/>
    <col min="51" max="51" width="14.140625" style="561" customWidth="1"/>
    <col min="52" max="16384" width="10.7109375" style="533"/>
  </cols>
  <sheetData>
    <row r="1" spans="1:51" ht="12.75">
      <c r="D1" s="1116"/>
      <c r="E1" s="1116"/>
      <c r="F1" s="560"/>
      <c r="G1" s="560"/>
      <c r="H1" s="560"/>
      <c r="I1" s="560"/>
      <c r="J1" s="560"/>
      <c r="K1" s="560"/>
      <c r="L1" s="560"/>
      <c r="M1" s="560"/>
      <c r="N1" s="560"/>
      <c r="O1" s="560"/>
      <c r="P1" s="560"/>
      <c r="Q1" s="560"/>
      <c r="AG1" s="560"/>
      <c r="AH1" s="560"/>
    </row>
    <row r="2" spans="1:51" ht="12.75" customHeight="1">
      <c r="A2" s="691"/>
      <c r="D2" s="534"/>
      <c r="E2" s="1081" t="s">
        <v>784</v>
      </c>
      <c r="G2" s="558"/>
      <c r="H2" s="558"/>
      <c r="I2" s="558"/>
      <c r="J2" s="562"/>
      <c r="K2" s="558"/>
      <c r="L2" s="558"/>
      <c r="M2" s="558"/>
      <c r="N2" s="558"/>
      <c r="O2" s="558"/>
      <c r="P2" s="558"/>
      <c r="Q2" s="558"/>
      <c r="R2" s="560"/>
      <c r="U2" s="560"/>
      <c r="V2" s="560"/>
      <c r="W2" s="621"/>
      <c r="X2" s="621"/>
      <c r="AB2" s="560"/>
      <c r="AF2" s="560"/>
      <c r="AG2" s="560"/>
      <c r="AH2" s="560"/>
      <c r="AI2" s="560"/>
      <c r="AJ2" s="560"/>
      <c r="AL2" s="736"/>
      <c r="AN2" s="621"/>
      <c r="AO2" s="621"/>
      <c r="AP2" s="621"/>
      <c r="AQ2" s="621"/>
      <c r="AR2" s="621"/>
      <c r="AS2" s="621"/>
      <c r="AT2" s="621"/>
      <c r="AY2" s="621"/>
    </row>
    <row r="3" spans="1:51" ht="14.25" customHeight="1">
      <c r="A3" s="691" t="s">
        <v>736</v>
      </c>
      <c r="D3" s="534"/>
      <c r="E3" s="1081" t="s">
        <v>785</v>
      </c>
      <c r="F3" s="522" t="s">
        <v>710</v>
      </c>
      <c r="G3" s="561"/>
      <c r="H3" s="561"/>
      <c r="I3" s="558"/>
      <c r="J3" s="558"/>
      <c r="K3" s="558"/>
      <c r="L3" s="558"/>
      <c r="M3" s="558"/>
      <c r="N3" s="732"/>
      <c r="O3" s="558"/>
      <c r="P3" s="699"/>
      <c r="Q3" s="699"/>
      <c r="R3" s="560"/>
      <c r="U3" s="560"/>
      <c r="V3" s="560"/>
      <c r="W3" s="703"/>
      <c r="X3" s="703"/>
      <c r="Y3" s="703"/>
      <c r="Z3" s="1121" t="s">
        <v>763</v>
      </c>
      <c r="AB3" s="560"/>
      <c r="AD3" s="696" t="s">
        <v>711</v>
      </c>
      <c r="AE3" s="703"/>
      <c r="AF3" s="703"/>
      <c r="AG3" s="703"/>
      <c r="AH3" s="703"/>
      <c r="AI3" s="703"/>
      <c r="AJ3" s="703"/>
      <c r="AL3" s="736"/>
      <c r="AN3" s="703"/>
      <c r="AO3" s="703"/>
      <c r="AP3" s="703"/>
      <c r="AQ3" s="703"/>
      <c r="AR3" s="703"/>
      <c r="AS3" s="703"/>
      <c r="AT3" s="703"/>
      <c r="AU3" s="696" t="s">
        <v>1111</v>
      </c>
      <c r="AY3" s="703"/>
    </row>
    <row r="4" spans="1:51" ht="14.25" customHeight="1">
      <c r="A4" s="691" t="s">
        <v>789</v>
      </c>
      <c r="D4" s="534"/>
      <c r="E4" s="1082"/>
      <c r="G4" s="560"/>
      <c r="H4" s="560"/>
      <c r="I4" s="560"/>
      <c r="J4" s="558"/>
      <c r="K4" s="560"/>
      <c r="L4" s="560"/>
      <c r="M4" s="560"/>
      <c r="N4" s="732"/>
      <c r="O4" s="560"/>
      <c r="P4" s="700"/>
      <c r="Q4" s="700"/>
      <c r="R4" s="562"/>
      <c r="S4" s="562"/>
      <c r="T4" s="562"/>
      <c r="U4" s="562"/>
      <c r="V4" s="562"/>
      <c r="W4" s="733"/>
      <c r="X4" s="633"/>
      <c r="Y4" s="700"/>
      <c r="Z4" s="1121"/>
      <c r="AB4" s="560"/>
      <c r="AD4" s="757"/>
      <c r="AE4" s="731"/>
      <c r="AF4" s="736"/>
      <c r="AG4" s="736"/>
      <c r="AH4" s="731"/>
      <c r="AI4" s="736"/>
      <c r="AJ4" s="736"/>
      <c r="AK4" s="720"/>
      <c r="AL4" s="736"/>
      <c r="AM4" s="703"/>
      <c r="AO4" s="700"/>
      <c r="AP4" s="700"/>
      <c r="AQ4" s="700"/>
      <c r="AS4" s="719"/>
    </row>
    <row r="5" spans="1:51" ht="12.75" customHeight="1">
      <c r="A5" s="691" t="s">
        <v>737</v>
      </c>
      <c r="D5" s="534"/>
      <c r="E5" s="714"/>
      <c r="F5" s="597"/>
      <c r="G5" s="714"/>
      <c r="H5" s="597"/>
      <c r="I5" s="625"/>
      <c r="J5" s="625"/>
      <c r="K5" s="625"/>
      <c r="L5" s="625"/>
      <c r="M5" s="625"/>
      <c r="N5" s="732"/>
      <c r="O5" s="625"/>
      <c r="P5" s="700"/>
      <c r="Q5" s="700"/>
      <c r="R5" s="625"/>
      <c r="S5" s="625"/>
      <c r="T5" s="714"/>
      <c r="U5" s="625"/>
      <c r="V5" s="625"/>
      <c r="W5" s="733"/>
      <c r="X5" s="625"/>
      <c r="Y5" s="714"/>
      <c r="Z5" s="1121"/>
      <c r="AA5" s="625" t="s">
        <v>275</v>
      </c>
      <c r="AB5" s="625" t="s">
        <v>275</v>
      </c>
      <c r="AC5" s="625"/>
      <c r="AD5" s="757"/>
      <c r="AE5" s="731"/>
      <c r="AF5" s="736"/>
      <c r="AG5" s="736"/>
      <c r="AH5" s="731"/>
      <c r="AI5" s="736"/>
      <c r="AJ5" s="736"/>
      <c r="AK5" s="625"/>
      <c r="AL5" s="736"/>
      <c r="AM5" s="736"/>
      <c r="AN5" s="736"/>
      <c r="AO5" s="703"/>
      <c r="AP5" s="625"/>
      <c r="AQ5" s="625"/>
      <c r="AS5" s="743"/>
    </row>
    <row r="6" spans="1:51" s="536" customFormat="1" ht="12" customHeight="1">
      <c r="A6" s="691" t="s">
        <v>188</v>
      </c>
      <c r="D6" s="535"/>
      <c r="E6" s="720"/>
      <c r="F6" s="563"/>
      <c r="G6" s="560"/>
      <c r="H6" s="563"/>
      <c r="I6" s="619"/>
      <c r="J6" s="697"/>
      <c r="K6" s="619"/>
      <c r="L6" s="619"/>
      <c r="M6" s="619"/>
      <c r="N6" s="619"/>
      <c r="O6" s="619"/>
      <c r="P6" s="701"/>
      <c r="Q6" s="701"/>
      <c r="R6" s="697"/>
      <c r="S6" s="619"/>
      <c r="T6" s="619"/>
      <c r="U6" s="619"/>
      <c r="V6" s="619"/>
      <c r="W6" s="628"/>
      <c r="X6" s="628"/>
      <c r="Y6" s="701"/>
      <c r="Z6" s="1122"/>
      <c r="AA6" s="562"/>
      <c r="AB6" s="625"/>
      <c r="AC6" s="497"/>
      <c r="AD6" s="758" t="s">
        <v>778</v>
      </c>
      <c r="AE6" s="811" t="s">
        <v>815</v>
      </c>
      <c r="AF6" s="619"/>
      <c r="AG6" s="625"/>
      <c r="AH6" s="701"/>
      <c r="AI6" s="701"/>
      <c r="AJ6" s="702"/>
      <c r="AK6" s="619"/>
      <c r="AL6" s="701"/>
      <c r="AM6" s="811" t="s">
        <v>815</v>
      </c>
      <c r="AN6" s="562"/>
      <c r="AO6" s="811" t="s">
        <v>815</v>
      </c>
      <c r="AP6" s="701"/>
      <c r="AQ6" s="701"/>
      <c r="AR6" s="742"/>
      <c r="AS6" s="811" t="s">
        <v>815</v>
      </c>
      <c r="AT6" s="742"/>
      <c r="AU6" s="1027" t="s">
        <v>957</v>
      </c>
      <c r="AV6" s="1028" t="s">
        <v>957</v>
      </c>
      <c r="AW6" s="1028" t="s">
        <v>957</v>
      </c>
      <c r="AX6" s="1028" t="s">
        <v>957</v>
      </c>
      <c r="AY6" s="742"/>
    </row>
    <row r="7" spans="1:51" s="536" customFormat="1" ht="12" customHeight="1">
      <c r="A7" s="537"/>
      <c r="B7" s="538"/>
      <c r="C7" s="539"/>
      <c r="D7" s="539"/>
      <c r="E7" s="607"/>
      <c r="F7" s="608" t="s">
        <v>1</v>
      </c>
      <c r="G7" s="629" t="s">
        <v>1</v>
      </c>
      <c r="H7" s="608" t="s">
        <v>286</v>
      </c>
      <c r="I7" s="608" t="s">
        <v>3</v>
      </c>
      <c r="J7" s="629" t="s">
        <v>5</v>
      </c>
      <c r="K7" s="608" t="s">
        <v>15</v>
      </c>
      <c r="L7" s="608" t="s">
        <v>16</v>
      </c>
      <c r="M7" s="608" t="s">
        <v>4</v>
      </c>
      <c r="N7" s="629" t="s">
        <v>637</v>
      </c>
      <c r="O7" s="608" t="s">
        <v>6</v>
      </c>
      <c r="P7" s="608" t="s">
        <v>5</v>
      </c>
      <c r="Q7" s="608" t="s">
        <v>227</v>
      </c>
      <c r="R7" s="564" t="s">
        <v>691</v>
      </c>
      <c r="S7" s="564" t="s">
        <v>3</v>
      </c>
      <c r="T7" s="564" t="s">
        <v>720</v>
      </c>
      <c r="U7" s="275" t="s">
        <v>3</v>
      </c>
      <c r="V7" s="275" t="s">
        <v>119</v>
      </c>
      <c r="W7" s="620" t="s">
        <v>774</v>
      </c>
      <c r="X7" s="620" t="s">
        <v>721</v>
      </c>
      <c r="Y7" s="275" t="s">
        <v>5</v>
      </c>
      <c r="Z7" s="620" t="s">
        <v>740</v>
      </c>
      <c r="AA7" s="564" t="s">
        <v>649</v>
      </c>
      <c r="AB7" s="276" t="s">
        <v>649</v>
      </c>
      <c r="AC7" s="275" t="s">
        <v>20</v>
      </c>
      <c r="AD7" s="275" t="s">
        <v>244</v>
      </c>
      <c r="AE7" s="275" t="s">
        <v>244</v>
      </c>
      <c r="AF7" s="275" t="s">
        <v>244</v>
      </c>
      <c r="AG7" s="275" t="s">
        <v>244</v>
      </c>
      <c r="AH7" s="275" t="s">
        <v>244</v>
      </c>
      <c r="AI7" s="275" t="s">
        <v>244</v>
      </c>
      <c r="AJ7" s="275" t="s">
        <v>244</v>
      </c>
      <c r="AK7" s="716" t="s">
        <v>7</v>
      </c>
      <c r="AL7" s="275" t="s">
        <v>244</v>
      </c>
      <c r="AM7" s="629" t="s">
        <v>244</v>
      </c>
      <c r="AN7" s="275" t="s">
        <v>244</v>
      </c>
      <c r="AO7" s="275" t="s">
        <v>244</v>
      </c>
      <c r="AP7" s="716" t="s">
        <v>764</v>
      </c>
      <c r="AQ7" s="716" t="s">
        <v>7</v>
      </c>
      <c r="AR7" s="744" t="s">
        <v>756</v>
      </c>
      <c r="AS7" s="721" t="s">
        <v>244</v>
      </c>
      <c r="AT7" s="1029" t="s">
        <v>7</v>
      </c>
      <c r="AU7" s="815" t="s">
        <v>834</v>
      </c>
      <c r="AV7" s="539" t="s">
        <v>836</v>
      </c>
      <c r="AW7" s="539" t="s">
        <v>826</v>
      </c>
      <c r="AX7" s="539" t="s">
        <v>838</v>
      </c>
      <c r="AY7" s="1044" t="s">
        <v>7</v>
      </c>
    </row>
    <row r="8" spans="1:51" s="536" customFormat="1">
      <c r="A8" s="540" t="s">
        <v>1109</v>
      </c>
      <c r="B8" s="541"/>
      <c r="C8" s="542"/>
      <c r="D8" s="542"/>
      <c r="E8" s="565" t="s">
        <v>296</v>
      </c>
      <c r="F8" s="609" t="s">
        <v>10</v>
      </c>
      <c r="G8" s="623" t="s">
        <v>294</v>
      </c>
      <c r="H8" s="609" t="s">
        <v>122</v>
      </c>
      <c r="I8" s="609" t="s">
        <v>13</v>
      </c>
      <c r="J8" s="623" t="s">
        <v>14</v>
      </c>
      <c r="K8" s="609" t="s">
        <v>29</v>
      </c>
      <c r="L8" s="609" t="s">
        <v>29</v>
      </c>
      <c r="M8" s="609" t="s">
        <v>17</v>
      </c>
      <c r="N8" s="623" t="s">
        <v>755</v>
      </c>
      <c r="O8" s="609" t="s">
        <v>19</v>
      </c>
      <c r="P8" s="609" t="s">
        <v>228</v>
      </c>
      <c r="Q8" s="609" t="s">
        <v>289</v>
      </c>
      <c r="R8" s="565" t="s">
        <v>185</v>
      </c>
      <c r="S8" s="566" t="s">
        <v>693</v>
      </c>
      <c r="T8" s="566" t="s">
        <v>772</v>
      </c>
      <c r="U8" s="565" t="s">
        <v>117</v>
      </c>
      <c r="V8" s="565" t="s">
        <v>2</v>
      </c>
      <c r="W8" s="565" t="s">
        <v>759</v>
      </c>
      <c r="X8" s="565" t="s">
        <v>722</v>
      </c>
      <c r="Y8" s="565" t="s">
        <v>18</v>
      </c>
      <c r="Z8" s="730" t="s">
        <v>12</v>
      </c>
      <c r="AA8" s="566"/>
      <c r="AB8" s="277"/>
      <c r="AC8" s="565" t="s">
        <v>33</v>
      </c>
      <c r="AD8" s="565" t="s">
        <v>782</v>
      </c>
      <c r="AE8" s="565" t="s">
        <v>225</v>
      </c>
      <c r="AF8" s="565" t="s">
        <v>225</v>
      </c>
      <c r="AG8" s="565" t="s">
        <v>252</v>
      </c>
      <c r="AH8" s="565" t="s">
        <v>676</v>
      </c>
      <c r="AI8" s="565" t="s">
        <v>14</v>
      </c>
      <c r="AJ8" s="565" t="s">
        <v>741</v>
      </c>
      <c r="AK8" s="717" t="s">
        <v>695</v>
      </c>
      <c r="AL8" s="565" t="s">
        <v>754</v>
      </c>
      <c r="AM8" s="623" t="s">
        <v>775</v>
      </c>
      <c r="AN8" s="565" t="s">
        <v>633</v>
      </c>
      <c r="AO8" s="565" t="s">
        <v>760</v>
      </c>
      <c r="AP8" s="717" t="s">
        <v>722</v>
      </c>
      <c r="AQ8" s="717" t="s">
        <v>779</v>
      </c>
      <c r="AR8" s="737" t="s">
        <v>244</v>
      </c>
      <c r="AS8" s="721" t="s">
        <v>757</v>
      </c>
      <c r="AT8" s="1030" t="s">
        <v>776</v>
      </c>
      <c r="AU8" s="720" t="s">
        <v>835</v>
      </c>
      <c r="AV8" s="542" t="s">
        <v>1</v>
      </c>
      <c r="AW8" s="542" t="s">
        <v>827</v>
      </c>
      <c r="AX8" s="542" t="s">
        <v>833</v>
      </c>
      <c r="AY8" s="1045" t="s">
        <v>1077</v>
      </c>
    </row>
    <row r="9" spans="1:51" s="536" customFormat="1">
      <c r="A9" s="543" t="s">
        <v>21</v>
      </c>
      <c r="B9" s="544"/>
      <c r="C9" s="545"/>
      <c r="D9" s="545" t="s">
        <v>22</v>
      </c>
      <c r="E9" s="567" t="s">
        <v>297</v>
      </c>
      <c r="F9" s="610" t="s">
        <v>24</v>
      </c>
      <c r="G9" s="624" t="s">
        <v>295</v>
      </c>
      <c r="H9" s="610" t="s">
        <v>76</v>
      </c>
      <c r="I9" s="610" t="s">
        <v>27</v>
      </c>
      <c r="J9" s="624" t="s">
        <v>28</v>
      </c>
      <c r="K9" s="610" t="s">
        <v>76</v>
      </c>
      <c r="L9" s="610" t="s">
        <v>76</v>
      </c>
      <c r="M9" s="610" t="s">
        <v>30</v>
      </c>
      <c r="N9" s="624" t="s">
        <v>29</v>
      </c>
      <c r="O9" s="610" t="s">
        <v>718</v>
      </c>
      <c r="P9" s="610" t="s">
        <v>27</v>
      </c>
      <c r="Q9" s="610" t="s">
        <v>290</v>
      </c>
      <c r="R9" s="567" t="s">
        <v>76</v>
      </c>
      <c r="S9" s="568" t="s">
        <v>694</v>
      </c>
      <c r="T9" s="568" t="s">
        <v>773</v>
      </c>
      <c r="U9" s="567" t="s">
        <v>118</v>
      </c>
      <c r="V9" s="567" t="s">
        <v>25</v>
      </c>
      <c r="W9" s="567"/>
      <c r="X9" s="567" t="s">
        <v>739</v>
      </c>
      <c r="Y9" s="567" t="s">
        <v>31</v>
      </c>
      <c r="Z9" s="567" t="s">
        <v>26</v>
      </c>
      <c r="AA9" s="568"/>
      <c r="AB9" s="278"/>
      <c r="AC9" s="567" t="s">
        <v>76</v>
      </c>
      <c r="AD9" s="567" t="s">
        <v>783</v>
      </c>
      <c r="AE9" s="567" t="s">
        <v>251</v>
      </c>
      <c r="AF9" s="567" t="s">
        <v>226</v>
      </c>
      <c r="AG9" s="567" t="s">
        <v>253</v>
      </c>
      <c r="AH9" s="567" t="s">
        <v>675</v>
      </c>
      <c r="AI9" s="567" t="s">
        <v>28</v>
      </c>
      <c r="AJ9" s="567" t="s">
        <v>29</v>
      </c>
      <c r="AK9" s="718" t="s">
        <v>185</v>
      </c>
      <c r="AL9" s="567" t="s">
        <v>753</v>
      </c>
      <c r="AM9" s="624" t="s">
        <v>712</v>
      </c>
      <c r="AN9" s="567" t="s">
        <v>713</v>
      </c>
      <c r="AO9" s="567" t="s">
        <v>761</v>
      </c>
      <c r="AP9" s="718" t="s">
        <v>739</v>
      </c>
      <c r="AQ9" s="718" t="s">
        <v>780</v>
      </c>
      <c r="AR9" s="598" t="s">
        <v>673</v>
      </c>
      <c r="AS9" s="423" t="s">
        <v>758</v>
      </c>
      <c r="AT9" s="598" t="s">
        <v>137</v>
      </c>
      <c r="AU9" s="423" t="s">
        <v>29</v>
      </c>
      <c r="AV9" s="545" t="s">
        <v>27</v>
      </c>
      <c r="AW9" s="545" t="s">
        <v>837</v>
      </c>
      <c r="AX9" s="545" t="s">
        <v>176</v>
      </c>
      <c r="AY9" s="1046" t="s">
        <v>137</v>
      </c>
    </row>
    <row r="10" spans="1:51" s="585" customFormat="1">
      <c r="B10" s="588" t="s">
        <v>603</v>
      </c>
      <c r="E10" s="586">
        <v>1</v>
      </c>
      <c r="F10" s="586">
        <f>1+0.01</f>
        <v>1.01</v>
      </c>
      <c r="G10" s="586">
        <f>F10+0.01</f>
        <v>1.02</v>
      </c>
      <c r="H10" s="586">
        <f>G10+0.01</f>
        <v>1.03</v>
      </c>
      <c r="I10" s="586">
        <v>2.0099999999999998</v>
      </c>
      <c r="J10" s="587">
        <f>I10+0.01</f>
        <v>2.0199999999999996</v>
      </c>
      <c r="K10" s="586">
        <f t="shared" ref="K10:R10" si="0">J10+0.01</f>
        <v>2.0299999999999994</v>
      </c>
      <c r="L10" s="586">
        <f t="shared" si="0"/>
        <v>2.0399999999999991</v>
      </c>
      <c r="M10" s="586">
        <f t="shared" si="0"/>
        <v>2.0499999999999989</v>
      </c>
      <c r="N10" s="586">
        <f t="shared" si="0"/>
        <v>2.0599999999999987</v>
      </c>
      <c r="O10" s="586">
        <f t="shared" si="0"/>
        <v>2.0699999999999985</v>
      </c>
      <c r="P10" s="586">
        <f t="shared" si="0"/>
        <v>2.0799999999999983</v>
      </c>
      <c r="Q10" s="586">
        <f t="shared" si="0"/>
        <v>2.0899999999999981</v>
      </c>
      <c r="R10" s="587">
        <f t="shared" si="0"/>
        <v>2.0999999999999979</v>
      </c>
      <c r="S10" s="587">
        <f t="shared" ref="S10" si="1">R10+0.01</f>
        <v>2.1099999999999977</v>
      </c>
      <c r="T10" s="587">
        <f t="shared" ref="T10" si="2">S10+0.01</f>
        <v>2.1199999999999974</v>
      </c>
      <c r="U10" s="587">
        <f t="shared" ref="U10" si="3">T10+0.01</f>
        <v>2.1299999999999972</v>
      </c>
      <c r="V10" s="587">
        <f t="shared" ref="V10" si="4">U10+0.01</f>
        <v>2.139999999999997</v>
      </c>
      <c r="W10" s="587">
        <f t="shared" ref="W10" si="5">V10+0.01</f>
        <v>2.1499999999999968</v>
      </c>
      <c r="X10" s="587">
        <f t="shared" ref="X10" si="6">W10+0.01</f>
        <v>2.1599999999999966</v>
      </c>
      <c r="Y10" s="587">
        <f t="shared" ref="Y10" si="7">X10+0.01</f>
        <v>2.1699999999999964</v>
      </c>
      <c r="Z10" s="587">
        <f>Y10+0.01</f>
        <v>2.1799999999999962</v>
      </c>
      <c r="AA10" s="587">
        <f>Y10+0.01</f>
        <v>2.1799999999999962</v>
      </c>
      <c r="AB10" s="587">
        <f t="shared" ref="AB10" si="8">AA10+0.01</f>
        <v>2.1899999999999959</v>
      </c>
      <c r="AC10" s="587" t="s">
        <v>634</v>
      </c>
      <c r="AD10" s="587">
        <v>3.01</v>
      </c>
      <c r="AE10" s="399">
        <f t="shared" ref="AE10" si="9">AD10+0.01</f>
        <v>3.0199999999999996</v>
      </c>
      <c r="AF10" s="587">
        <f t="shared" ref="AF10:AM10" si="10">AE10+0.01</f>
        <v>3.0299999999999994</v>
      </c>
      <c r="AG10" s="587">
        <f t="shared" si="10"/>
        <v>3.0399999999999991</v>
      </c>
      <c r="AH10" s="587">
        <f t="shared" ref="AH10:AI10" si="11">AG10+0.01</f>
        <v>3.0499999999999989</v>
      </c>
      <c r="AI10" s="587">
        <f t="shared" si="11"/>
        <v>3.0599999999999987</v>
      </c>
      <c r="AJ10" s="587">
        <f t="shared" si="10"/>
        <v>3.0699999999999985</v>
      </c>
      <c r="AK10" s="587">
        <f t="shared" si="10"/>
        <v>3.0799999999999983</v>
      </c>
      <c r="AL10" s="587">
        <f t="shared" si="10"/>
        <v>3.0899999999999981</v>
      </c>
      <c r="AM10" s="587">
        <f t="shared" si="10"/>
        <v>3.0999999999999979</v>
      </c>
      <c r="AN10" s="587">
        <f t="shared" ref="AN10" si="12">AM10+0.01</f>
        <v>3.1099999999999977</v>
      </c>
      <c r="AO10" s="587">
        <f t="shared" ref="AO10" si="13">AN10+0.01</f>
        <v>3.1199999999999974</v>
      </c>
      <c r="AP10" s="587">
        <f>AO10+0.01</f>
        <v>3.1299999999999972</v>
      </c>
      <c r="AQ10" s="587">
        <f t="shared" ref="AQ10" si="14">AP10+0.01</f>
        <v>3.139999999999997</v>
      </c>
      <c r="AR10" s="599" t="s">
        <v>768</v>
      </c>
      <c r="AS10" s="587">
        <v>4</v>
      </c>
      <c r="AT10" s="599" t="s">
        <v>648</v>
      </c>
      <c r="AU10" s="631" t="s">
        <v>829</v>
      </c>
      <c r="AV10" s="585" t="s">
        <v>830</v>
      </c>
      <c r="AW10" s="585" t="s">
        <v>831</v>
      </c>
      <c r="AX10" s="585" t="s">
        <v>832</v>
      </c>
      <c r="AY10" s="1047" t="s">
        <v>1110</v>
      </c>
    </row>
    <row r="11" spans="1:51" s="585" customFormat="1">
      <c r="B11" s="588" t="s">
        <v>604</v>
      </c>
      <c r="E11" s="586" t="s">
        <v>605</v>
      </c>
      <c r="F11" s="586" t="s">
        <v>606</v>
      </c>
      <c r="G11" s="586" t="s">
        <v>607</v>
      </c>
      <c r="H11" s="586" t="s">
        <v>608</v>
      </c>
      <c r="I11" s="586" t="s">
        <v>609</v>
      </c>
      <c r="J11" s="587" t="s">
        <v>652</v>
      </c>
      <c r="K11" s="586" t="s">
        <v>610</v>
      </c>
      <c r="L11" s="586" t="s">
        <v>611</v>
      </c>
      <c r="M11" s="586" t="s">
        <v>612</v>
      </c>
      <c r="N11" s="586" t="s">
        <v>613</v>
      </c>
      <c r="O11" s="586" t="s">
        <v>650</v>
      </c>
      <c r="P11" s="586" t="s">
        <v>616</v>
      </c>
      <c r="Q11" s="586" t="s">
        <v>617</v>
      </c>
      <c r="R11" s="586" t="s">
        <v>692</v>
      </c>
      <c r="S11" s="587" t="s">
        <v>697</v>
      </c>
      <c r="T11" s="587" t="s">
        <v>618</v>
      </c>
      <c r="U11" s="586" t="s">
        <v>614</v>
      </c>
      <c r="V11" s="586" t="s">
        <v>615</v>
      </c>
      <c r="W11" s="399" t="s">
        <v>619</v>
      </c>
      <c r="X11" s="399" t="s">
        <v>705</v>
      </c>
      <c r="Y11" s="587" t="s">
        <v>620</v>
      </c>
      <c r="Z11" s="587" t="s">
        <v>744</v>
      </c>
      <c r="AA11" s="586" t="s">
        <v>649</v>
      </c>
      <c r="AB11" s="586" t="s">
        <v>649</v>
      </c>
      <c r="AC11" s="587"/>
      <c r="AD11" s="587" t="s">
        <v>622</v>
      </c>
      <c r="AE11" s="586" t="s">
        <v>623</v>
      </c>
      <c r="AF11" s="586" t="s">
        <v>624</v>
      </c>
      <c r="AG11" s="586" t="s">
        <v>625</v>
      </c>
      <c r="AH11" s="586" t="s">
        <v>787</v>
      </c>
      <c r="AI11" s="587" t="s">
        <v>651</v>
      </c>
      <c r="AJ11" s="586" t="s">
        <v>723</v>
      </c>
      <c r="AK11" s="587" t="s">
        <v>696</v>
      </c>
      <c r="AL11" s="587" t="s">
        <v>714</v>
      </c>
      <c r="AM11" s="399" t="s">
        <v>715</v>
      </c>
      <c r="AN11" s="399" t="s">
        <v>716</v>
      </c>
      <c r="AO11" s="399" t="s">
        <v>762</v>
      </c>
      <c r="AP11" s="399" t="s">
        <v>765</v>
      </c>
      <c r="AQ11" s="399" t="s">
        <v>781</v>
      </c>
      <c r="AR11" s="599"/>
      <c r="AS11" s="587" t="s">
        <v>621</v>
      </c>
      <c r="AT11" s="599"/>
      <c r="AU11" s="631"/>
      <c r="AY11" s="1047"/>
    </row>
    <row r="12" spans="1:51" s="585" customFormat="1" ht="12.75" customHeight="1">
      <c r="B12" s="588"/>
      <c r="E12" s="586"/>
      <c r="F12" s="586"/>
      <c r="G12" s="586"/>
      <c r="H12" s="586"/>
      <c r="I12" s="586"/>
      <c r="J12" s="587"/>
      <c r="K12" s="586"/>
      <c r="L12" s="586"/>
      <c r="M12" s="586"/>
      <c r="N12" s="586"/>
      <c r="O12" s="586"/>
      <c r="P12" s="586"/>
      <c r="Q12" s="586"/>
      <c r="R12" s="586"/>
      <c r="S12" s="587"/>
      <c r="T12" s="587"/>
      <c r="U12" s="586"/>
      <c r="V12" s="586"/>
      <c r="W12" s="399"/>
      <c r="X12" s="399"/>
      <c r="Y12" s="586"/>
      <c r="Z12" s="587"/>
      <c r="AA12" s="586"/>
      <c r="AB12" s="586"/>
      <c r="AC12" s="587"/>
      <c r="AD12" s="587"/>
      <c r="AE12" s="586"/>
      <c r="AF12" s="586"/>
      <c r="AG12" s="586"/>
      <c r="AH12" s="586"/>
      <c r="AI12" s="587"/>
      <c r="AJ12" s="586"/>
      <c r="AK12" s="587"/>
      <c r="AL12" s="586"/>
      <c r="AM12" s="399"/>
      <c r="AN12" s="399"/>
      <c r="AO12" s="399"/>
      <c r="AP12" s="399"/>
      <c r="AQ12" s="399"/>
      <c r="AR12" s="599"/>
      <c r="AS12" s="587"/>
      <c r="AT12" s="599"/>
      <c r="AU12" s="631"/>
      <c r="AY12" s="1047"/>
    </row>
    <row r="13" spans="1:51">
      <c r="B13" s="533" t="s">
        <v>189</v>
      </c>
      <c r="W13" s="569"/>
      <c r="X13" s="569"/>
      <c r="Y13" s="569"/>
      <c r="Z13" s="569"/>
      <c r="AE13" s="586"/>
      <c r="AM13" s="569"/>
      <c r="AN13" s="569"/>
      <c r="AO13" s="569"/>
      <c r="AP13" s="569"/>
      <c r="AQ13" s="569"/>
      <c r="AR13" s="600"/>
      <c r="AS13" s="569"/>
      <c r="AT13" s="600"/>
      <c r="AY13" s="1048"/>
    </row>
    <row r="14" spans="1:51" s="547" customFormat="1" ht="12.75">
      <c r="A14" s="778">
        <f t="shared" ref="A14:A19" ca="1" si="15">+MAX(OFFSET($A$1,0,0,ROW($A14)-ROW($A$1),1))+1</f>
        <v>1</v>
      </c>
      <c r="B14" s="547" t="s">
        <v>190</v>
      </c>
      <c r="E14" s="576">
        <f>'ROO INPUT'!F14</f>
        <v>516333</v>
      </c>
      <c r="F14" s="584">
        <v>0</v>
      </c>
      <c r="G14" s="584">
        <v>0</v>
      </c>
      <c r="H14" s="584">
        <v>0</v>
      </c>
      <c r="I14" s="584">
        <v>-17807</v>
      </c>
      <c r="J14" s="584">
        <v>0</v>
      </c>
      <c r="K14" s="584">
        <v>0</v>
      </c>
      <c r="L14" s="584">
        <v>0</v>
      </c>
      <c r="M14" s="584">
        <v>0</v>
      </c>
      <c r="N14" s="584">
        <v>0</v>
      </c>
      <c r="O14" s="584">
        <v>0</v>
      </c>
      <c r="P14" s="584">
        <v>0</v>
      </c>
      <c r="Q14" s="584">
        <v>0</v>
      </c>
      <c r="R14" s="584">
        <v>7392</v>
      </c>
      <c r="S14" s="584">
        <v>-18203</v>
      </c>
      <c r="T14" s="584">
        <v>0</v>
      </c>
      <c r="U14" s="584">
        <v>4698</v>
      </c>
      <c r="V14" s="584">
        <v>0</v>
      </c>
      <c r="W14" s="584">
        <v>0</v>
      </c>
      <c r="X14" s="584">
        <v>0</v>
      </c>
      <c r="Y14" s="584">
        <v>0</v>
      </c>
      <c r="Z14" s="584">
        <v>0</v>
      </c>
      <c r="AA14" s="584">
        <v>0</v>
      </c>
      <c r="AB14" s="584">
        <v>0</v>
      </c>
      <c r="AC14" s="354">
        <f>SUM(E14:AB14)</f>
        <v>492413</v>
      </c>
      <c r="AD14" s="584">
        <v>0</v>
      </c>
      <c r="AE14" s="586"/>
      <c r="AF14" s="584">
        <v>0</v>
      </c>
      <c r="AG14" s="584">
        <v>0</v>
      </c>
      <c r="AH14" s="584">
        <v>0</v>
      </c>
      <c r="AI14" s="584">
        <v>0</v>
      </c>
      <c r="AJ14" s="584">
        <v>0</v>
      </c>
      <c r="AK14" s="584">
        <v>-1225</v>
      </c>
      <c r="AL14" s="584">
        <v>0</v>
      </c>
      <c r="AM14" s="584">
        <v>0</v>
      </c>
      <c r="AN14" s="584">
        <v>0</v>
      </c>
      <c r="AO14" s="584">
        <v>0</v>
      </c>
      <c r="AP14" s="584">
        <v>0</v>
      </c>
      <c r="AQ14" s="584">
        <v>0</v>
      </c>
      <c r="AR14" s="601">
        <f t="shared" ref="AR14:AR19" si="16">SUM(AC14:AQ14)</f>
        <v>491188</v>
      </c>
      <c r="AS14" s="584">
        <v>0</v>
      </c>
      <c r="AT14" s="601">
        <f>AR14+AS14</f>
        <v>491188</v>
      </c>
      <c r="AU14" s="584">
        <v>0</v>
      </c>
      <c r="AV14" s="584">
        <v>0</v>
      </c>
      <c r="AW14" s="584">
        <v>0</v>
      </c>
      <c r="AX14" s="584">
        <v>0</v>
      </c>
      <c r="AY14" s="1049">
        <f t="shared" ref="AY14:AY19" si="17">+SUM(AT14:AX14)</f>
        <v>491188</v>
      </c>
    </row>
    <row r="15" spans="1:51" s="548" customFormat="1" ht="12.75">
      <c r="A15" s="778">
        <f t="shared" ca="1" si="15"/>
        <v>2</v>
      </c>
      <c r="B15" s="548" t="s">
        <v>191</v>
      </c>
      <c r="E15" s="551">
        <f>'ROO INPUT'!F15</f>
        <v>946</v>
      </c>
      <c r="F15" s="559">
        <v>0</v>
      </c>
      <c r="G15" s="559">
        <v>0</v>
      </c>
      <c r="H15" s="559">
        <v>0</v>
      </c>
      <c r="I15" s="559">
        <v>0</v>
      </c>
      <c r="J15" s="560">
        <v>0</v>
      </c>
      <c r="K15" s="559">
        <v>0</v>
      </c>
      <c r="L15" s="559">
        <v>0</v>
      </c>
      <c r="M15" s="559">
        <v>0</v>
      </c>
      <c r="N15" s="559">
        <v>0</v>
      </c>
      <c r="O15" s="559">
        <v>0</v>
      </c>
      <c r="P15" s="559">
        <v>0</v>
      </c>
      <c r="Q15" s="559">
        <v>0</v>
      </c>
      <c r="R15" s="559">
        <v>0</v>
      </c>
      <c r="S15" s="560">
        <v>0</v>
      </c>
      <c r="T15" s="560">
        <v>0</v>
      </c>
      <c r="U15" s="559" t="s">
        <v>638</v>
      </c>
      <c r="V15" s="559">
        <v>0</v>
      </c>
      <c r="W15" s="569">
        <v>0</v>
      </c>
      <c r="X15" s="569">
        <v>0</v>
      </c>
      <c r="Y15" s="560">
        <v>0</v>
      </c>
      <c r="Z15" s="560">
        <v>0</v>
      </c>
      <c r="AA15" s="560">
        <v>0</v>
      </c>
      <c r="AB15" s="559">
        <v>0</v>
      </c>
      <c r="AC15" s="558">
        <f>SUM(E15:AB15)</f>
        <v>946</v>
      </c>
      <c r="AD15" s="560">
        <v>0</v>
      </c>
      <c r="AE15" s="586"/>
      <c r="AF15" s="559">
        <v>0</v>
      </c>
      <c r="AG15" s="559">
        <v>0</v>
      </c>
      <c r="AH15" s="559">
        <v>0</v>
      </c>
      <c r="AI15" s="559">
        <v>0</v>
      </c>
      <c r="AJ15" s="559">
        <v>0</v>
      </c>
      <c r="AK15" s="560">
        <v>0</v>
      </c>
      <c r="AL15" s="559">
        <v>0</v>
      </c>
      <c r="AM15" s="569">
        <v>0</v>
      </c>
      <c r="AN15" s="569">
        <v>0</v>
      </c>
      <c r="AO15" s="569">
        <v>0</v>
      </c>
      <c r="AP15" s="569">
        <v>0</v>
      </c>
      <c r="AQ15" s="569">
        <v>0</v>
      </c>
      <c r="AR15" s="600">
        <f t="shared" si="16"/>
        <v>946</v>
      </c>
      <c r="AS15" s="560">
        <v>0</v>
      </c>
      <c r="AT15" s="600">
        <f>AR15+AS15</f>
        <v>946</v>
      </c>
      <c r="AU15" s="560">
        <v>0</v>
      </c>
      <c r="AV15" s="560">
        <v>0</v>
      </c>
      <c r="AW15" s="560">
        <v>0</v>
      </c>
      <c r="AX15" s="560">
        <v>0</v>
      </c>
      <c r="AY15" s="1048">
        <f t="shared" si="17"/>
        <v>946</v>
      </c>
    </row>
    <row r="16" spans="1:51" s="548" customFormat="1" ht="12.75">
      <c r="A16" s="778">
        <f t="shared" ca="1" si="15"/>
        <v>3</v>
      </c>
      <c r="B16" s="548" t="s">
        <v>192</v>
      </c>
      <c r="E16" s="581">
        <f>'ROO INPUT'!F16</f>
        <v>78098</v>
      </c>
      <c r="F16" s="571">
        <v>0</v>
      </c>
      <c r="G16" s="571">
        <v>0</v>
      </c>
      <c r="H16" s="571">
        <v>0</v>
      </c>
      <c r="I16" s="571">
        <v>0</v>
      </c>
      <c r="J16" s="570">
        <v>0</v>
      </c>
      <c r="K16" s="571">
        <v>0</v>
      </c>
      <c r="L16" s="571">
        <v>0</v>
      </c>
      <c r="M16" s="571">
        <v>0</v>
      </c>
      <c r="N16" s="571">
        <v>0</v>
      </c>
      <c r="O16" s="571">
        <v>0</v>
      </c>
      <c r="P16" s="571">
        <v>0</v>
      </c>
      <c r="Q16" s="571">
        <v>0</v>
      </c>
      <c r="R16" s="571">
        <v>0</v>
      </c>
      <c r="S16" s="570">
        <v>0</v>
      </c>
      <c r="T16" s="570">
        <v>0</v>
      </c>
      <c r="U16" s="571">
        <v>0</v>
      </c>
      <c r="V16" s="571">
        <v>0</v>
      </c>
      <c r="W16" s="570">
        <v>0</v>
      </c>
      <c r="X16" s="570">
        <v>0</v>
      </c>
      <c r="Y16" s="570">
        <v>0</v>
      </c>
      <c r="Z16" s="570">
        <v>-20773</v>
      </c>
      <c r="AA16" s="570">
        <v>0</v>
      </c>
      <c r="AB16" s="571">
        <v>0</v>
      </c>
      <c r="AC16" s="280">
        <f>SUM(E16:AB16)</f>
        <v>57325</v>
      </c>
      <c r="AD16" s="570">
        <v>0</v>
      </c>
      <c r="AE16" s="586"/>
      <c r="AF16" s="571">
        <v>0</v>
      </c>
      <c r="AG16" s="571">
        <v>0</v>
      </c>
      <c r="AH16" s="571">
        <v>0</v>
      </c>
      <c r="AI16" s="571">
        <v>0</v>
      </c>
      <c r="AJ16" s="571">
        <v>0</v>
      </c>
      <c r="AK16" s="570">
        <v>0</v>
      </c>
      <c r="AL16" s="571">
        <v>0</v>
      </c>
      <c r="AM16" s="570">
        <v>0</v>
      </c>
      <c r="AN16" s="570">
        <v>0</v>
      </c>
      <c r="AO16" s="570">
        <v>0</v>
      </c>
      <c r="AP16" s="570">
        <v>0</v>
      </c>
      <c r="AQ16" s="570">
        <v>0</v>
      </c>
      <c r="AR16" s="602">
        <f t="shared" si="16"/>
        <v>57325</v>
      </c>
      <c r="AS16" s="570">
        <v>0</v>
      </c>
      <c r="AT16" s="602">
        <f>AR16+AS16</f>
        <v>57325</v>
      </c>
      <c r="AU16" s="570">
        <v>0</v>
      </c>
      <c r="AV16" s="570">
        <v>0</v>
      </c>
      <c r="AW16" s="570">
        <v>0</v>
      </c>
      <c r="AX16" s="570">
        <v>0</v>
      </c>
      <c r="AY16" s="1050">
        <f t="shared" si="17"/>
        <v>57325</v>
      </c>
    </row>
    <row r="17" spans="1:51" s="548" customFormat="1" ht="12.75">
      <c r="A17" s="778">
        <f t="shared" ca="1" si="15"/>
        <v>4</v>
      </c>
      <c r="B17" s="548" t="s">
        <v>193</v>
      </c>
      <c r="E17" s="551">
        <f t="shared" ref="E17:AF17" si="18">SUM(E14:E16)</f>
        <v>595377</v>
      </c>
      <c r="F17" s="559">
        <f t="shared" si="18"/>
        <v>0</v>
      </c>
      <c r="G17" s="559">
        <f t="shared" si="18"/>
        <v>0</v>
      </c>
      <c r="H17" s="559">
        <f t="shared" si="18"/>
        <v>0</v>
      </c>
      <c r="I17" s="559">
        <f t="shared" si="18"/>
        <v>-17807</v>
      </c>
      <c r="J17" s="560">
        <f t="shared" ref="J17" si="19">SUM(J14:J16)</f>
        <v>0</v>
      </c>
      <c r="K17" s="559">
        <f t="shared" si="18"/>
        <v>0</v>
      </c>
      <c r="L17" s="559">
        <f t="shared" si="18"/>
        <v>0</v>
      </c>
      <c r="M17" s="559">
        <f t="shared" si="18"/>
        <v>0</v>
      </c>
      <c r="N17" s="559">
        <f t="shared" si="18"/>
        <v>0</v>
      </c>
      <c r="O17" s="559">
        <f t="shared" si="18"/>
        <v>0</v>
      </c>
      <c r="P17" s="559">
        <f t="shared" si="18"/>
        <v>0</v>
      </c>
      <c r="Q17" s="559">
        <f t="shared" si="18"/>
        <v>0</v>
      </c>
      <c r="R17" s="559">
        <f t="shared" si="18"/>
        <v>7392</v>
      </c>
      <c r="S17" s="560">
        <f t="shared" ref="S17" si="20">SUM(S14:S16)</f>
        <v>-18203</v>
      </c>
      <c r="T17" s="560">
        <f>SUM(T14:T16)</f>
        <v>0</v>
      </c>
      <c r="U17" s="559">
        <f>SUM(U14:U16)</f>
        <v>4698</v>
      </c>
      <c r="V17" s="559">
        <f>SUM(V14:V16)</f>
        <v>0</v>
      </c>
      <c r="W17" s="569">
        <f t="shared" ref="W17" si="21">SUM(W14:W16)</f>
        <v>0</v>
      </c>
      <c r="X17" s="569">
        <f t="shared" ref="X17" si="22">SUM(X14:X16)</f>
        <v>0</v>
      </c>
      <c r="Y17" s="560">
        <f>SUM(Y14:Y16)</f>
        <v>0</v>
      </c>
      <c r="Z17" s="560">
        <f t="shared" ref="Z17" si="23">SUM(Z14:Z16)</f>
        <v>-20773</v>
      </c>
      <c r="AA17" s="560">
        <f>SUM(AA14:AA16)</f>
        <v>0</v>
      </c>
      <c r="AB17" s="559">
        <f>SUM(AB14:AB16)</f>
        <v>0</v>
      </c>
      <c r="AC17" s="558">
        <f t="shared" si="18"/>
        <v>550684</v>
      </c>
      <c r="AD17" s="560">
        <f>SUM(AD14:AD16)</f>
        <v>0</v>
      </c>
      <c r="AE17" s="559">
        <f>SUM(AE14:AE16)</f>
        <v>0</v>
      </c>
      <c r="AF17" s="559">
        <f t="shared" si="18"/>
        <v>0</v>
      </c>
      <c r="AG17" s="559">
        <f t="shared" ref="AG17" si="24">SUM(AG14:AG16)</f>
        <v>0</v>
      </c>
      <c r="AH17" s="559">
        <f>SUM(AH14:AH16)</f>
        <v>0</v>
      </c>
      <c r="AI17" s="559">
        <f>SUM(AI14:AI16)</f>
        <v>0</v>
      </c>
      <c r="AJ17" s="559">
        <f t="shared" ref="AJ17" si="25">SUM(AJ14:AJ16)</f>
        <v>0</v>
      </c>
      <c r="AK17" s="560">
        <f t="shared" ref="AK17:AO17" si="26">SUM(AK14:AK16)</f>
        <v>-1225</v>
      </c>
      <c r="AL17" s="559">
        <f t="shared" si="26"/>
        <v>0</v>
      </c>
      <c r="AM17" s="569">
        <f t="shared" si="26"/>
        <v>0</v>
      </c>
      <c r="AN17" s="569">
        <f t="shared" si="26"/>
        <v>0</v>
      </c>
      <c r="AO17" s="569">
        <f t="shared" si="26"/>
        <v>0</v>
      </c>
      <c r="AP17" s="569">
        <f>SUM(AP14:AP16)</f>
        <v>0</v>
      </c>
      <c r="AQ17" s="569">
        <f t="shared" ref="AQ17" si="27">SUM(AQ14:AQ16)</f>
        <v>0</v>
      </c>
      <c r="AR17" s="600">
        <f t="shared" si="16"/>
        <v>549459</v>
      </c>
      <c r="AS17" s="560">
        <f>SUM(AS14:AS16)</f>
        <v>0</v>
      </c>
      <c r="AT17" s="600">
        <f t="shared" ref="AT17:AT19" si="28">AR17+AS17</f>
        <v>549459</v>
      </c>
      <c r="AU17" s="560">
        <f t="shared" ref="AU17:AX17" si="29">SUM(AU14:AU16)</f>
        <v>0</v>
      </c>
      <c r="AV17" s="560">
        <f t="shared" si="29"/>
        <v>0</v>
      </c>
      <c r="AW17" s="560">
        <f t="shared" si="29"/>
        <v>0</v>
      </c>
      <c r="AX17" s="560">
        <f t="shared" si="29"/>
        <v>0</v>
      </c>
      <c r="AY17" s="1048">
        <f t="shared" si="17"/>
        <v>549459</v>
      </c>
    </row>
    <row r="18" spans="1:51" s="548" customFormat="1" ht="12.75">
      <c r="A18" s="778">
        <f t="shared" ca="1" si="15"/>
        <v>5</v>
      </c>
      <c r="B18" s="548" t="s">
        <v>194</v>
      </c>
      <c r="E18" s="581">
        <f>'ROO INPUT'!F18</f>
        <v>81735</v>
      </c>
      <c r="F18" s="571">
        <v>0</v>
      </c>
      <c r="G18" s="571">
        <v>0</v>
      </c>
      <c r="H18" s="571">
        <v>0</v>
      </c>
      <c r="I18" s="571">
        <v>-14</v>
      </c>
      <c r="J18" s="570">
        <v>0</v>
      </c>
      <c r="K18" s="571">
        <v>0</v>
      </c>
      <c r="L18" s="571">
        <v>0</v>
      </c>
      <c r="M18" s="571">
        <v>0</v>
      </c>
      <c r="N18" s="571">
        <v>0</v>
      </c>
      <c r="O18" s="571">
        <v>0</v>
      </c>
      <c r="P18" s="571">
        <v>0</v>
      </c>
      <c r="Q18" s="571">
        <v>0</v>
      </c>
      <c r="R18" s="571">
        <v>-5775</v>
      </c>
      <c r="S18" s="570">
        <v>684</v>
      </c>
      <c r="T18" s="570">
        <v>-2566</v>
      </c>
      <c r="U18" s="571">
        <v>0</v>
      </c>
      <c r="V18" s="571">
        <v>0</v>
      </c>
      <c r="W18" s="570">
        <v>0</v>
      </c>
      <c r="X18" s="570">
        <v>0</v>
      </c>
      <c r="Y18" s="570">
        <v>0</v>
      </c>
      <c r="Z18" s="570">
        <f>-77721-Z16</f>
        <v>-56948</v>
      </c>
      <c r="AA18" s="570">
        <v>0</v>
      </c>
      <c r="AB18" s="571">
        <v>0</v>
      </c>
      <c r="AC18" s="280">
        <f>SUM(E18:AB18)</f>
        <v>17116</v>
      </c>
      <c r="AD18" s="570">
        <v>71</v>
      </c>
      <c r="AE18" s="571">
        <v>0</v>
      </c>
      <c r="AF18" s="571">
        <v>0</v>
      </c>
      <c r="AG18" s="571">
        <v>0</v>
      </c>
      <c r="AH18" s="571">
        <v>0</v>
      </c>
      <c r="AI18" s="571">
        <v>0</v>
      </c>
      <c r="AJ18" s="571">
        <v>0</v>
      </c>
      <c r="AK18" s="570">
        <v>-3887</v>
      </c>
      <c r="AL18" s="571">
        <v>0</v>
      </c>
      <c r="AM18" s="570">
        <v>0</v>
      </c>
      <c r="AN18" s="570">
        <v>0</v>
      </c>
      <c r="AO18" s="570">
        <v>0</v>
      </c>
      <c r="AP18" s="570">
        <v>0</v>
      </c>
      <c r="AQ18" s="570">
        <v>0</v>
      </c>
      <c r="AR18" s="602">
        <f t="shared" si="16"/>
        <v>13300</v>
      </c>
      <c r="AS18" s="570">
        <v>0</v>
      </c>
      <c r="AT18" s="602">
        <f t="shared" si="28"/>
        <v>13300</v>
      </c>
      <c r="AU18" s="570">
        <v>0</v>
      </c>
      <c r="AV18" s="570">
        <v>0</v>
      </c>
      <c r="AW18" s="570">
        <v>0</v>
      </c>
      <c r="AX18" s="570">
        <v>0</v>
      </c>
      <c r="AY18" s="1050">
        <f t="shared" si="17"/>
        <v>13300</v>
      </c>
    </row>
    <row r="19" spans="1:51" s="548" customFormat="1" ht="12.75">
      <c r="A19" s="778">
        <f t="shared" ca="1" si="15"/>
        <v>6</v>
      </c>
      <c r="B19" s="548" t="s">
        <v>195</v>
      </c>
      <c r="E19" s="551">
        <f t="shared" ref="E19:AG19" si="30">SUM(E17:E18)</f>
        <v>677112</v>
      </c>
      <c r="F19" s="559">
        <f t="shared" si="30"/>
        <v>0</v>
      </c>
      <c r="G19" s="559">
        <f t="shared" si="30"/>
        <v>0</v>
      </c>
      <c r="H19" s="559">
        <f t="shared" si="30"/>
        <v>0</v>
      </c>
      <c r="I19" s="559">
        <f t="shared" si="30"/>
        <v>-17821</v>
      </c>
      <c r="J19" s="560">
        <f t="shared" ref="J19" si="31">SUM(J17:J18)</f>
        <v>0</v>
      </c>
      <c r="K19" s="559">
        <f t="shared" si="30"/>
        <v>0</v>
      </c>
      <c r="L19" s="559">
        <f t="shared" si="30"/>
        <v>0</v>
      </c>
      <c r="M19" s="559">
        <f t="shared" si="30"/>
        <v>0</v>
      </c>
      <c r="N19" s="559">
        <f t="shared" si="30"/>
        <v>0</v>
      </c>
      <c r="O19" s="559">
        <f t="shared" si="30"/>
        <v>0</v>
      </c>
      <c r="P19" s="559">
        <f t="shared" si="30"/>
        <v>0</v>
      </c>
      <c r="Q19" s="559">
        <f t="shared" si="30"/>
        <v>0</v>
      </c>
      <c r="R19" s="559">
        <f t="shared" si="30"/>
        <v>1617</v>
      </c>
      <c r="S19" s="560">
        <f t="shared" ref="S19" si="32">SUM(S17:S18)</f>
        <v>-17519</v>
      </c>
      <c r="T19" s="560">
        <f>SUM(T17:T18)</f>
        <v>-2566</v>
      </c>
      <c r="U19" s="559">
        <f>SUM(U17:U18)</f>
        <v>4698</v>
      </c>
      <c r="V19" s="559">
        <f>SUM(V17:V18)</f>
        <v>0</v>
      </c>
      <c r="W19" s="569">
        <f t="shared" ref="W19:X19" si="33">SUM(W17:W18)</f>
        <v>0</v>
      </c>
      <c r="X19" s="569">
        <f t="shared" si="33"/>
        <v>0</v>
      </c>
      <c r="Y19" s="560">
        <f>SUM(Y17:Y18)</f>
        <v>0</v>
      </c>
      <c r="Z19" s="560">
        <f t="shared" ref="Z19" si="34">SUM(Z17:Z18)</f>
        <v>-77721</v>
      </c>
      <c r="AA19" s="560">
        <f>SUM(AA17:AA18)</f>
        <v>0</v>
      </c>
      <c r="AB19" s="559">
        <f>SUM(AB17:AB18)</f>
        <v>0</v>
      </c>
      <c r="AC19" s="558">
        <f t="shared" si="30"/>
        <v>567800</v>
      </c>
      <c r="AD19" s="560">
        <f>SUM(AD17:AD18)</f>
        <v>71</v>
      </c>
      <c r="AE19" s="559">
        <f>SUM(AE17:AE18)</f>
        <v>0</v>
      </c>
      <c r="AF19" s="559">
        <f t="shared" si="30"/>
        <v>0</v>
      </c>
      <c r="AG19" s="560">
        <f t="shared" si="30"/>
        <v>0</v>
      </c>
      <c r="AH19" s="559">
        <f>SUM(AH17:AH18)</f>
        <v>0</v>
      </c>
      <c r="AI19" s="560">
        <f>SUM(AI17:AI18)</f>
        <v>0</v>
      </c>
      <c r="AJ19" s="559">
        <f t="shared" ref="AJ19" si="35">SUM(AJ17:AJ18)</f>
        <v>0</v>
      </c>
      <c r="AK19" s="560">
        <f>SUM(AK17:AK18)</f>
        <v>-5112</v>
      </c>
      <c r="AL19" s="560">
        <f>SUM(AL17:AL18)</f>
        <v>0</v>
      </c>
      <c r="AM19" s="569">
        <f>SUM(AM17:AM18)</f>
        <v>0</v>
      </c>
      <c r="AN19" s="569">
        <f>SUM(AN17:AN18)</f>
        <v>0</v>
      </c>
      <c r="AO19" s="569">
        <f t="shared" ref="AO19" si="36">SUM(AO17:AO18)</f>
        <v>0</v>
      </c>
      <c r="AP19" s="569">
        <f>SUM(AP17:AP18)</f>
        <v>0</v>
      </c>
      <c r="AQ19" s="569">
        <f t="shared" ref="AQ19" si="37">SUM(AQ17:AQ18)</f>
        <v>0</v>
      </c>
      <c r="AR19" s="600">
        <f t="shared" si="16"/>
        <v>562759</v>
      </c>
      <c r="AS19" s="560">
        <f>SUM(AS17:AS18)</f>
        <v>0</v>
      </c>
      <c r="AT19" s="600">
        <f t="shared" si="28"/>
        <v>562759</v>
      </c>
      <c r="AU19" s="560">
        <f t="shared" ref="AU19:AX19" si="38">SUM(AU17:AU18)</f>
        <v>0</v>
      </c>
      <c r="AV19" s="560">
        <f t="shared" si="38"/>
        <v>0</v>
      </c>
      <c r="AW19" s="560">
        <f t="shared" si="38"/>
        <v>0</v>
      </c>
      <c r="AX19" s="560">
        <f t="shared" si="38"/>
        <v>0</v>
      </c>
      <c r="AY19" s="1048">
        <f t="shared" si="17"/>
        <v>562759</v>
      </c>
    </row>
    <row r="20" spans="1:51" s="548" customFormat="1">
      <c r="A20" s="546"/>
      <c r="E20" s="551"/>
      <c r="F20" s="559"/>
      <c r="G20" s="559"/>
      <c r="H20" s="559"/>
      <c r="I20" s="559"/>
      <c r="J20" s="560"/>
      <c r="K20" s="559"/>
      <c r="L20" s="559"/>
      <c r="M20" s="559"/>
      <c r="N20" s="559"/>
      <c r="O20" s="559"/>
      <c r="P20" s="559"/>
      <c r="Q20" s="559"/>
      <c r="R20" s="559"/>
      <c r="S20" s="560"/>
      <c r="T20" s="560"/>
      <c r="U20" s="559"/>
      <c r="V20" s="559"/>
      <c r="W20" s="569"/>
      <c r="X20" s="569"/>
      <c r="Y20" s="560"/>
      <c r="Z20" s="560"/>
      <c r="AA20" s="560"/>
      <c r="AB20" s="559"/>
      <c r="AC20" s="558"/>
      <c r="AD20" s="560"/>
      <c r="AE20" s="559"/>
      <c r="AF20" s="559"/>
      <c r="AG20" s="560"/>
      <c r="AH20" s="559"/>
      <c r="AI20" s="560"/>
      <c r="AJ20" s="559"/>
      <c r="AK20" s="560"/>
      <c r="AL20" s="560"/>
      <c r="AM20" s="569"/>
      <c r="AN20" s="569"/>
      <c r="AO20" s="569"/>
      <c r="AP20" s="569"/>
      <c r="AQ20" s="569"/>
      <c r="AR20" s="600"/>
      <c r="AS20" s="560"/>
      <c r="AT20" s="600"/>
      <c r="AU20" s="560"/>
      <c r="AV20" s="560"/>
      <c r="AW20" s="560"/>
      <c r="AX20" s="560"/>
      <c r="AY20" s="1048"/>
    </row>
    <row r="21" spans="1:51" s="548" customFormat="1">
      <c r="A21" s="546"/>
      <c r="B21" s="548" t="s">
        <v>196</v>
      </c>
      <c r="E21" s="551"/>
      <c r="F21" s="559"/>
      <c r="G21" s="559"/>
      <c r="H21" s="559"/>
      <c r="I21" s="559"/>
      <c r="J21" s="560"/>
      <c r="K21" s="559"/>
      <c r="L21" s="559"/>
      <c r="M21" s="559"/>
      <c r="N21" s="559"/>
      <c r="O21" s="559"/>
      <c r="P21" s="559"/>
      <c r="Q21" s="559"/>
      <c r="R21" s="559"/>
      <c r="S21" s="560"/>
      <c r="T21" s="560"/>
      <c r="U21" s="559"/>
      <c r="V21" s="559"/>
      <c r="W21" s="569"/>
      <c r="X21" s="569"/>
      <c r="Y21" s="560"/>
      <c r="Z21" s="560"/>
      <c r="AA21" s="560"/>
      <c r="AB21" s="559"/>
      <c r="AC21" s="558"/>
      <c r="AD21" s="560"/>
      <c r="AE21" s="559"/>
      <c r="AF21" s="559"/>
      <c r="AG21" s="560"/>
      <c r="AH21" s="559"/>
      <c r="AI21" s="560"/>
      <c r="AJ21" s="559"/>
      <c r="AK21" s="560"/>
      <c r="AL21" s="560"/>
      <c r="AM21" s="569"/>
      <c r="AN21" s="569"/>
      <c r="AO21" s="569"/>
      <c r="AP21" s="569"/>
      <c r="AQ21" s="569"/>
      <c r="AR21" s="600"/>
      <c r="AS21" s="560"/>
      <c r="AT21" s="600"/>
      <c r="AU21" s="560"/>
      <c r="AV21" s="560"/>
      <c r="AW21" s="560"/>
      <c r="AX21" s="560"/>
      <c r="AY21" s="1048"/>
    </row>
    <row r="22" spans="1:51" s="548" customFormat="1">
      <c r="A22" s="546"/>
      <c r="B22" s="548" t="s">
        <v>197</v>
      </c>
      <c r="E22" s="551"/>
      <c r="F22" s="559"/>
      <c r="G22" s="559"/>
      <c r="H22" s="559"/>
      <c r="I22" s="559"/>
      <c r="J22" s="560"/>
      <c r="K22" s="559"/>
      <c r="L22" s="559"/>
      <c r="M22" s="559"/>
      <c r="N22" s="559"/>
      <c r="O22" s="559"/>
      <c r="P22" s="559"/>
      <c r="Q22" s="559"/>
      <c r="R22" s="559"/>
      <c r="S22" s="560"/>
      <c r="T22" s="560"/>
      <c r="U22" s="559"/>
      <c r="V22" s="559"/>
      <c r="W22" s="569"/>
      <c r="X22" s="569"/>
      <c r="Y22" s="560"/>
      <c r="Z22" s="560"/>
      <c r="AA22" s="560"/>
      <c r="AB22" s="559"/>
      <c r="AC22" s="558"/>
      <c r="AD22" s="560"/>
      <c r="AE22" s="559"/>
      <c r="AF22" s="559"/>
      <c r="AG22" s="560"/>
      <c r="AH22" s="559"/>
      <c r="AI22" s="560"/>
      <c r="AJ22" s="559"/>
      <c r="AK22" s="560"/>
      <c r="AL22" s="560"/>
      <c r="AM22" s="569"/>
      <c r="AN22" s="569"/>
      <c r="AO22" s="569"/>
      <c r="AP22" s="569"/>
      <c r="AQ22" s="569"/>
      <c r="AR22" s="600">
        <f t="shared" ref="AR22:AR28" si="39">SUM(AC22:AQ22)</f>
        <v>0</v>
      </c>
      <c r="AS22" s="560"/>
      <c r="AT22" s="600">
        <f t="shared" ref="AT22:AT28" si="40">AR22+AS22</f>
        <v>0</v>
      </c>
      <c r="AU22" s="560"/>
      <c r="AV22" s="560"/>
      <c r="AW22" s="560"/>
      <c r="AX22" s="560"/>
      <c r="AY22" s="1048">
        <f t="shared" ref="AY22:AY28" si="41">+SUM(AT22:AX22)</f>
        <v>0</v>
      </c>
    </row>
    <row r="23" spans="1:51" s="548" customFormat="1" ht="12.75">
      <c r="A23" s="778">
        <f t="shared" ref="A23:A28" ca="1" si="42">+MAX(OFFSET($A$1,0,0,ROW($A23)-ROW($A$1),1))+1</f>
        <v>7</v>
      </c>
      <c r="C23" s="548" t="s">
        <v>198</v>
      </c>
      <c r="E23" s="551">
        <f>'ROO INPUT'!F23</f>
        <v>184672</v>
      </c>
      <c r="F23" s="559">
        <v>0</v>
      </c>
      <c r="G23" s="559">
        <v>4</v>
      </c>
      <c r="H23" s="559">
        <v>0</v>
      </c>
      <c r="I23" s="559">
        <v>0</v>
      </c>
      <c r="J23" s="560">
        <v>0</v>
      </c>
      <c r="K23" s="559">
        <v>0</v>
      </c>
      <c r="L23" s="559">
        <v>0</v>
      </c>
      <c r="M23" s="559">
        <v>0</v>
      </c>
      <c r="N23" s="559">
        <v>0</v>
      </c>
      <c r="O23" s="559">
        <v>0</v>
      </c>
      <c r="P23" s="559">
        <v>0</v>
      </c>
      <c r="Q23" s="559">
        <v>0</v>
      </c>
      <c r="R23" s="559">
        <v>0</v>
      </c>
      <c r="S23" s="560">
        <v>-383</v>
      </c>
      <c r="T23" s="560">
        <v>-5</v>
      </c>
      <c r="U23" s="559">
        <v>-2270</v>
      </c>
      <c r="V23" s="559">
        <v>-4</v>
      </c>
      <c r="W23" s="569">
        <v>0</v>
      </c>
      <c r="X23" s="569">
        <v>-1174</v>
      </c>
      <c r="Y23" s="560">
        <v>0</v>
      </c>
      <c r="Z23" s="560">
        <f>-65881-Z24</f>
        <v>-46240</v>
      </c>
      <c r="AA23" s="560">
        <v>0</v>
      </c>
      <c r="AB23" s="559">
        <v>0</v>
      </c>
      <c r="AC23" s="558">
        <f>SUM(E23:AB23)</f>
        <v>134600</v>
      </c>
      <c r="AD23" s="560">
        <f>146+26</f>
        <v>172</v>
      </c>
      <c r="AE23" s="812">
        <v>538.34</v>
      </c>
      <c r="AF23" s="560">
        <v>0</v>
      </c>
      <c r="AG23" s="560">
        <v>-125</v>
      </c>
      <c r="AH23" s="559">
        <v>0</v>
      </c>
      <c r="AI23" s="560">
        <v>0</v>
      </c>
      <c r="AJ23" s="724">
        <v>0</v>
      </c>
      <c r="AK23" s="560">
        <v>0</v>
      </c>
      <c r="AL23" s="560">
        <f>-244-12+8</f>
        <v>-248</v>
      </c>
      <c r="AM23" s="569">
        <v>0</v>
      </c>
      <c r="AN23" s="569">
        <v>0</v>
      </c>
      <c r="AO23" s="569">
        <v>0</v>
      </c>
      <c r="AP23" s="569">
        <v>347</v>
      </c>
      <c r="AQ23" s="569">
        <v>0</v>
      </c>
      <c r="AR23" s="600">
        <f t="shared" si="39"/>
        <v>135284.34</v>
      </c>
      <c r="AS23" s="560">
        <v>0</v>
      </c>
      <c r="AT23" s="600">
        <f t="shared" si="40"/>
        <v>135284.34</v>
      </c>
      <c r="AU23" s="560">
        <v>0</v>
      </c>
      <c r="AV23" s="560">
        <v>0</v>
      </c>
      <c r="AW23" s="560">
        <v>0</v>
      </c>
      <c r="AX23" s="560">
        <v>0</v>
      </c>
      <c r="AY23" s="1048">
        <f t="shared" si="41"/>
        <v>135284.34</v>
      </c>
    </row>
    <row r="24" spans="1:51" s="548" customFormat="1" ht="12.75">
      <c r="A24" s="778">
        <f t="shared" ca="1" si="42"/>
        <v>8</v>
      </c>
      <c r="C24" s="548" t="s">
        <v>199</v>
      </c>
      <c r="E24" s="551">
        <f>'ROO INPUT'!F24</f>
        <v>96772</v>
      </c>
      <c r="F24" s="559">
        <v>0</v>
      </c>
      <c r="G24" s="559"/>
      <c r="H24" s="559">
        <v>0</v>
      </c>
      <c r="I24" s="559">
        <v>0</v>
      </c>
      <c r="J24" s="560">
        <v>0</v>
      </c>
      <c r="K24" s="559">
        <v>0</v>
      </c>
      <c r="L24" s="559">
        <v>0</v>
      </c>
      <c r="M24" s="559">
        <v>0</v>
      </c>
      <c r="N24" s="559">
        <v>0</v>
      </c>
      <c r="O24" s="559">
        <v>0</v>
      </c>
      <c r="P24" s="559">
        <v>0</v>
      </c>
      <c r="Q24" s="559">
        <v>0</v>
      </c>
      <c r="R24" s="559">
        <v>0</v>
      </c>
      <c r="S24" s="560">
        <v>0</v>
      </c>
      <c r="T24" s="560">
        <v>0</v>
      </c>
      <c r="U24" s="559">
        <v>0</v>
      </c>
      <c r="V24" s="559">
        <v>0</v>
      </c>
      <c r="W24" s="569">
        <v>0</v>
      </c>
      <c r="X24" s="569">
        <v>0</v>
      </c>
      <c r="Y24" s="560">
        <v>0</v>
      </c>
      <c r="Z24" s="560">
        <v>-19641</v>
      </c>
      <c r="AA24" s="560">
        <v>0</v>
      </c>
      <c r="AB24" s="559">
        <v>0</v>
      </c>
      <c r="AC24" s="558">
        <f>SUM(E24:AB24)</f>
        <v>77131</v>
      </c>
      <c r="AD24" s="560">
        <v>0</v>
      </c>
      <c r="AE24" s="559">
        <v>0</v>
      </c>
      <c r="AF24" s="559">
        <v>0</v>
      </c>
      <c r="AG24" s="560"/>
      <c r="AH24" s="559">
        <v>0</v>
      </c>
      <c r="AI24" s="560">
        <v>0</v>
      </c>
      <c r="AJ24" s="559">
        <v>0</v>
      </c>
      <c r="AK24" s="560">
        <v>0</v>
      </c>
      <c r="AL24" s="560">
        <v>0</v>
      </c>
      <c r="AM24" s="569">
        <v>0</v>
      </c>
      <c r="AN24" s="569">
        <v>0</v>
      </c>
      <c r="AO24" s="569">
        <v>0</v>
      </c>
      <c r="AP24" s="569">
        <v>0</v>
      </c>
      <c r="AQ24" s="569">
        <v>0</v>
      </c>
      <c r="AR24" s="600">
        <f t="shared" si="39"/>
        <v>77131</v>
      </c>
      <c r="AS24" s="560">
        <v>0</v>
      </c>
      <c r="AT24" s="600">
        <f t="shared" si="40"/>
        <v>77131</v>
      </c>
      <c r="AU24" s="560">
        <v>0</v>
      </c>
      <c r="AV24" s="560">
        <v>0</v>
      </c>
      <c r="AW24" s="560">
        <v>0</v>
      </c>
      <c r="AX24" s="560">
        <v>0</v>
      </c>
      <c r="AY24" s="1048">
        <f t="shared" si="41"/>
        <v>77131</v>
      </c>
    </row>
    <row r="25" spans="1:51" s="548" customFormat="1" ht="12.75">
      <c r="A25" s="778">
        <f t="shared" ca="1" si="42"/>
        <v>9</v>
      </c>
      <c r="C25" s="548" t="s">
        <v>588</v>
      </c>
      <c r="E25" s="551">
        <f>'ROO INPUT'!F25</f>
        <v>26677</v>
      </c>
      <c r="F25" s="559">
        <v>0</v>
      </c>
      <c r="G25" s="559">
        <v>0</v>
      </c>
      <c r="H25" s="559">
        <v>0</v>
      </c>
      <c r="I25" s="559">
        <v>0</v>
      </c>
      <c r="J25" s="560">
        <v>0</v>
      </c>
      <c r="K25" s="559">
        <v>0</v>
      </c>
      <c r="L25" s="551">
        <f>'ROO INPUT'!M25</f>
        <v>0</v>
      </c>
      <c r="M25" s="559">
        <v>0</v>
      </c>
      <c r="N25" s="559">
        <v>0</v>
      </c>
      <c r="O25" s="559">
        <v>0</v>
      </c>
      <c r="P25" s="559">
        <v>0</v>
      </c>
      <c r="Q25" s="559">
        <v>0</v>
      </c>
      <c r="R25" s="559">
        <v>0</v>
      </c>
      <c r="S25" s="560">
        <v>0</v>
      </c>
      <c r="T25" s="560">
        <v>0</v>
      </c>
      <c r="U25" s="559">
        <v>0</v>
      </c>
      <c r="V25" s="559">
        <v>0</v>
      </c>
      <c r="W25" s="569">
        <v>0</v>
      </c>
      <c r="X25" s="569">
        <v>0</v>
      </c>
      <c r="Y25" s="560">
        <v>0</v>
      </c>
      <c r="Z25" s="560">
        <v>0</v>
      </c>
      <c r="AA25" s="560">
        <v>0</v>
      </c>
      <c r="AB25" s="559">
        <v>0</v>
      </c>
      <c r="AC25" s="558">
        <f>SUM(E25:AB25)</f>
        <v>26677</v>
      </c>
      <c r="AD25" s="560">
        <v>0</v>
      </c>
      <c r="AE25" s="559">
        <v>0</v>
      </c>
      <c r="AF25" s="559">
        <v>0</v>
      </c>
      <c r="AG25" s="560">
        <v>0</v>
      </c>
      <c r="AH25" s="559">
        <v>0</v>
      </c>
      <c r="AI25" s="560">
        <v>0</v>
      </c>
      <c r="AJ25" s="559">
        <v>0</v>
      </c>
      <c r="AK25" s="560">
        <v>0</v>
      </c>
      <c r="AL25" s="560">
        <v>0</v>
      </c>
      <c r="AM25" s="569">
        <v>129</v>
      </c>
      <c r="AN25" s="569">
        <v>0</v>
      </c>
      <c r="AO25" s="569">
        <v>0</v>
      </c>
      <c r="AP25" s="569">
        <v>0</v>
      </c>
      <c r="AQ25" s="569">
        <v>0</v>
      </c>
      <c r="AR25" s="600">
        <f t="shared" si="39"/>
        <v>26806</v>
      </c>
      <c r="AS25" s="560">
        <v>0</v>
      </c>
      <c r="AT25" s="600">
        <f t="shared" si="40"/>
        <v>26806</v>
      </c>
      <c r="AU25" s="560">
        <v>0</v>
      </c>
      <c r="AV25" s="560">
        <v>0</v>
      </c>
      <c r="AW25" s="560">
        <v>0</v>
      </c>
      <c r="AX25" s="560">
        <v>0</v>
      </c>
      <c r="AY25" s="1048">
        <f t="shared" si="41"/>
        <v>26806</v>
      </c>
    </row>
    <row r="26" spans="1:51" s="548" customFormat="1" ht="12.75">
      <c r="A26" s="778">
        <f t="shared" ca="1" si="42"/>
        <v>10</v>
      </c>
      <c r="C26" s="551" t="s">
        <v>584</v>
      </c>
      <c r="D26" s="551"/>
      <c r="E26" s="551">
        <f>'ROO INPUT'!F26</f>
        <v>4310</v>
      </c>
      <c r="F26" s="560">
        <v>0</v>
      </c>
      <c r="G26" s="560">
        <v>0</v>
      </c>
      <c r="H26" s="560">
        <v>0</v>
      </c>
      <c r="I26" s="560">
        <v>0</v>
      </c>
      <c r="J26" s="560">
        <v>0</v>
      </c>
      <c r="K26" s="560">
        <v>0</v>
      </c>
      <c r="L26" s="560">
        <v>0</v>
      </c>
      <c r="M26" s="560">
        <v>0</v>
      </c>
      <c r="N26" s="560">
        <v>0</v>
      </c>
      <c r="O26" s="560">
        <v>0</v>
      </c>
      <c r="P26" s="560">
        <v>0</v>
      </c>
      <c r="Q26" s="560">
        <v>0</v>
      </c>
      <c r="R26" s="560">
        <v>0</v>
      </c>
      <c r="S26" s="560">
        <v>395</v>
      </c>
      <c r="T26" s="560">
        <v>0</v>
      </c>
      <c r="U26" s="560">
        <v>0</v>
      </c>
      <c r="V26" s="560">
        <v>0</v>
      </c>
      <c r="W26" s="569">
        <v>0</v>
      </c>
      <c r="X26" s="569">
        <v>0</v>
      </c>
      <c r="Y26" s="560">
        <v>0</v>
      </c>
      <c r="Z26" s="560"/>
      <c r="AA26" s="560">
        <v>0</v>
      </c>
      <c r="AB26" s="560">
        <v>0</v>
      </c>
      <c r="AC26" s="558">
        <f>SUM(E26:AB26)</f>
        <v>4705</v>
      </c>
      <c r="AD26" s="560"/>
      <c r="AE26" s="560"/>
      <c r="AF26" s="560"/>
      <c r="AG26" s="560"/>
      <c r="AH26" s="560">
        <v>0</v>
      </c>
      <c r="AI26" s="560">
        <v>0</v>
      </c>
      <c r="AJ26" s="560">
        <v>0</v>
      </c>
      <c r="AK26" s="560">
        <v>0</v>
      </c>
      <c r="AL26" s="560">
        <v>-1393</v>
      </c>
      <c r="AM26" s="569"/>
      <c r="AN26" s="569">
        <v>0</v>
      </c>
      <c r="AO26" s="569">
        <v>0</v>
      </c>
      <c r="AP26" s="569">
        <v>0</v>
      </c>
      <c r="AQ26" s="569">
        <v>0</v>
      </c>
      <c r="AR26" s="600">
        <f t="shared" si="39"/>
        <v>3312</v>
      </c>
      <c r="AS26" s="560"/>
      <c r="AT26" s="600">
        <f t="shared" si="40"/>
        <v>3312</v>
      </c>
      <c r="AU26" s="560"/>
      <c r="AV26" s="560"/>
      <c r="AW26" s="560"/>
      <c r="AX26" s="560"/>
      <c r="AY26" s="1048">
        <f t="shared" si="41"/>
        <v>3312</v>
      </c>
    </row>
    <row r="27" spans="1:51" s="548" customFormat="1" ht="12.75">
      <c r="A27" s="778">
        <f t="shared" ca="1" si="42"/>
        <v>11</v>
      </c>
      <c r="C27" s="548" t="s">
        <v>200</v>
      </c>
      <c r="E27" s="581">
        <f>'ROO INPUT'!F27</f>
        <v>14904</v>
      </c>
      <c r="F27" s="571">
        <v>0</v>
      </c>
      <c r="G27" s="571">
        <v>0</v>
      </c>
      <c r="H27" s="571">
        <v>0</v>
      </c>
      <c r="I27" s="571">
        <v>0</v>
      </c>
      <c r="J27" s="570">
        <v>86</v>
      </c>
      <c r="K27" s="571">
        <v>0</v>
      </c>
      <c r="L27" s="571">
        <v>0</v>
      </c>
      <c r="M27" s="571">
        <v>0</v>
      </c>
      <c r="N27" s="571">
        <v>0</v>
      </c>
      <c r="O27" s="571">
        <v>0</v>
      </c>
      <c r="P27" s="571">
        <v>0</v>
      </c>
      <c r="Q27" s="571">
        <v>0</v>
      </c>
      <c r="R27" s="571">
        <v>0</v>
      </c>
      <c r="S27" s="570">
        <v>0</v>
      </c>
      <c r="T27" s="570">
        <v>0</v>
      </c>
      <c r="U27" s="571">
        <v>0</v>
      </c>
      <c r="V27" s="571">
        <v>0</v>
      </c>
      <c r="W27" s="570">
        <v>0</v>
      </c>
      <c r="X27" s="570">
        <v>0</v>
      </c>
      <c r="Y27" s="570">
        <v>0</v>
      </c>
      <c r="Z27" s="570">
        <v>0</v>
      </c>
      <c r="AA27" s="570">
        <v>0</v>
      </c>
      <c r="AB27" s="571">
        <v>0</v>
      </c>
      <c r="AC27" s="280">
        <f>SUM(E27:AB27)</f>
        <v>14990</v>
      </c>
      <c r="AD27" s="570">
        <v>0</v>
      </c>
      <c r="AE27" s="571">
        <v>0</v>
      </c>
      <c r="AF27" s="571">
        <v>0</v>
      </c>
      <c r="AG27" s="570">
        <v>0</v>
      </c>
      <c r="AH27" s="571">
        <v>0</v>
      </c>
      <c r="AI27" s="570">
        <v>1578</v>
      </c>
      <c r="AJ27" s="571">
        <v>0</v>
      </c>
      <c r="AK27" s="570">
        <v>0</v>
      </c>
      <c r="AL27" s="570">
        <v>0</v>
      </c>
      <c r="AM27" s="570">
        <v>0</v>
      </c>
      <c r="AN27" s="570">
        <v>0</v>
      </c>
      <c r="AO27" s="570">
        <v>0</v>
      </c>
      <c r="AP27" s="570">
        <v>0</v>
      </c>
      <c r="AQ27" s="570">
        <v>0</v>
      </c>
      <c r="AR27" s="602">
        <f t="shared" si="39"/>
        <v>16568</v>
      </c>
      <c r="AS27" s="570">
        <v>0</v>
      </c>
      <c r="AT27" s="602">
        <f t="shared" si="40"/>
        <v>16568</v>
      </c>
      <c r="AU27" s="570">
        <v>0</v>
      </c>
      <c r="AV27" s="570">
        <v>0</v>
      </c>
      <c r="AW27" s="570">
        <v>0</v>
      </c>
      <c r="AX27" s="570">
        <v>0</v>
      </c>
      <c r="AY27" s="1050">
        <f t="shared" si="41"/>
        <v>16568</v>
      </c>
    </row>
    <row r="28" spans="1:51" s="548" customFormat="1" ht="12.75">
      <c r="A28" s="778">
        <f t="shared" ca="1" si="42"/>
        <v>12</v>
      </c>
      <c r="B28" s="548" t="s">
        <v>201</v>
      </c>
      <c r="E28" s="551">
        <f t="shared" ref="E28:AF28" si="43">SUM(E23:E27)</f>
        <v>327335</v>
      </c>
      <c r="F28" s="559">
        <f t="shared" si="43"/>
        <v>0</v>
      </c>
      <c r="G28" s="559">
        <f t="shared" si="43"/>
        <v>4</v>
      </c>
      <c r="H28" s="559">
        <f t="shared" si="43"/>
        <v>0</v>
      </c>
      <c r="I28" s="559">
        <f t="shared" si="43"/>
        <v>0</v>
      </c>
      <c r="J28" s="560">
        <f t="shared" ref="J28" si="44">SUM(J23:J27)</f>
        <v>86</v>
      </c>
      <c r="K28" s="559">
        <f t="shared" si="43"/>
        <v>0</v>
      </c>
      <c r="L28" s="559">
        <f t="shared" si="43"/>
        <v>0</v>
      </c>
      <c r="M28" s="559">
        <f t="shared" si="43"/>
        <v>0</v>
      </c>
      <c r="N28" s="559">
        <f t="shared" si="43"/>
        <v>0</v>
      </c>
      <c r="O28" s="559">
        <f t="shared" si="43"/>
        <v>0</v>
      </c>
      <c r="P28" s="559">
        <f t="shared" si="43"/>
        <v>0</v>
      </c>
      <c r="Q28" s="559">
        <f t="shared" si="43"/>
        <v>0</v>
      </c>
      <c r="R28" s="559">
        <f t="shared" si="43"/>
        <v>0</v>
      </c>
      <c r="S28" s="560">
        <f t="shared" ref="S28" si="45">SUM(S23:S27)</f>
        <v>12</v>
      </c>
      <c r="T28" s="560">
        <f>SUM(T23:T27)</f>
        <v>-5</v>
      </c>
      <c r="U28" s="559">
        <f>SUM(U23:U27)</f>
        <v>-2270</v>
      </c>
      <c r="V28" s="559">
        <f>SUM(V23:V27)</f>
        <v>-4</v>
      </c>
      <c r="W28" s="569">
        <f t="shared" ref="W28" si="46">SUM(W23:W27)</f>
        <v>0</v>
      </c>
      <c r="X28" s="569">
        <f t="shared" ref="X28" si="47">SUM(X23:X27)</f>
        <v>-1174</v>
      </c>
      <c r="Y28" s="560">
        <f>SUM(Y23:Y27)</f>
        <v>0</v>
      </c>
      <c r="Z28" s="560">
        <f t="shared" ref="Z28" si="48">SUM(Z23:Z27)</f>
        <v>-65881</v>
      </c>
      <c r="AA28" s="560">
        <f>SUM(AA23:AA27)</f>
        <v>0</v>
      </c>
      <c r="AB28" s="559">
        <f>SUM(AB23:AB27)</f>
        <v>0</v>
      </c>
      <c r="AC28" s="558">
        <f t="shared" si="43"/>
        <v>258103</v>
      </c>
      <c r="AD28" s="560">
        <f>SUM(AD23:AD27)</f>
        <v>172</v>
      </c>
      <c r="AE28" s="559">
        <f>SUM(AE23:AE27)</f>
        <v>538.34</v>
      </c>
      <c r="AF28" s="559">
        <f t="shared" si="43"/>
        <v>0</v>
      </c>
      <c r="AG28" s="560">
        <f t="shared" ref="AG28" si="49">SUM(AG23:AG27)</f>
        <v>-125</v>
      </c>
      <c r="AH28" s="559">
        <f>SUM(AH23:AH27)</f>
        <v>0</v>
      </c>
      <c r="AI28" s="560">
        <f>SUM(AI23:AI27)</f>
        <v>1578</v>
      </c>
      <c r="AJ28" s="559">
        <f t="shared" ref="AJ28" si="50">SUM(AJ23:AJ27)</f>
        <v>0</v>
      </c>
      <c r="AK28" s="560">
        <f t="shared" ref="AK28:AO28" si="51">SUM(AK23:AK27)</f>
        <v>0</v>
      </c>
      <c r="AL28" s="560">
        <f t="shared" si="51"/>
        <v>-1641</v>
      </c>
      <c r="AM28" s="569">
        <f t="shared" si="51"/>
        <v>129</v>
      </c>
      <c r="AN28" s="569">
        <f t="shared" si="51"/>
        <v>0</v>
      </c>
      <c r="AO28" s="569">
        <f t="shared" si="51"/>
        <v>0</v>
      </c>
      <c r="AP28" s="569">
        <f>SUM(AP23:AP27)</f>
        <v>347</v>
      </c>
      <c r="AQ28" s="569">
        <f t="shared" ref="AQ28" si="52">SUM(AQ23:AQ27)</f>
        <v>0</v>
      </c>
      <c r="AR28" s="600">
        <f t="shared" si="39"/>
        <v>259101.34</v>
      </c>
      <c r="AS28" s="560">
        <f>SUM(AS23:AS27)</f>
        <v>0</v>
      </c>
      <c r="AT28" s="600">
        <f t="shared" si="40"/>
        <v>259101.34</v>
      </c>
      <c r="AU28" s="560">
        <f t="shared" ref="AU28:AX28" si="53">SUM(AU23:AU27)</f>
        <v>0</v>
      </c>
      <c r="AV28" s="560">
        <f t="shared" si="53"/>
        <v>0</v>
      </c>
      <c r="AW28" s="560">
        <f t="shared" si="53"/>
        <v>0</v>
      </c>
      <c r="AX28" s="560">
        <f t="shared" si="53"/>
        <v>0</v>
      </c>
      <c r="AY28" s="1048">
        <f t="shared" si="41"/>
        <v>259101.34</v>
      </c>
    </row>
    <row r="29" spans="1:51" s="548" customFormat="1">
      <c r="A29" s="546"/>
      <c r="E29" s="551"/>
      <c r="F29" s="559"/>
      <c r="G29" s="559"/>
      <c r="H29" s="559"/>
      <c r="I29" s="559"/>
      <c r="J29" s="560"/>
      <c r="K29" s="559"/>
      <c r="L29" s="559"/>
      <c r="M29" s="559"/>
      <c r="N29" s="559"/>
      <c r="O29" s="559"/>
      <c r="P29" s="559"/>
      <c r="Q29" s="559"/>
      <c r="R29" s="559"/>
      <c r="S29" s="560"/>
      <c r="T29" s="560"/>
      <c r="U29" s="559"/>
      <c r="V29" s="559"/>
      <c r="W29" s="569"/>
      <c r="X29" s="569"/>
      <c r="Y29" s="560"/>
      <c r="Z29" s="560"/>
      <c r="AA29" s="560"/>
      <c r="AB29" s="559"/>
      <c r="AC29" s="558"/>
      <c r="AD29" s="560"/>
      <c r="AE29" s="559"/>
      <c r="AF29" s="559"/>
      <c r="AG29" s="560"/>
      <c r="AH29" s="559"/>
      <c r="AI29" s="560"/>
      <c r="AJ29" s="559"/>
      <c r="AK29" s="560"/>
      <c r="AL29" s="560"/>
      <c r="AM29" s="569"/>
      <c r="AN29" s="569"/>
      <c r="AO29" s="569"/>
      <c r="AP29" s="569"/>
      <c r="AQ29" s="569"/>
      <c r="AR29" s="600"/>
      <c r="AS29" s="560"/>
      <c r="AT29" s="600"/>
      <c r="AU29" s="560"/>
      <c r="AV29" s="560"/>
      <c r="AW29" s="560"/>
      <c r="AX29" s="560"/>
      <c r="AY29" s="1048"/>
    </row>
    <row r="30" spans="1:51" s="548" customFormat="1">
      <c r="A30" s="546"/>
      <c r="B30" s="548" t="s">
        <v>202</v>
      </c>
      <c r="E30" s="551"/>
      <c r="F30" s="559"/>
      <c r="G30" s="559"/>
      <c r="H30" s="559"/>
      <c r="I30" s="559"/>
      <c r="J30" s="560"/>
      <c r="K30" s="559"/>
      <c r="L30" s="559"/>
      <c r="M30" s="559"/>
      <c r="N30" s="559"/>
      <c r="O30" s="559"/>
      <c r="P30" s="559"/>
      <c r="Q30" s="559"/>
      <c r="R30" s="559"/>
      <c r="S30" s="560"/>
      <c r="T30" s="560"/>
      <c r="U30" s="559"/>
      <c r="V30" s="559"/>
      <c r="W30" s="569"/>
      <c r="X30" s="569"/>
      <c r="Y30" s="560"/>
      <c r="Z30" s="560"/>
      <c r="AA30" s="560"/>
      <c r="AB30" s="559"/>
      <c r="AC30" s="558"/>
      <c r="AD30" s="560"/>
      <c r="AE30" s="559"/>
      <c r="AF30" s="559"/>
      <c r="AG30" s="560"/>
      <c r="AH30" s="559"/>
      <c r="AI30" s="560"/>
      <c r="AJ30" s="559"/>
      <c r="AK30" s="560"/>
      <c r="AL30" s="560"/>
      <c r="AM30" s="569"/>
      <c r="AN30" s="569"/>
      <c r="AO30" s="569"/>
      <c r="AP30" s="569"/>
      <c r="AQ30" s="569"/>
      <c r="AR30" s="600">
        <f t="shared" ref="AR30:AR35" si="54">SUM(AC30:AQ30)</f>
        <v>0</v>
      </c>
      <c r="AS30" s="560"/>
      <c r="AT30" s="600"/>
      <c r="AU30" s="560"/>
      <c r="AV30" s="560"/>
      <c r="AW30" s="560"/>
      <c r="AX30" s="560"/>
      <c r="AY30" s="1048"/>
    </row>
    <row r="31" spans="1:51" s="548" customFormat="1" ht="12.75">
      <c r="A31" s="778">
        <f t="shared" ref="A31:A35" ca="1" si="55">+MAX(OFFSET($A$1,0,0,ROW($A31)-ROW($A$1),1))+1</f>
        <v>13</v>
      </c>
      <c r="C31" s="548" t="s">
        <v>198</v>
      </c>
      <c r="E31" s="555">
        <f>'ROO INPUT'!F31</f>
        <v>21420</v>
      </c>
      <c r="F31" s="559">
        <v>0</v>
      </c>
      <c r="G31" s="559">
        <v>0</v>
      </c>
      <c r="H31" s="559">
        <v>0</v>
      </c>
      <c r="I31" s="559">
        <v>0</v>
      </c>
      <c r="J31" s="560">
        <v>0</v>
      </c>
      <c r="K31" s="559">
        <v>0</v>
      </c>
      <c r="L31" s="559">
        <v>0</v>
      </c>
      <c r="M31" s="559">
        <v>0</v>
      </c>
      <c r="N31" s="559">
        <v>0</v>
      </c>
      <c r="O31" s="559">
        <v>0</v>
      </c>
      <c r="P31" s="559">
        <v>0</v>
      </c>
      <c r="Q31" s="559">
        <v>0</v>
      </c>
      <c r="R31" s="559">
        <v>0</v>
      </c>
      <c r="S31" s="560">
        <v>0</v>
      </c>
      <c r="T31" s="560">
        <v>-2</v>
      </c>
      <c r="U31" s="559">
        <v>0</v>
      </c>
      <c r="V31" s="559">
        <v>0</v>
      </c>
      <c r="W31" s="569"/>
      <c r="X31" s="569">
        <v>0</v>
      </c>
      <c r="Y31" s="560">
        <v>0</v>
      </c>
      <c r="Z31" s="560">
        <v>0</v>
      </c>
      <c r="AA31" s="560">
        <v>0</v>
      </c>
      <c r="AB31" s="559">
        <v>0</v>
      </c>
      <c r="AC31" s="558">
        <f>SUM(E31:AB31)</f>
        <v>21418</v>
      </c>
      <c r="AD31" s="560">
        <v>0</v>
      </c>
      <c r="AE31" s="812">
        <v>327.46899999999999</v>
      </c>
      <c r="AF31" s="559"/>
      <c r="AG31" s="560">
        <v>-77</v>
      </c>
      <c r="AH31" s="559"/>
      <c r="AI31" s="560">
        <v>0</v>
      </c>
      <c r="AJ31" s="559">
        <v>0</v>
      </c>
      <c r="AK31" s="560">
        <v>0</v>
      </c>
      <c r="AL31" s="560">
        <v>0</v>
      </c>
      <c r="AM31" s="569">
        <v>0</v>
      </c>
      <c r="AN31" s="569">
        <v>0</v>
      </c>
      <c r="AO31" s="569">
        <v>0</v>
      </c>
      <c r="AP31" s="569">
        <v>0</v>
      </c>
      <c r="AQ31" s="569">
        <v>532</v>
      </c>
      <c r="AR31" s="600">
        <f t="shared" si="54"/>
        <v>22200.469000000001</v>
      </c>
      <c r="AS31" s="560">
        <v>0</v>
      </c>
      <c r="AT31" s="600">
        <f t="shared" ref="AT31:AT35" si="56">AR31+AS31</f>
        <v>22200.469000000001</v>
      </c>
      <c r="AU31" s="560">
        <v>0</v>
      </c>
      <c r="AV31" s="560">
        <v>0</v>
      </c>
      <c r="AW31" s="560">
        <v>0</v>
      </c>
      <c r="AX31" s="560">
        <v>0</v>
      </c>
      <c r="AY31" s="1048">
        <f t="shared" ref="AY31:AY35" si="57">+SUM(AT31:AX31)</f>
        <v>22200.469000000001</v>
      </c>
    </row>
    <row r="32" spans="1:51" s="548" customFormat="1" ht="12.75">
      <c r="A32" s="778">
        <f t="shared" ca="1" si="55"/>
        <v>14</v>
      </c>
      <c r="C32" s="548" t="s">
        <v>587</v>
      </c>
      <c r="E32" s="555">
        <f>'ROO INPUT'!F32</f>
        <v>27913</v>
      </c>
      <c r="F32" s="559">
        <v>0</v>
      </c>
      <c r="G32" s="559">
        <v>0</v>
      </c>
      <c r="H32" s="559">
        <v>0</v>
      </c>
      <c r="I32" s="559">
        <v>0</v>
      </c>
      <c r="J32" s="560">
        <v>0</v>
      </c>
      <c r="K32" s="559">
        <v>0</v>
      </c>
      <c r="L32" s="559">
        <v>0</v>
      </c>
      <c r="M32" s="559">
        <v>0</v>
      </c>
      <c r="N32" s="559">
        <v>0</v>
      </c>
      <c r="O32" s="559">
        <v>0</v>
      </c>
      <c r="P32" s="559">
        <v>0</v>
      </c>
      <c r="Q32" s="559">
        <v>-94</v>
      </c>
      <c r="R32" s="559">
        <v>0</v>
      </c>
      <c r="S32" s="560">
        <v>0</v>
      </c>
      <c r="T32" s="560">
        <v>0</v>
      </c>
      <c r="U32" s="559">
        <v>0</v>
      </c>
      <c r="V32" s="559">
        <v>0</v>
      </c>
      <c r="W32" s="569">
        <v>0</v>
      </c>
      <c r="X32" s="569">
        <v>0</v>
      </c>
      <c r="Y32" s="560">
        <v>0</v>
      </c>
      <c r="Z32" s="560">
        <v>0</v>
      </c>
      <c r="AA32" s="560">
        <v>0</v>
      </c>
      <c r="AB32" s="559">
        <v>0</v>
      </c>
      <c r="AC32" s="558">
        <f>SUM(E32:AB32)</f>
        <v>27819</v>
      </c>
      <c r="AD32" s="560">
        <v>0</v>
      </c>
      <c r="AE32" s="559">
        <v>0</v>
      </c>
      <c r="AF32" s="559">
        <v>0</v>
      </c>
      <c r="AG32" s="560">
        <v>0</v>
      </c>
      <c r="AH32" s="559">
        <v>0</v>
      </c>
      <c r="AI32" s="560">
        <v>0</v>
      </c>
      <c r="AJ32" s="559">
        <v>0</v>
      </c>
      <c r="AK32" s="560">
        <v>0</v>
      </c>
      <c r="AL32" s="560">
        <v>0</v>
      </c>
      <c r="AM32" s="569"/>
      <c r="AN32" s="569">
        <v>-875</v>
      </c>
      <c r="AO32" s="569">
        <v>0</v>
      </c>
      <c r="AP32" s="569">
        <v>0</v>
      </c>
      <c r="AQ32" s="569">
        <v>0</v>
      </c>
      <c r="AR32" s="600">
        <f t="shared" si="54"/>
        <v>26944</v>
      </c>
      <c r="AS32" s="560">
        <v>0</v>
      </c>
      <c r="AT32" s="600">
        <f t="shared" si="56"/>
        <v>26944</v>
      </c>
      <c r="AU32" s="560">
        <v>0</v>
      </c>
      <c r="AV32" s="560">
        <v>0</v>
      </c>
      <c r="AW32" s="560">
        <v>0</v>
      </c>
      <c r="AX32" s="560">
        <v>0</v>
      </c>
      <c r="AY32" s="1048">
        <f t="shared" si="57"/>
        <v>26944</v>
      </c>
    </row>
    <row r="33" spans="1:51" s="548" customFormat="1" ht="12.75">
      <c r="A33" s="778">
        <f t="shared" ca="1" si="55"/>
        <v>15</v>
      </c>
      <c r="C33" s="548" t="s">
        <v>584</v>
      </c>
      <c r="E33" s="555">
        <v>0</v>
      </c>
      <c r="F33" s="559">
        <v>0</v>
      </c>
      <c r="G33" s="559">
        <v>0</v>
      </c>
      <c r="H33" s="559">
        <v>0</v>
      </c>
      <c r="I33" s="559">
        <v>0</v>
      </c>
      <c r="J33" s="560">
        <v>0</v>
      </c>
      <c r="K33" s="559">
        <v>0</v>
      </c>
      <c r="L33" s="559">
        <v>0</v>
      </c>
      <c r="M33" s="559">
        <v>0</v>
      </c>
      <c r="N33" s="559">
        <v>0</v>
      </c>
      <c r="O33" s="559">
        <v>0</v>
      </c>
      <c r="P33" s="559">
        <v>0</v>
      </c>
      <c r="Q33" s="559">
        <v>0</v>
      </c>
      <c r="R33" s="559">
        <v>0</v>
      </c>
      <c r="S33" s="560">
        <v>0</v>
      </c>
      <c r="T33" s="560">
        <v>0</v>
      </c>
      <c r="U33" s="559">
        <v>0</v>
      </c>
      <c r="V33" s="559">
        <v>0</v>
      </c>
      <c r="W33" s="569">
        <v>0</v>
      </c>
      <c r="X33" s="569">
        <v>0</v>
      </c>
      <c r="Y33" s="560">
        <v>0</v>
      </c>
      <c r="Z33" s="560">
        <v>0</v>
      </c>
      <c r="AA33" s="560">
        <v>0</v>
      </c>
      <c r="AB33" s="559">
        <v>0</v>
      </c>
      <c r="AC33" s="558">
        <f>SUM(E33:AB33)</f>
        <v>0</v>
      </c>
      <c r="AD33" s="560">
        <v>0</v>
      </c>
      <c r="AE33" s="559">
        <v>0</v>
      </c>
      <c r="AF33" s="559">
        <v>0</v>
      </c>
      <c r="AG33" s="560">
        <v>0</v>
      </c>
      <c r="AH33" s="559">
        <v>0</v>
      </c>
      <c r="AI33" s="560">
        <v>0</v>
      </c>
      <c r="AJ33" s="559">
        <v>0</v>
      </c>
      <c r="AK33" s="560">
        <v>0</v>
      </c>
      <c r="AL33" s="560">
        <v>0</v>
      </c>
      <c r="AM33" s="569">
        <v>0</v>
      </c>
      <c r="AN33" s="569">
        <v>0</v>
      </c>
      <c r="AO33" s="569">
        <v>0</v>
      </c>
      <c r="AP33" s="569">
        <v>0</v>
      </c>
      <c r="AQ33" s="569">
        <v>0</v>
      </c>
      <c r="AR33" s="600">
        <f t="shared" si="54"/>
        <v>0</v>
      </c>
      <c r="AS33" s="560">
        <v>0</v>
      </c>
      <c r="AT33" s="600">
        <f t="shared" si="56"/>
        <v>0</v>
      </c>
      <c r="AU33" s="560">
        <v>0</v>
      </c>
      <c r="AV33" s="560">
        <v>0</v>
      </c>
      <c r="AW33" s="560">
        <v>0</v>
      </c>
      <c r="AX33" s="560">
        <v>0</v>
      </c>
      <c r="AY33" s="1048">
        <f t="shared" si="57"/>
        <v>0</v>
      </c>
    </row>
    <row r="34" spans="1:51" s="548" customFormat="1" ht="12.75">
      <c r="A34" s="778">
        <f t="shared" ca="1" si="55"/>
        <v>16</v>
      </c>
      <c r="C34" s="548" t="s">
        <v>200</v>
      </c>
      <c r="E34" s="581">
        <f>'ROO INPUT'!F34</f>
        <v>45258</v>
      </c>
      <c r="F34" s="571">
        <v>0</v>
      </c>
      <c r="G34" s="571">
        <v>0</v>
      </c>
      <c r="H34" s="571">
        <v>0</v>
      </c>
      <c r="I34" s="571">
        <v>-17674</v>
      </c>
      <c r="J34" s="570">
        <v>-336</v>
      </c>
      <c r="K34" s="571">
        <v>0</v>
      </c>
      <c r="L34" s="571">
        <v>0</v>
      </c>
      <c r="M34" s="571">
        <v>0</v>
      </c>
      <c r="N34" s="571">
        <v>0</v>
      </c>
      <c r="O34" s="571">
        <v>0</v>
      </c>
      <c r="P34" s="571">
        <v>-62</v>
      </c>
      <c r="Q34" s="571">
        <v>0</v>
      </c>
      <c r="R34" s="571">
        <v>284</v>
      </c>
      <c r="S34" s="571">
        <f>ROUND(S$14*'Tab 3 Conversion Factor'!$E$16,0)</f>
        <v>-700</v>
      </c>
      <c r="T34" s="571">
        <v>0</v>
      </c>
      <c r="U34" s="571">
        <f>ROUND(U$14*'Tab 3 Conversion Factor'!$E$16,0)</f>
        <v>181</v>
      </c>
      <c r="V34" s="571">
        <v>0</v>
      </c>
      <c r="W34" s="570">
        <v>0</v>
      </c>
      <c r="X34" s="570">
        <v>0</v>
      </c>
      <c r="Y34" s="570">
        <v>0</v>
      </c>
      <c r="Z34" s="570">
        <v>0</v>
      </c>
      <c r="AA34" s="570">
        <v>0</v>
      </c>
      <c r="AB34" s="571">
        <v>0</v>
      </c>
      <c r="AC34" s="280">
        <f>SUM(E34:AB34)</f>
        <v>26951</v>
      </c>
      <c r="AD34" s="570">
        <v>0</v>
      </c>
      <c r="AE34" s="571">
        <v>0</v>
      </c>
      <c r="AF34" s="571">
        <v>0</v>
      </c>
      <c r="AG34" s="570">
        <v>0</v>
      </c>
      <c r="AH34" s="571">
        <v>0</v>
      </c>
      <c r="AI34" s="570">
        <v>880</v>
      </c>
      <c r="AJ34" s="571">
        <v>0</v>
      </c>
      <c r="AK34" s="571">
        <f>ROUND(AK$14*'Tab 3 Conversion Factor'!$E$16,0)</f>
        <v>-47</v>
      </c>
      <c r="AL34" s="570">
        <v>0</v>
      </c>
      <c r="AM34" s="570">
        <v>0</v>
      </c>
      <c r="AN34" s="570">
        <v>0</v>
      </c>
      <c r="AO34" s="570">
        <v>0</v>
      </c>
      <c r="AP34" s="570">
        <v>0</v>
      </c>
      <c r="AQ34" s="570">
        <v>0</v>
      </c>
      <c r="AR34" s="602">
        <f t="shared" si="54"/>
        <v>27784</v>
      </c>
      <c r="AS34" s="570">
        <v>0</v>
      </c>
      <c r="AT34" s="602">
        <f t="shared" si="56"/>
        <v>27784</v>
      </c>
      <c r="AU34" s="570">
        <v>0</v>
      </c>
      <c r="AV34" s="570">
        <v>0</v>
      </c>
      <c r="AW34" s="570">
        <v>0</v>
      </c>
      <c r="AX34" s="570">
        <v>0</v>
      </c>
      <c r="AY34" s="1050">
        <f t="shared" si="57"/>
        <v>27784</v>
      </c>
    </row>
    <row r="35" spans="1:51" s="548" customFormat="1" ht="12.75">
      <c r="A35" s="778">
        <f t="shared" ca="1" si="55"/>
        <v>17</v>
      </c>
      <c r="B35" s="548" t="s">
        <v>203</v>
      </c>
      <c r="E35" s="551">
        <f t="shared" ref="E35:AF35" si="58">SUM(E31:E34)</f>
        <v>94591</v>
      </c>
      <c r="F35" s="559">
        <f t="shared" si="58"/>
        <v>0</v>
      </c>
      <c r="G35" s="559">
        <f t="shared" si="58"/>
        <v>0</v>
      </c>
      <c r="H35" s="559">
        <f t="shared" si="58"/>
        <v>0</v>
      </c>
      <c r="I35" s="559">
        <f t="shared" si="58"/>
        <v>-17674</v>
      </c>
      <c r="J35" s="560">
        <f t="shared" ref="J35" si="59">SUM(J31:J34)</f>
        <v>-336</v>
      </c>
      <c r="K35" s="559">
        <f t="shared" si="58"/>
        <v>0</v>
      </c>
      <c r="L35" s="559">
        <f t="shared" si="58"/>
        <v>0</v>
      </c>
      <c r="M35" s="559">
        <f t="shared" si="58"/>
        <v>0</v>
      </c>
      <c r="N35" s="559">
        <f t="shared" si="58"/>
        <v>0</v>
      </c>
      <c r="O35" s="559">
        <f t="shared" si="58"/>
        <v>0</v>
      </c>
      <c r="P35" s="559">
        <f t="shared" si="58"/>
        <v>-62</v>
      </c>
      <c r="Q35" s="559">
        <f t="shared" si="58"/>
        <v>-94</v>
      </c>
      <c r="R35" s="559">
        <f t="shared" si="58"/>
        <v>284</v>
      </c>
      <c r="S35" s="560">
        <f t="shared" ref="S35" si="60">SUM(S31:S34)</f>
        <v>-700</v>
      </c>
      <c r="T35" s="560">
        <f>SUM(T31:T34)</f>
        <v>-2</v>
      </c>
      <c r="U35" s="559">
        <f>SUM(U31:U34)</f>
        <v>181</v>
      </c>
      <c r="V35" s="559">
        <f>SUM(V31:V34)</f>
        <v>0</v>
      </c>
      <c r="W35" s="569">
        <f t="shared" ref="W35" si="61">SUM(W31:W34)</f>
        <v>0</v>
      </c>
      <c r="X35" s="569">
        <f t="shared" ref="X35" si="62">SUM(X31:X34)</f>
        <v>0</v>
      </c>
      <c r="Y35" s="560">
        <f>SUM(Y31:Y34)</f>
        <v>0</v>
      </c>
      <c r="Z35" s="560">
        <f t="shared" ref="Z35" si="63">SUM(Z31:Z34)</f>
        <v>0</v>
      </c>
      <c r="AA35" s="560">
        <f>SUM(AA31:AA34)</f>
        <v>0</v>
      </c>
      <c r="AB35" s="559">
        <f>SUM(AB31:AB34)</f>
        <v>0</v>
      </c>
      <c r="AC35" s="558">
        <f t="shared" si="58"/>
        <v>76188</v>
      </c>
      <c r="AD35" s="560">
        <f>SUM(AD31:AD34)</f>
        <v>0</v>
      </c>
      <c r="AE35" s="559">
        <f>SUM(AE31:AE34)</f>
        <v>327.46899999999999</v>
      </c>
      <c r="AF35" s="559">
        <f t="shared" si="58"/>
        <v>0</v>
      </c>
      <c r="AG35" s="560">
        <f t="shared" ref="AG35" si="64">SUM(AG31:AG34)</f>
        <v>-77</v>
      </c>
      <c r="AH35" s="559">
        <f>SUM(AH31:AH34)</f>
        <v>0</v>
      </c>
      <c r="AI35" s="560">
        <f>SUM(AI31:AI34)</f>
        <v>880</v>
      </c>
      <c r="AJ35" s="559">
        <f t="shared" ref="AJ35" si="65">SUM(AJ31:AJ34)</f>
        <v>0</v>
      </c>
      <c r="AK35" s="560">
        <f t="shared" ref="AK35:AO35" si="66">SUM(AK31:AK34)</f>
        <v>-47</v>
      </c>
      <c r="AL35" s="560">
        <f t="shared" si="66"/>
        <v>0</v>
      </c>
      <c r="AM35" s="569">
        <f t="shared" si="66"/>
        <v>0</v>
      </c>
      <c r="AN35" s="569">
        <f t="shared" si="66"/>
        <v>-875</v>
      </c>
      <c r="AO35" s="569">
        <f t="shared" si="66"/>
        <v>0</v>
      </c>
      <c r="AP35" s="569">
        <f>SUM(AP31:AP34)</f>
        <v>0</v>
      </c>
      <c r="AQ35" s="569">
        <f t="shared" ref="AQ35" si="67">SUM(AQ31:AQ34)</f>
        <v>532</v>
      </c>
      <c r="AR35" s="600">
        <f t="shared" si="54"/>
        <v>76928.468999999997</v>
      </c>
      <c r="AS35" s="560">
        <f>SUM(AS31:AS34)</f>
        <v>0</v>
      </c>
      <c r="AT35" s="600">
        <f t="shared" si="56"/>
        <v>76928.468999999997</v>
      </c>
      <c r="AU35" s="560">
        <f t="shared" ref="AU35:AX35" si="68">SUM(AU31:AU34)</f>
        <v>0</v>
      </c>
      <c r="AV35" s="560">
        <f t="shared" si="68"/>
        <v>0</v>
      </c>
      <c r="AW35" s="560">
        <f t="shared" si="68"/>
        <v>0</v>
      </c>
      <c r="AX35" s="560">
        <f t="shared" si="68"/>
        <v>0</v>
      </c>
      <c r="AY35" s="1048">
        <f t="shared" si="57"/>
        <v>76928.468999999997</v>
      </c>
    </row>
    <row r="36" spans="1:51" s="548" customFormat="1">
      <c r="E36" s="551"/>
      <c r="F36" s="559"/>
      <c r="G36" s="559"/>
      <c r="H36" s="559"/>
      <c r="I36" s="559"/>
      <c r="J36" s="560"/>
      <c r="K36" s="559"/>
      <c r="L36" s="559"/>
      <c r="M36" s="559"/>
      <c r="N36" s="559"/>
      <c r="O36" s="559"/>
      <c r="P36" s="559"/>
      <c r="Q36" s="559"/>
      <c r="R36" s="559"/>
      <c r="S36" s="560"/>
      <c r="T36" s="560"/>
      <c r="U36" s="559"/>
      <c r="V36" s="559"/>
      <c r="W36" s="569"/>
      <c r="X36" s="569"/>
      <c r="Y36" s="560"/>
      <c r="Z36" s="560"/>
      <c r="AA36" s="560"/>
      <c r="AB36" s="559"/>
      <c r="AC36" s="558"/>
      <c r="AD36" s="560"/>
      <c r="AE36" s="559"/>
      <c r="AF36" s="559"/>
      <c r="AG36" s="560"/>
      <c r="AH36" s="559"/>
      <c r="AI36" s="560"/>
      <c r="AJ36" s="559"/>
      <c r="AK36" s="560"/>
      <c r="AL36" s="560"/>
      <c r="AM36" s="569"/>
      <c r="AN36" s="569"/>
      <c r="AO36" s="569"/>
      <c r="AP36" s="569"/>
      <c r="AQ36" s="569"/>
      <c r="AR36" s="600"/>
      <c r="AS36" s="560"/>
      <c r="AT36" s="600"/>
      <c r="AU36" s="560"/>
      <c r="AV36" s="560"/>
      <c r="AW36" s="560"/>
      <c r="AX36" s="560"/>
      <c r="AY36" s="1048"/>
    </row>
    <row r="37" spans="1:51" s="548" customFormat="1" ht="12.75">
      <c r="A37" s="778">
        <f t="shared" ref="A37:A39" ca="1" si="69">+MAX(OFFSET($A$1,0,0,ROW($A37)-ROW($A$1),1))+1</f>
        <v>18</v>
      </c>
      <c r="B37" s="548" t="s">
        <v>204</v>
      </c>
      <c r="E37" s="555">
        <f>'ROO INPUT'!F37</f>
        <v>11733</v>
      </c>
      <c r="F37" s="559">
        <v>0</v>
      </c>
      <c r="G37" s="559">
        <v>8</v>
      </c>
      <c r="H37" s="559">
        <v>0</v>
      </c>
      <c r="I37" s="559">
        <v>0</v>
      </c>
      <c r="J37" s="560">
        <v>0</v>
      </c>
      <c r="K37" s="559">
        <v>1321</v>
      </c>
      <c r="L37" s="559">
        <v>0</v>
      </c>
      <c r="M37" s="559">
        <v>0</v>
      </c>
      <c r="N37" s="559">
        <v>0</v>
      </c>
      <c r="O37" s="559">
        <v>0</v>
      </c>
      <c r="P37" s="559">
        <v>0</v>
      </c>
      <c r="Q37" s="559">
        <v>0</v>
      </c>
      <c r="R37" s="559">
        <f>ROUND(R$14*'Tab 3 Conversion Factor'!$E$12,0)</f>
        <v>49</v>
      </c>
      <c r="S37" s="559">
        <f>ROUND(S$14*'Tab 3 Conversion Factor'!$E$12,0)</f>
        <v>-120</v>
      </c>
      <c r="T37" s="559">
        <v>0</v>
      </c>
      <c r="U37" s="559">
        <f>ROUND(U$14*'Tab 3 Conversion Factor'!$E$12,0)-1</f>
        <v>30</v>
      </c>
      <c r="V37" s="559">
        <v>0</v>
      </c>
      <c r="W37" s="569">
        <v>0</v>
      </c>
      <c r="X37" s="569">
        <v>0</v>
      </c>
      <c r="Y37" s="560">
        <v>0</v>
      </c>
      <c r="Z37" s="560">
        <v>0</v>
      </c>
      <c r="AA37" s="560">
        <v>0</v>
      </c>
      <c r="AB37" s="559"/>
      <c r="AC37" s="558">
        <f>SUM(E37:AB37)</f>
        <v>13021</v>
      </c>
      <c r="AD37" s="560">
        <v>0</v>
      </c>
      <c r="AE37" s="812">
        <v>170.88800000000001</v>
      </c>
      <c r="AF37" s="559"/>
      <c r="AG37" s="560">
        <v>-41</v>
      </c>
      <c r="AH37" s="559">
        <v>0</v>
      </c>
      <c r="AI37" s="560">
        <v>0</v>
      </c>
      <c r="AJ37" s="559">
        <v>0</v>
      </c>
      <c r="AK37" s="559">
        <f>ROUND(AK$14*'Tab 3 Conversion Factor'!$E$12,0)</f>
        <v>-8</v>
      </c>
      <c r="AL37" s="560">
        <v>0</v>
      </c>
      <c r="AM37" s="569">
        <v>0</v>
      </c>
      <c r="AN37" s="569">
        <v>0</v>
      </c>
      <c r="AO37" s="569">
        <v>0</v>
      </c>
      <c r="AP37" s="569">
        <v>0</v>
      </c>
      <c r="AQ37" s="569">
        <v>0</v>
      </c>
      <c r="AR37" s="600">
        <f>SUM(AC37:AQ37)</f>
        <v>13142.888000000001</v>
      </c>
      <c r="AS37" s="560">
        <v>0</v>
      </c>
      <c r="AT37" s="600">
        <f t="shared" ref="AT37:AT39" si="70">AR37+AS37</f>
        <v>13142.888000000001</v>
      </c>
      <c r="AU37" s="560">
        <v>0</v>
      </c>
      <c r="AV37" s="560">
        <v>0</v>
      </c>
      <c r="AW37" s="560">
        <v>0</v>
      </c>
      <c r="AX37" s="560">
        <v>0</v>
      </c>
      <c r="AY37" s="1048">
        <f t="shared" ref="AY37:AY39" si="71">+SUM(AT37:AX37)</f>
        <v>13142.888000000001</v>
      </c>
    </row>
    <row r="38" spans="1:51" s="548" customFormat="1" ht="12.75">
      <c r="A38" s="778">
        <f t="shared" ca="1" si="69"/>
        <v>19</v>
      </c>
      <c r="B38" s="548" t="s">
        <v>205</v>
      </c>
      <c r="E38" s="555">
        <f>'ROO INPUT'!F38</f>
        <v>18081</v>
      </c>
      <c r="F38" s="559">
        <v>0</v>
      </c>
      <c r="G38" s="559">
        <v>0</v>
      </c>
      <c r="H38" s="559">
        <v>0</v>
      </c>
      <c r="I38" s="559">
        <v>0</v>
      </c>
      <c r="J38" s="560">
        <v>0</v>
      </c>
      <c r="K38" s="559">
        <v>0</v>
      </c>
      <c r="L38" s="559">
        <v>0</v>
      </c>
      <c r="M38" s="559">
        <v>0</v>
      </c>
      <c r="N38" s="559">
        <v>0</v>
      </c>
      <c r="O38" s="559">
        <v>0</v>
      </c>
      <c r="P38" s="559">
        <v>0</v>
      </c>
      <c r="Q38" s="559">
        <v>0</v>
      </c>
      <c r="R38" s="559">
        <v>0</v>
      </c>
      <c r="S38" s="560">
        <v>-16675</v>
      </c>
      <c r="T38" s="560">
        <v>0</v>
      </c>
      <c r="U38" s="559">
        <v>0</v>
      </c>
      <c r="V38" s="559">
        <v>0</v>
      </c>
      <c r="W38" s="569">
        <v>0</v>
      </c>
      <c r="X38" s="569">
        <v>0</v>
      </c>
      <c r="Y38" s="560">
        <v>0</v>
      </c>
      <c r="Z38" s="560">
        <v>0</v>
      </c>
      <c r="AA38" s="560">
        <v>0</v>
      </c>
      <c r="AB38" s="559">
        <v>0</v>
      </c>
      <c r="AC38" s="558">
        <f>SUM(E38:AB38)</f>
        <v>1406</v>
      </c>
      <c r="AD38" s="560">
        <v>0</v>
      </c>
      <c r="AE38" s="812">
        <v>14.016999999999999</v>
      </c>
      <c r="AF38" s="559"/>
      <c r="AG38" s="560">
        <v>-3</v>
      </c>
      <c r="AH38" s="559">
        <v>0</v>
      </c>
      <c r="AI38" s="560">
        <v>0</v>
      </c>
      <c r="AJ38" s="559">
        <v>0</v>
      </c>
      <c r="AK38" s="560">
        <v>0</v>
      </c>
      <c r="AL38" s="560">
        <v>0</v>
      </c>
      <c r="AM38" s="569">
        <v>0</v>
      </c>
      <c r="AN38" s="569">
        <v>0</v>
      </c>
      <c r="AO38" s="569">
        <v>0</v>
      </c>
      <c r="AP38" s="569">
        <v>0</v>
      </c>
      <c r="AQ38" s="569">
        <v>0</v>
      </c>
      <c r="AR38" s="600">
        <f>SUM(AC38:AQ38)</f>
        <v>1417.0170000000001</v>
      </c>
      <c r="AS38" s="560">
        <v>0</v>
      </c>
      <c r="AT38" s="600">
        <f t="shared" si="70"/>
        <v>1417.0170000000001</v>
      </c>
      <c r="AU38" s="560">
        <v>0</v>
      </c>
      <c r="AV38" s="560">
        <v>0</v>
      </c>
      <c r="AW38" s="560">
        <v>0</v>
      </c>
      <c r="AX38" s="560">
        <v>0</v>
      </c>
      <c r="AY38" s="1048">
        <f t="shared" si="71"/>
        <v>1417.0170000000001</v>
      </c>
    </row>
    <row r="39" spans="1:51" s="548" customFormat="1" ht="12.75">
      <c r="A39" s="778">
        <f t="shared" ca="1" si="69"/>
        <v>20</v>
      </c>
      <c r="B39" s="548" t="s">
        <v>206</v>
      </c>
      <c r="E39" s="555">
        <f>'ROO INPUT'!F39</f>
        <v>0</v>
      </c>
      <c r="F39" s="559">
        <v>0</v>
      </c>
      <c r="G39" s="559">
        <v>0</v>
      </c>
      <c r="H39" s="559">
        <v>0</v>
      </c>
      <c r="I39" s="559">
        <v>0</v>
      </c>
      <c r="J39" s="560">
        <v>0</v>
      </c>
      <c r="K39" s="559">
        <v>0</v>
      </c>
      <c r="L39" s="559">
        <v>0</v>
      </c>
      <c r="M39" s="559">
        <v>0</v>
      </c>
      <c r="N39" s="559">
        <v>0</v>
      </c>
      <c r="O39" s="559">
        <v>0</v>
      </c>
      <c r="P39" s="559">
        <v>0</v>
      </c>
      <c r="Q39" s="559">
        <v>0</v>
      </c>
      <c r="R39" s="559">
        <v>0</v>
      </c>
      <c r="S39" s="560">
        <v>0</v>
      </c>
      <c r="T39" s="560">
        <v>0</v>
      </c>
      <c r="U39" s="559">
        <v>0</v>
      </c>
      <c r="V39" s="559">
        <v>0</v>
      </c>
      <c r="W39" s="569">
        <v>0</v>
      </c>
      <c r="X39" s="569">
        <v>0</v>
      </c>
      <c r="Y39" s="560">
        <v>0</v>
      </c>
      <c r="Z39" s="560">
        <v>0</v>
      </c>
      <c r="AA39" s="560">
        <v>0</v>
      </c>
      <c r="AB39" s="559">
        <v>0</v>
      </c>
      <c r="AC39" s="558">
        <f>SUM(E39:AB39)</f>
        <v>0</v>
      </c>
      <c r="AD39" s="560">
        <v>0</v>
      </c>
      <c r="AE39" s="559"/>
      <c r="AF39" s="559"/>
      <c r="AG39" s="560"/>
      <c r="AH39" s="559">
        <v>0</v>
      </c>
      <c r="AI39" s="560">
        <v>0</v>
      </c>
      <c r="AJ39" s="559">
        <v>0</v>
      </c>
      <c r="AK39" s="560">
        <v>0</v>
      </c>
      <c r="AL39" s="560">
        <v>0</v>
      </c>
      <c r="AM39" s="569">
        <v>0</v>
      </c>
      <c r="AN39" s="569">
        <v>0</v>
      </c>
      <c r="AO39" s="569">
        <v>0</v>
      </c>
      <c r="AP39" s="569">
        <v>0</v>
      </c>
      <c r="AQ39" s="569">
        <v>0</v>
      </c>
      <c r="AR39" s="600">
        <f>SUM(AC39:AQ39)</f>
        <v>0</v>
      </c>
      <c r="AS39" s="560">
        <v>0</v>
      </c>
      <c r="AT39" s="600">
        <f t="shared" si="70"/>
        <v>0</v>
      </c>
      <c r="AU39" s="560">
        <v>0</v>
      </c>
      <c r="AV39" s="560">
        <v>0</v>
      </c>
      <c r="AW39" s="560">
        <v>0</v>
      </c>
      <c r="AX39" s="560">
        <v>0</v>
      </c>
      <c r="AY39" s="1048">
        <f t="shared" si="71"/>
        <v>0</v>
      </c>
    </row>
    <row r="40" spans="1:51" s="548" customFormat="1">
      <c r="A40" s="546"/>
      <c r="E40" s="551"/>
      <c r="F40" s="559"/>
      <c r="G40" s="559"/>
      <c r="H40" s="559"/>
      <c r="I40" s="559"/>
      <c r="J40" s="560"/>
      <c r="K40" s="559"/>
      <c r="L40" s="559"/>
      <c r="M40" s="559"/>
      <c r="N40" s="559"/>
      <c r="O40" s="559"/>
      <c r="P40" s="559"/>
      <c r="Q40" s="559"/>
      <c r="R40" s="559"/>
      <c r="S40" s="560"/>
      <c r="T40" s="560"/>
      <c r="U40" s="559"/>
      <c r="V40" s="559"/>
      <c r="W40" s="569"/>
      <c r="X40" s="569"/>
      <c r="Y40" s="560"/>
      <c r="Z40" s="560"/>
      <c r="AA40" s="560"/>
      <c r="AB40" s="559"/>
      <c r="AC40" s="558"/>
      <c r="AD40" s="560"/>
      <c r="AE40" s="559"/>
      <c r="AF40" s="559"/>
      <c r="AG40" s="560"/>
      <c r="AH40" s="559"/>
      <c r="AI40" s="560"/>
      <c r="AJ40" s="559"/>
      <c r="AK40" s="560"/>
      <c r="AL40" s="560"/>
      <c r="AM40" s="569"/>
      <c r="AN40" s="569"/>
      <c r="AO40" s="569"/>
      <c r="AP40" s="569"/>
      <c r="AQ40" s="569"/>
      <c r="AR40" s="600"/>
      <c r="AS40" s="560"/>
      <c r="AT40" s="600"/>
      <c r="AU40" s="560"/>
      <c r="AV40" s="560"/>
      <c r="AW40" s="560"/>
      <c r="AX40" s="560"/>
      <c r="AY40" s="1048"/>
    </row>
    <row r="41" spans="1:51" s="548" customFormat="1">
      <c r="B41" s="548" t="s">
        <v>207</v>
      </c>
      <c r="E41" s="551"/>
      <c r="F41" s="559"/>
      <c r="G41" s="559"/>
      <c r="H41" s="559"/>
      <c r="I41" s="559"/>
      <c r="J41" s="560"/>
      <c r="K41" s="559"/>
      <c r="L41" s="559"/>
      <c r="M41" s="559"/>
      <c r="N41" s="559"/>
      <c r="O41" s="559"/>
      <c r="P41" s="559"/>
      <c r="Q41" s="559"/>
      <c r="R41" s="559"/>
      <c r="S41" s="560"/>
      <c r="T41" s="560"/>
      <c r="U41" s="559"/>
      <c r="V41" s="559"/>
      <c r="W41" s="569"/>
      <c r="X41" s="569"/>
      <c r="Y41" s="560"/>
      <c r="Z41" s="560"/>
      <c r="AA41" s="560"/>
      <c r="AB41" s="559"/>
      <c r="AC41" s="558"/>
      <c r="AD41" s="560"/>
      <c r="AE41" s="559"/>
      <c r="AF41" s="559"/>
      <c r="AG41" s="560"/>
      <c r="AH41" s="559"/>
      <c r="AI41" s="560"/>
      <c r="AJ41" s="559"/>
      <c r="AK41" s="560"/>
      <c r="AL41" s="560"/>
      <c r="AM41" s="569"/>
      <c r="AN41" s="569"/>
      <c r="AO41" s="569"/>
      <c r="AP41" s="569"/>
      <c r="AQ41" s="569"/>
      <c r="AR41" s="600"/>
      <c r="AS41" s="560"/>
      <c r="AT41" s="600"/>
      <c r="AU41" s="560"/>
      <c r="AV41" s="560"/>
      <c r="AW41" s="560"/>
      <c r="AX41" s="560"/>
      <c r="AY41" s="1048"/>
    </row>
    <row r="42" spans="1:51" s="548" customFormat="1" ht="12.75">
      <c r="A42" s="778">
        <f t="shared" ref="A42:A46" ca="1" si="72">+MAX(OFFSET($A$1,0,0,ROW($A42)-ROW($A$1),1))+1</f>
        <v>21</v>
      </c>
      <c r="C42" s="548" t="s">
        <v>198</v>
      </c>
      <c r="E42" s="555">
        <f>'ROO INPUT'!F42</f>
        <v>50568</v>
      </c>
      <c r="F42" s="559">
        <v>0</v>
      </c>
      <c r="G42" s="559">
        <v>0</v>
      </c>
      <c r="H42" s="559">
        <v>0</v>
      </c>
      <c r="I42" s="559">
        <v>0</v>
      </c>
      <c r="J42" s="559">
        <v>0</v>
      </c>
      <c r="K42" s="559">
        <v>0</v>
      </c>
      <c r="L42" s="559">
        <v>7</v>
      </c>
      <c r="M42" s="559">
        <v>151</v>
      </c>
      <c r="N42" s="559">
        <v>0</v>
      </c>
      <c r="O42" s="559">
        <v>-31</v>
      </c>
      <c r="P42" s="559">
        <v>0</v>
      </c>
      <c r="Q42" s="559">
        <v>0</v>
      </c>
      <c r="R42" s="559">
        <f>ROUND(R$14*'Tab 3 Conversion Factor'!$E$14,0)</f>
        <v>15</v>
      </c>
      <c r="S42" s="559">
        <f>ROUND(S$14*'Tab 3 Conversion Factor'!$E$14,0)</f>
        <v>-36</v>
      </c>
      <c r="T42" s="559">
        <v>-1068</v>
      </c>
      <c r="U42" s="559">
        <f>ROUND(U$14*'Tab 3 Conversion Factor'!$E$14,0)</f>
        <v>9</v>
      </c>
      <c r="V42" s="559">
        <v>0</v>
      </c>
      <c r="W42" s="569">
        <v>-626</v>
      </c>
      <c r="X42" s="569">
        <v>0</v>
      </c>
      <c r="Y42" s="560">
        <v>0</v>
      </c>
      <c r="Z42" s="560">
        <v>0</v>
      </c>
      <c r="AA42" s="560">
        <v>0</v>
      </c>
      <c r="AB42" s="559">
        <v>0</v>
      </c>
      <c r="AC42" s="558">
        <f>SUM(E42:AB42)</f>
        <v>48989</v>
      </c>
      <c r="AD42" s="560">
        <v>0</v>
      </c>
      <c r="AE42" s="812">
        <v>483.43</v>
      </c>
      <c r="AF42" s="559">
        <v>-33</v>
      </c>
      <c r="AG42" s="560">
        <v>-114</v>
      </c>
      <c r="AH42" s="559">
        <v>119</v>
      </c>
      <c r="AI42" s="560">
        <v>0</v>
      </c>
      <c r="AJ42" s="560">
        <v>694</v>
      </c>
      <c r="AK42" s="559">
        <f>ROUND(AK$14*'Tab 3 Conversion Factor'!$E$14,0)</f>
        <v>-2</v>
      </c>
      <c r="AL42" s="560">
        <v>0</v>
      </c>
      <c r="AM42" s="569">
        <v>0</v>
      </c>
      <c r="AN42" s="569">
        <v>-112</v>
      </c>
      <c r="AO42" s="569">
        <v>0</v>
      </c>
      <c r="AP42" s="569">
        <v>0</v>
      </c>
      <c r="AQ42" s="569">
        <v>0</v>
      </c>
      <c r="AR42" s="600">
        <f>SUM(AC42:AQ42)</f>
        <v>50024.43</v>
      </c>
      <c r="AS42" s="560">
        <v>0</v>
      </c>
      <c r="AT42" s="600">
        <f t="shared" ref="AT42:AT46" si="73">AR42+AS42</f>
        <v>50024.43</v>
      </c>
      <c r="AU42" s="560">
        <v>0</v>
      </c>
      <c r="AV42" s="560">
        <v>0</v>
      </c>
      <c r="AW42" s="560">
        <v>0</v>
      </c>
      <c r="AX42" s="560">
        <v>0</v>
      </c>
      <c r="AY42" s="1048">
        <f t="shared" ref="AY42:AY48" si="74">+SUM(AT42:AX42)</f>
        <v>50024.43</v>
      </c>
    </row>
    <row r="43" spans="1:51" s="548" customFormat="1" ht="12.75">
      <c r="A43" s="778">
        <f t="shared" ca="1" si="72"/>
        <v>22</v>
      </c>
      <c r="C43" s="548" t="s">
        <v>587</v>
      </c>
      <c r="E43" s="555">
        <f>'ROO INPUT'!F43</f>
        <v>23877</v>
      </c>
      <c r="F43" s="559">
        <v>0</v>
      </c>
      <c r="G43" s="559">
        <v>0</v>
      </c>
      <c r="H43" s="559">
        <v>0</v>
      </c>
      <c r="I43" s="559">
        <v>0</v>
      </c>
      <c r="J43" s="559">
        <v>0</v>
      </c>
      <c r="K43" s="559">
        <v>0</v>
      </c>
      <c r="L43" s="559">
        <v>0</v>
      </c>
      <c r="M43" s="559">
        <v>0</v>
      </c>
      <c r="N43" s="559">
        <v>0</v>
      </c>
      <c r="O43" s="559">
        <v>0</v>
      </c>
      <c r="P43" s="559">
        <v>0</v>
      </c>
      <c r="Q43" s="559">
        <v>0</v>
      </c>
      <c r="R43" s="559">
        <v>0</v>
      </c>
      <c r="S43" s="560">
        <v>0</v>
      </c>
      <c r="T43" s="560">
        <v>0</v>
      </c>
      <c r="U43" s="559">
        <v>0</v>
      </c>
      <c r="V43" s="559">
        <v>0</v>
      </c>
      <c r="W43" s="569">
        <v>0</v>
      </c>
      <c r="X43" s="569">
        <v>0</v>
      </c>
      <c r="Y43" s="560">
        <v>0</v>
      </c>
      <c r="Z43" s="560">
        <v>0</v>
      </c>
      <c r="AA43" s="560">
        <v>0</v>
      </c>
      <c r="AB43" s="559">
        <v>0</v>
      </c>
      <c r="AC43" s="558">
        <f>SUM(E43:AB43)</f>
        <v>23877</v>
      </c>
      <c r="AD43" s="560">
        <v>0</v>
      </c>
      <c r="AE43" s="559">
        <v>0</v>
      </c>
      <c r="AF43" s="559">
        <v>0</v>
      </c>
      <c r="AG43" s="560">
        <v>0</v>
      </c>
      <c r="AH43" s="559">
        <v>0</v>
      </c>
      <c r="AI43" s="560">
        <v>0</v>
      </c>
      <c r="AJ43" s="559">
        <v>0</v>
      </c>
      <c r="AK43" s="560">
        <v>0</v>
      </c>
      <c r="AL43" s="560">
        <v>0</v>
      </c>
      <c r="AM43" s="569"/>
      <c r="AN43" s="569">
        <v>0</v>
      </c>
      <c r="AO43" s="569">
        <v>0</v>
      </c>
      <c r="AP43" s="569">
        <v>0</v>
      </c>
      <c r="AQ43" s="569">
        <v>0</v>
      </c>
      <c r="AR43" s="600">
        <f>SUM(AC43:AQ43)</f>
        <v>23877</v>
      </c>
      <c r="AS43" s="560">
        <v>0</v>
      </c>
      <c r="AT43" s="600">
        <f t="shared" si="73"/>
        <v>23877</v>
      </c>
      <c r="AU43" s="560">
        <v>0</v>
      </c>
      <c r="AV43" s="560">
        <v>0</v>
      </c>
      <c r="AW43" s="560">
        <f>+'Tab 7b Deferral Amort'!F33*AW88</f>
        <v>0</v>
      </c>
      <c r="AX43" s="560">
        <v>0</v>
      </c>
      <c r="AY43" s="1048">
        <f t="shared" si="74"/>
        <v>23877</v>
      </c>
    </row>
    <row r="44" spans="1:51" s="548" customFormat="1" ht="12.75">
      <c r="A44" s="778">
        <f t="shared" ca="1" si="72"/>
        <v>23</v>
      </c>
      <c r="C44" s="548" t="s">
        <v>200</v>
      </c>
      <c r="E44" s="581">
        <f>'ROO INPUT'!F44</f>
        <v>0</v>
      </c>
      <c r="F44" s="571">
        <v>0</v>
      </c>
      <c r="G44" s="571">
        <v>0</v>
      </c>
      <c r="H44" s="571">
        <v>0</v>
      </c>
      <c r="I44" s="571">
        <v>0</v>
      </c>
      <c r="J44" s="571">
        <v>0</v>
      </c>
      <c r="K44" s="571">
        <v>0</v>
      </c>
      <c r="L44" s="571">
        <v>0</v>
      </c>
      <c r="M44" s="571">
        <v>0</v>
      </c>
      <c r="N44" s="571">
        <v>0</v>
      </c>
      <c r="O44" s="571">
        <v>0</v>
      </c>
      <c r="P44" s="571">
        <v>0</v>
      </c>
      <c r="Q44" s="571">
        <v>0</v>
      </c>
      <c r="R44" s="571">
        <v>0</v>
      </c>
      <c r="S44" s="570">
        <v>0</v>
      </c>
      <c r="T44" s="570">
        <v>0</v>
      </c>
      <c r="U44" s="571">
        <v>0</v>
      </c>
      <c r="V44" s="571">
        <v>0</v>
      </c>
      <c r="W44" s="570">
        <v>0</v>
      </c>
      <c r="X44" s="570">
        <v>0</v>
      </c>
      <c r="Y44" s="570">
        <v>0</v>
      </c>
      <c r="Z44" s="570">
        <v>0</v>
      </c>
      <c r="AA44" s="570">
        <v>0</v>
      </c>
      <c r="AB44" s="571">
        <v>0</v>
      </c>
      <c r="AC44" s="280">
        <f>SUM(E44:AB44)</f>
        <v>0</v>
      </c>
      <c r="AD44" s="570">
        <v>0</v>
      </c>
      <c r="AE44" s="571">
        <v>0</v>
      </c>
      <c r="AF44" s="571">
        <v>0</v>
      </c>
      <c r="AG44" s="571">
        <v>0</v>
      </c>
      <c r="AH44" s="571">
        <v>0</v>
      </c>
      <c r="AI44" s="571">
        <v>0</v>
      </c>
      <c r="AJ44" s="571">
        <v>0</v>
      </c>
      <c r="AK44" s="570">
        <v>0</v>
      </c>
      <c r="AL44" s="571">
        <v>0</v>
      </c>
      <c r="AM44" s="570">
        <v>0</v>
      </c>
      <c r="AN44" s="570">
        <v>0</v>
      </c>
      <c r="AO44" s="570">
        <v>0</v>
      </c>
      <c r="AP44" s="570">
        <v>0</v>
      </c>
      <c r="AQ44" s="570">
        <v>0</v>
      </c>
      <c r="AR44" s="602">
        <f>SUM(AC44:AQ44)</f>
        <v>0</v>
      </c>
      <c r="AS44" s="570">
        <v>0</v>
      </c>
      <c r="AT44" s="602">
        <f t="shared" si="73"/>
        <v>0</v>
      </c>
      <c r="AU44" s="570">
        <v>0</v>
      </c>
      <c r="AV44" s="570">
        <v>0</v>
      </c>
      <c r="AW44" s="570">
        <v>0</v>
      </c>
      <c r="AX44" s="570">
        <v>0</v>
      </c>
      <c r="AY44" s="1050">
        <f t="shared" si="74"/>
        <v>0</v>
      </c>
    </row>
    <row r="45" spans="1:51" s="548" customFormat="1" ht="12.75">
      <c r="A45" s="778">
        <f t="shared" ca="1" si="72"/>
        <v>24</v>
      </c>
      <c r="B45" s="548" t="s">
        <v>208</v>
      </c>
      <c r="E45" s="581">
        <f t="shared" ref="E45:AG45" si="75">SUM(E42:E44)</f>
        <v>74445</v>
      </c>
      <c r="F45" s="571">
        <f t="shared" si="75"/>
        <v>0</v>
      </c>
      <c r="G45" s="571">
        <f t="shared" si="75"/>
        <v>0</v>
      </c>
      <c r="H45" s="571">
        <f t="shared" si="75"/>
        <v>0</v>
      </c>
      <c r="I45" s="571">
        <f t="shared" si="75"/>
        <v>0</v>
      </c>
      <c r="J45" s="571">
        <f t="shared" ref="J45" si="76">SUM(J42:J44)</f>
        <v>0</v>
      </c>
      <c r="K45" s="571">
        <f t="shared" si="75"/>
        <v>0</v>
      </c>
      <c r="L45" s="571">
        <f t="shared" si="75"/>
        <v>7</v>
      </c>
      <c r="M45" s="571">
        <f t="shared" si="75"/>
        <v>151</v>
      </c>
      <c r="N45" s="571">
        <f t="shared" si="75"/>
        <v>0</v>
      </c>
      <c r="O45" s="571">
        <f t="shared" si="75"/>
        <v>-31</v>
      </c>
      <c r="P45" s="571">
        <f t="shared" si="75"/>
        <v>0</v>
      </c>
      <c r="Q45" s="571">
        <f t="shared" si="75"/>
        <v>0</v>
      </c>
      <c r="R45" s="571">
        <f t="shared" si="75"/>
        <v>15</v>
      </c>
      <c r="S45" s="570">
        <f t="shared" ref="S45" si="77">SUM(S42:S44)</f>
        <v>-36</v>
      </c>
      <c r="T45" s="570">
        <f>SUM(T42:T44)</f>
        <v>-1068</v>
      </c>
      <c r="U45" s="571">
        <f>SUM(U42:U44)</f>
        <v>9</v>
      </c>
      <c r="V45" s="571">
        <f>SUM(V42:V44)</f>
        <v>0</v>
      </c>
      <c r="W45" s="570">
        <f t="shared" ref="W45" si="78">SUM(W42:W44)</f>
        <v>-626</v>
      </c>
      <c r="X45" s="570">
        <f t="shared" ref="X45" si="79">SUM(X42:X44)</f>
        <v>0</v>
      </c>
      <c r="Y45" s="570">
        <f>SUM(Y42:Y44)</f>
        <v>0</v>
      </c>
      <c r="Z45" s="570">
        <f t="shared" ref="Z45" si="80">SUM(Z42:Z44)</f>
        <v>0</v>
      </c>
      <c r="AA45" s="570">
        <f>SUM(AA42:AA44)</f>
        <v>0</v>
      </c>
      <c r="AB45" s="571">
        <f>SUM(AB42:AB44)</f>
        <v>0</v>
      </c>
      <c r="AC45" s="280">
        <f t="shared" si="75"/>
        <v>72866</v>
      </c>
      <c r="AD45" s="570">
        <f>SUM(AD42:AD44)</f>
        <v>0</v>
      </c>
      <c r="AE45" s="571">
        <f>SUM(AE42:AE44)</f>
        <v>483.43</v>
      </c>
      <c r="AF45" s="571">
        <f t="shared" si="75"/>
        <v>-33</v>
      </c>
      <c r="AG45" s="571">
        <f t="shared" si="75"/>
        <v>-114</v>
      </c>
      <c r="AH45" s="571">
        <f>SUM(AH42:AH44)</f>
        <v>119</v>
      </c>
      <c r="AI45" s="571">
        <f>SUM(AI42:AI44)</f>
        <v>0</v>
      </c>
      <c r="AJ45" s="571">
        <f t="shared" ref="AJ45" si="81">SUM(AJ42:AJ44)</f>
        <v>694</v>
      </c>
      <c r="AK45" s="570">
        <f t="shared" ref="AK45:AO45" si="82">SUM(AK42:AK44)</f>
        <v>-2</v>
      </c>
      <c r="AL45" s="571">
        <f t="shared" si="82"/>
        <v>0</v>
      </c>
      <c r="AM45" s="570">
        <f t="shared" si="82"/>
        <v>0</v>
      </c>
      <c r="AN45" s="570">
        <f t="shared" si="82"/>
        <v>-112</v>
      </c>
      <c r="AO45" s="570">
        <f t="shared" si="82"/>
        <v>0</v>
      </c>
      <c r="AP45" s="570">
        <f>SUM(AP42:AP44)</f>
        <v>0</v>
      </c>
      <c r="AQ45" s="570">
        <f t="shared" ref="AQ45" si="83">SUM(AQ42:AQ44)</f>
        <v>0</v>
      </c>
      <c r="AR45" s="602">
        <f>SUM(AC45:AQ45)</f>
        <v>73901.429999999993</v>
      </c>
      <c r="AS45" s="570">
        <f>SUM(AS42:AS44)</f>
        <v>0</v>
      </c>
      <c r="AT45" s="602">
        <f t="shared" si="73"/>
        <v>73901.429999999993</v>
      </c>
      <c r="AU45" s="570">
        <f t="shared" ref="AU45:AX45" si="84">SUM(AU42:AU44)</f>
        <v>0</v>
      </c>
      <c r="AV45" s="570">
        <f t="shared" si="84"/>
        <v>0</v>
      </c>
      <c r="AW45" s="570">
        <f t="shared" si="84"/>
        <v>0</v>
      </c>
      <c r="AX45" s="570">
        <f t="shared" si="84"/>
        <v>0</v>
      </c>
      <c r="AY45" s="1050">
        <f t="shared" si="74"/>
        <v>73901.429999999993</v>
      </c>
    </row>
    <row r="46" spans="1:51" s="548" customFormat="1" ht="18" customHeight="1">
      <c r="A46" s="778">
        <f t="shared" ca="1" si="72"/>
        <v>25</v>
      </c>
      <c r="B46" s="548" t="s">
        <v>209</v>
      </c>
      <c r="E46" s="581">
        <f t="shared" ref="E46:AG46" si="85">E45+E39+E38+E37+E35+E28</f>
        <v>526185</v>
      </c>
      <c r="F46" s="571">
        <f t="shared" si="85"/>
        <v>0</v>
      </c>
      <c r="G46" s="571">
        <f t="shared" si="85"/>
        <v>12</v>
      </c>
      <c r="H46" s="571">
        <f t="shared" si="85"/>
        <v>0</v>
      </c>
      <c r="I46" s="571">
        <f t="shared" si="85"/>
        <v>-17674</v>
      </c>
      <c r="J46" s="571">
        <f t="shared" ref="J46" si="86">J45+J39+J38+J37+J35+J28</f>
        <v>-250</v>
      </c>
      <c r="K46" s="571">
        <f t="shared" si="85"/>
        <v>1321</v>
      </c>
      <c r="L46" s="571">
        <f t="shared" si="85"/>
        <v>7</v>
      </c>
      <c r="M46" s="571">
        <f t="shared" si="85"/>
        <v>151</v>
      </c>
      <c r="N46" s="571">
        <f t="shared" si="85"/>
        <v>0</v>
      </c>
      <c r="O46" s="571">
        <f t="shared" si="85"/>
        <v>-31</v>
      </c>
      <c r="P46" s="571">
        <f t="shared" si="85"/>
        <v>-62</v>
      </c>
      <c r="Q46" s="571">
        <f t="shared" si="85"/>
        <v>-94</v>
      </c>
      <c r="R46" s="571">
        <f t="shared" si="85"/>
        <v>348</v>
      </c>
      <c r="S46" s="570">
        <f t="shared" ref="S46" si="87">S45+S39+S38+S37+S35+S28</f>
        <v>-17519</v>
      </c>
      <c r="T46" s="570">
        <f>T45+T39+T38+T37+T35+T28</f>
        <v>-1075</v>
      </c>
      <c r="U46" s="571">
        <f>U45+U39+U38+U37+U35+U28</f>
        <v>-2050</v>
      </c>
      <c r="V46" s="571">
        <f>V45+V39+V38+V37+V35+V28</f>
        <v>-4</v>
      </c>
      <c r="W46" s="570">
        <f t="shared" ref="W46" si="88">W45+W39+W38+W37+W35+W28</f>
        <v>-626</v>
      </c>
      <c r="X46" s="570">
        <f t="shared" ref="X46" si="89">X45+X39+X38+X37+X35+X28</f>
        <v>-1174</v>
      </c>
      <c r="Y46" s="570">
        <f>Y45+Y39+Y38+Y37+Y35+Y28</f>
        <v>0</v>
      </c>
      <c r="Z46" s="570">
        <f t="shared" ref="Z46" si="90">Z45+Z39+Z38+Z37+Z35+Z28</f>
        <v>-65881</v>
      </c>
      <c r="AA46" s="570">
        <f>AA45+AA39+AA38+AA37+AA35+AA28</f>
        <v>0</v>
      </c>
      <c r="AB46" s="571">
        <f>AB45+AB39+AB38+AB37+AB35+AB28</f>
        <v>0</v>
      </c>
      <c r="AC46" s="280">
        <f t="shared" si="85"/>
        <v>421584</v>
      </c>
      <c r="AD46" s="570">
        <f>AD45+AD39+AD38+AD37+AD35+AD28</f>
        <v>172</v>
      </c>
      <c r="AE46" s="571">
        <f>AE45+AE39+AE38+AE37+AE35+AE28</f>
        <v>1534.1440000000002</v>
      </c>
      <c r="AF46" s="571">
        <f t="shared" si="85"/>
        <v>-33</v>
      </c>
      <c r="AG46" s="571">
        <f t="shared" si="85"/>
        <v>-360</v>
      </c>
      <c r="AH46" s="571">
        <f>AH45+AH39+AH38+AH37+AH35+AH28</f>
        <v>119</v>
      </c>
      <c r="AI46" s="571">
        <f>AI45+AI39+AI38+AI37+AI35+AI28</f>
        <v>2458</v>
      </c>
      <c r="AJ46" s="571">
        <f t="shared" ref="AJ46" si="91">AJ45+AJ39+AJ38+AJ37+AJ35+AJ28</f>
        <v>694</v>
      </c>
      <c r="AK46" s="570">
        <f t="shared" ref="AK46:AO46" si="92">AK45+AK39+AK38+AK37+AK35+AK28</f>
        <v>-57</v>
      </c>
      <c r="AL46" s="571">
        <f t="shared" si="92"/>
        <v>-1641</v>
      </c>
      <c r="AM46" s="570">
        <f t="shared" si="92"/>
        <v>129</v>
      </c>
      <c r="AN46" s="570">
        <f t="shared" si="92"/>
        <v>-987</v>
      </c>
      <c r="AO46" s="570">
        <f t="shared" si="92"/>
        <v>0</v>
      </c>
      <c r="AP46" s="570">
        <f>AP45+AP39+AP38+AP37+AP35+AP28</f>
        <v>347</v>
      </c>
      <c r="AQ46" s="570">
        <f t="shared" ref="AQ46" si="93">AQ45+AQ39+AQ38+AQ37+AQ35+AQ28</f>
        <v>532</v>
      </c>
      <c r="AR46" s="602">
        <f>SUM(AC46:AQ46)</f>
        <v>424491.14399999997</v>
      </c>
      <c r="AS46" s="570">
        <f>AS45+AS39+AS38+AS37+AS35+AS28</f>
        <v>0</v>
      </c>
      <c r="AT46" s="602">
        <f t="shared" si="73"/>
        <v>424491.14399999997</v>
      </c>
      <c r="AU46" s="570">
        <f t="shared" ref="AU46:AX46" si="94">AU45+AU39+AU38+AU37+AU35+AU28</f>
        <v>0</v>
      </c>
      <c r="AV46" s="570">
        <f t="shared" si="94"/>
        <v>0</v>
      </c>
      <c r="AW46" s="570">
        <f t="shared" si="94"/>
        <v>0</v>
      </c>
      <c r="AX46" s="570">
        <f t="shared" si="94"/>
        <v>0</v>
      </c>
      <c r="AY46" s="1050">
        <f t="shared" si="74"/>
        <v>424491.14399999997</v>
      </c>
    </row>
    <row r="47" spans="1:51" s="548" customFormat="1">
      <c r="E47" s="551"/>
      <c r="F47" s="559"/>
      <c r="G47" s="559"/>
      <c r="H47" s="559"/>
      <c r="I47" s="559"/>
      <c r="J47" s="559"/>
      <c r="K47" s="559"/>
      <c r="L47" s="559"/>
      <c r="M47" s="559"/>
      <c r="N47" s="559"/>
      <c r="O47" s="559"/>
      <c r="P47" s="559"/>
      <c r="Q47" s="559"/>
      <c r="R47" s="559"/>
      <c r="S47" s="560"/>
      <c r="T47" s="560"/>
      <c r="U47" s="559"/>
      <c r="V47" s="559"/>
      <c r="W47" s="569"/>
      <c r="X47" s="569"/>
      <c r="Y47" s="560"/>
      <c r="Z47" s="560"/>
      <c r="AA47" s="560"/>
      <c r="AB47" s="559"/>
      <c r="AC47" s="558"/>
      <c r="AD47" s="560"/>
      <c r="AE47" s="559"/>
      <c r="AF47" s="559"/>
      <c r="AG47" s="559"/>
      <c r="AH47" s="559"/>
      <c r="AI47" s="559"/>
      <c r="AJ47" s="559"/>
      <c r="AK47" s="560"/>
      <c r="AL47" s="559"/>
      <c r="AM47" s="569"/>
      <c r="AN47" s="569"/>
      <c r="AO47" s="569"/>
      <c r="AP47" s="569"/>
      <c r="AQ47" s="569"/>
      <c r="AR47" s="600"/>
      <c r="AS47" s="560"/>
      <c r="AT47" s="600"/>
      <c r="AU47" s="560"/>
      <c r="AV47" s="560"/>
      <c r="AW47" s="560"/>
      <c r="AX47" s="560"/>
      <c r="AY47" s="1048"/>
    </row>
    <row r="48" spans="1:51" s="548" customFormat="1" ht="12.75">
      <c r="A48" s="778">
        <f t="shared" ref="A48" ca="1" si="95">+MAX(OFFSET($A$1,0,0,ROW($A48)-ROW($A$1),1))+1</f>
        <v>26</v>
      </c>
      <c r="B48" s="548" t="s">
        <v>210</v>
      </c>
      <c r="E48" s="551">
        <f t="shared" ref="E48:AG48" si="96">E19-E46</f>
        <v>150927</v>
      </c>
      <c r="F48" s="559">
        <f t="shared" si="96"/>
        <v>0</v>
      </c>
      <c r="G48" s="559">
        <f t="shared" si="96"/>
        <v>-12</v>
      </c>
      <c r="H48" s="559">
        <f t="shared" si="96"/>
        <v>0</v>
      </c>
      <c r="I48" s="559">
        <f t="shared" si="96"/>
        <v>-147</v>
      </c>
      <c r="J48" s="559">
        <f t="shared" ref="J48" si="97">J19-J46</f>
        <v>250</v>
      </c>
      <c r="K48" s="559">
        <f t="shared" si="96"/>
        <v>-1321</v>
      </c>
      <c r="L48" s="559">
        <f t="shared" si="96"/>
        <v>-7</v>
      </c>
      <c r="M48" s="559">
        <f t="shared" si="96"/>
        <v>-151</v>
      </c>
      <c r="N48" s="559">
        <f t="shared" si="96"/>
        <v>0</v>
      </c>
      <c r="O48" s="559">
        <f t="shared" si="96"/>
        <v>31</v>
      </c>
      <c r="P48" s="559">
        <f t="shared" si="96"/>
        <v>62</v>
      </c>
      <c r="Q48" s="559">
        <f t="shared" si="96"/>
        <v>94</v>
      </c>
      <c r="R48" s="559">
        <f t="shared" si="96"/>
        <v>1269</v>
      </c>
      <c r="S48" s="560">
        <f t="shared" ref="S48" si="98">S19-S46</f>
        <v>0</v>
      </c>
      <c r="T48" s="560">
        <f>T19-T46</f>
        <v>-1491</v>
      </c>
      <c r="U48" s="559">
        <f>U19-U46</f>
        <v>6748</v>
      </c>
      <c r="V48" s="559">
        <f>V19-V46</f>
        <v>4</v>
      </c>
      <c r="W48" s="569">
        <f t="shared" ref="W48" si="99">W19-W46</f>
        <v>626</v>
      </c>
      <c r="X48" s="569">
        <f t="shared" ref="X48" si="100">X19-X46</f>
        <v>1174</v>
      </c>
      <c r="Y48" s="560">
        <f>Y19-Y46</f>
        <v>0</v>
      </c>
      <c r="Z48" s="560">
        <f t="shared" ref="Z48" si="101">Z19-Z46</f>
        <v>-11840</v>
      </c>
      <c r="AA48" s="560">
        <f>AA19-AA46</f>
        <v>0</v>
      </c>
      <c r="AB48" s="559">
        <f>AB19-AB46</f>
        <v>0</v>
      </c>
      <c r="AC48" s="558">
        <f t="shared" si="96"/>
        <v>146216</v>
      </c>
      <c r="AD48" s="560">
        <f>AD19-AD46</f>
        <v>-101</v>
      </c>
      <c r="AE48" s="559">
        <f>AE19-AE46</f>
        <v>-1534.1440000000002</v>
      </c>
      <c r="AF48" s="559">
        <f t="shared" si="96"/>
        <v>33</v>
      </c>
      <c r="AG48" s="559">
        <f t="shared" si="96"/>
        <v>360</v>
      </c>
      <c r="AH48" s="559">
        <f>AH19-AH46</f>
        <v>-119</v>
      </c>
      <c r="AI48" s="559">
        <f>AI19-AI46</f>
        <v>-2458</v>
      </c>
      <c r="AJ48" s="559">
        <f t="shared" ref="AJ48" si="102">AJ19-AJ46</f>
        <v>-694</v>
      </c>
      <c r="AK48" s="560">
        <f t="shared" ref="AK48:AO48" si="103">AK19-AK46</f>
        <v>-5055</v>
      </c>
      <c r="AL48" s="559">
        <f t="shared" si="103"/>
        <v>1641</v>
      </c>
      <c r="AM48" s="569">
        <f t="shared" si="103"/>
        <v>-129</v>
      </c>
      <c r="AN48" s="569">
        <f t="shared" si="103"/>
        <v>987</v>
      </c>
      <c r="AO48" s="569">
        <f t="shared" si="103"/>
        <v>0</v>
      </c>
      <c r="AP48" s="569">
        <f>AP19-AP46</f>
        <v>-347</v>
      </c>
      <c r="AQ48" s="569">
        <f t="shared" ref="AQ48" si="104">AQ19-AQ46</f>
        <v>-532</v>
      </c>
      <c r="AR48" s="600">
        <f>SUM(AC48:AQ48)</f>
        <v>138267.856</v>
      </c>
      <c r="AS48" s="560">
        <f>AS19-AS46</f>
        <v>0</v>
      </c>
      <c r="AT48" s="600">
        <f t="shared" ref="AT48" si="105">AR48+AS48</f>
        <v>138267.856</v>
      </c>
      <c r="AU48" s="560">
        <f t="shared" ref="AU48:AX48" si="106">AU19-AU46</f>
        <v>0</v>
      </c>
      <c r="AV48" s="560">
        <f t="shared" si="106"/>
        <v>0</v>
      </c>
      <c r="AW48" s="560">
        <f t="shared" si="106"/>
        <v>0</v>
      </c>
      <c r="AX48" s="560">
        <f t="shared" si="106"/>
        <v>0</v>
      </c>
      <c r="AY48" s="1048">
        <f t="shared" si="74"/>
        <v>138267.856</v>
      </c>
    </row>
    <row r="49" spans="1:51" s="548" customFormat="1">
      <c r="A49" s="546"/>
      <c r="E49" s="551"/>
      <c r="F49" s="559"/>
      <c r="G49" s="559"/>
      <c r="H49" s="559"/>
      <c r="I49" s="559"/>
      <c r="J49" s="559"/>
      <c r="K49" s="559"/>
      <c r="L49" s="559"/>
      <c r="M49" s="559"/>
      <c r="N49" s="559"/>
      <c r="O49" s="559"/>
      <c r="P49" s="559"/>
      <c r="Q49" s="559"/>
      <c r="R49" s="559"/>
      <c r="S49" s="560"/>
      <c r="T49" s="560"/>
      <c r="U49" s="559"/>
      <c r="V49" s="559"/>
      <c r="W49" s="569"/>
      <c r="X49" s="569"/>
      <c r="Y49" s="560"/>
      <c r="Z49" s="560"/>
      <c r="AA49" s="560"/>
      <c r="AB49" s="559"/>
      <c r="AC49" s="558"/>
      <c r="AD49" s="560"/>
      <c r="AE49" s="559"/>
      <c r="AF49" s="559"/>
      <c r="AG49" s="559"/>
      <c r="AH49" s="559"/>
      <c r="AI49" s="559"/>
      <c r="AJ49" s="559"/>
      <c r="AK49" s="560"/>
      <c r="AL49" s="559"/>
      <c r="AM49" s="569"/>
      <c r="AN49" s="569"/>
      <c r="AO49" s="569"/>
      <c r="AP49" s="569"/>
      <c r="AQ49" s="569"/>
      <c r="AR49" s="600"/>
      <c r="AS49" s="560"/>
      <c r="AT49" s="600"/>
      <c r="AU49" s="630"/>
      <c r="AY49" s="1048"/>
    </row>
    <row r="50" spans="1:51" s="548" customFormat="1">
      <c r="A50" s="550"/>
      <c r="B50" s="548" t="s">
        <v>211</v>
      </c>
      <c r="E50" s="551"/>
      <c r="F50" s="559"/>
      <c r="G50" s="559"/>
      <c r="H50" s="559"/>
      <c r="I50" s="559"/>
      <c r="J50" s="559"/>
      <c r="K50" s="559"/>
      <c r="L50" s="559"/>
      <c r="M50" s="559"/>
      <c r="N50" s="559"/>
      <c r="O50" s="559"/>
      <c r="P50" s="559"/>
      <c r="Q50" s="559"/>
      <c r="R50" s="559"/>
      <c r="S50" s="560"/>
      <c r="T50" s="560"/>
      <c r="U50" s="559"/>
      <c r="V50" s="559"/>
      <c r="W50" s="569"/>
      <c r="X50" s="569"/>
      <c r="Y50" s="560"/>
      <c r="Z50" s="560"/>
      <c r="AA50" s="560"/>
      <c r="AB50" s="559"/>
      <c r="AC50" s="558"/>
      <c r="AD50" s="560"/>
      <c r="AE50" s="559"/>
      <c r="AF50" s="559"/>
      <c r="AG50" s="559"/>
      <c r="AH50" s="559"/>
      <c r="AI50" s="559"/>
      <c r="AJ50" s="559"/>
      <c r="AK50" s="560"/>
      <c r="AL50" s="559"/>
      <c r="AM50" s="569"/>
      <c r="AN50" s="569"/>
      <c r="AO50" s="569"/>
      <c r="AP50" s="569"/>
      <c r="AQ50" s="569"/>
      <c r="AR50" s="600"/>
      <c r="AS50" s="560"/>
      <c r="AT50" s="600"/>
      <c r="AU50" s="630"/>
      <c r="AY50" s="1048"/>
    </row>
    <row r="51" spans="1:51" s="548" customFormat="1" ht="12.75">
      <c r="A51" s="778">
        <f t="shared" ref="A51:A55" ca="1" si="107">+MAX(OFFSET($A$1,0,0,ROW($A51)-ROW($A$1),1))+1</f>
        <v>27</v>
      </c>
      <c r="B51" s="548" t="s">
        <v>626</v>
      </c>
      <c r="D51" s="592"/>
      <c r="E51" s="555">
        <f>'ROO INPUT'!F51</f>
        <v>-25741</v>
      </c>
      <c r="F51" s="1035">
        <f>F48*IF($AU$88=1,0.35,0.21)</f>
        <v>0</v>
      </c>
      <c r="G51" s="1035">
        <f t="shared" ref="G51:T51" si="108">G48*IF($AU$88=1,0.35,0.21)</f>
        <v>-4.1999999999999993</v>
      </c>
      <c r="H51" s="1035">
        <f t="shared" si="108"/>
        <v>0</v>
      </c>
      <c r="I51" s="1035">
        <f t="shared" si="108"/>
        <v>-51.449999999999996</v>
      </c>
      <c r="J51" s="1035">
        <f>J48*IF($AU$88=1,0.35,0.21)</f>
        <v>87.5</v>
      </c>
      <c r="K51" s="1035">
        <f t="shared" si="108"/>
        <v>-462.34999999999997</v>
      </c>
      <c r="L51" s="1035">
        <f t="shared" si="108"/>
        <v>-2.4499999999999997</v>
      </c>
      <c r="M51" s="1036">
        <f t="shared" si="108"/>
        <v>-52.849999999999994</v>
      </c>
      <c r="N51" s="560">
        <f>110/0.35*IF($AU$88=1,0.35,0.21)</f>
        <v>109.99999999999999</v>
      </c>
      <c r="O51" s="1036">
        <f t="shared" si="108"/>
        <v>10.85</v>
      </c>
      <c r="P51" s="1036">
        <f t="shared" si="108"/>
        <v>21.7</v>
      </c>
      <c r="Q51" s="1036">
        <f t="shared" si="108"/>
        <v>32.9</v>
      </c>
      <c r="R51" s="1036">
        <f t="shared" si="108"/>
        <v>444.15</v>
      </c>
      <c r="S51" s="1036">
        <f t="shared" si="108"/>
        <v>0</v>
      </c>
      <c r="T51" s="1036">
        <f t="shared" si="108"/>
        <v>-521.85</v>
      </c>
      <c r="U51" s="560">
        <f>1567/0.35*IF($AU$88=1,0.35,0.21)</f>
        <v>1567.0000000000002</v>
      </c>
      <c r="V51" s="1036">
        <f t="shared" ref="V51:X51" si="109">V48*IF($AU$88=1,0.35,0.21)</f>
        <v>1.4</v>
      </c>
      <c r="W51" s="1036">
        <f t="shared" si="109"/>
        <v>219.1</v>
      </c>
      <c r="X51" s="1036">
        <f t="shared" si="109"/>
        <v>410.9</v>
      </c>
      <c r="Y51" s="560">
        <f>'DEBT CALC'!E60/0.35*IF($AU$88=1,0.35,0.21)</f>
        <v>202.00000000000003</v>
      </c>
      <c r="Z51" s="1035">
        <f t="shared" ref="Z51" si="110">Z48*IF($AU$88=1,0.35,0.21)</f>
        <v>-4144</v>
      </c>
      <c r="AA51" s="559">
        <f>AA48*0.35</f>
        <v>0</v>
      </c>
      <c r="AB51" s="559">
        <f>AB48*0.35</f>
        <v>0</v>
      </c>
      <c r="AC51" s="558">
        <f>SUM(E51:AB51)</f>
        <v>-27872.649999999994</v>
      </c>
      <c r="AD51" s="1035">
        <f t="shared" ref="AD51:AQ51" si="111">AD48*IF($AU$88=1,0.35,0.21)</f>
        <v>-35.349999999999994</v>
      </c>
      <c r="AE51" s="1035">
        <f t="shared" si="111"/>
        <v>-536.95040000000006</v>
      </c>
      <c r="AF51" s="1035">
        <f t="shared" si="111"/>
        <v>11.549999999999999</v>
      </c>
      <c r="AG51" s="1035">
        <f t="shared" si="111"/>
        <v>125.99999999999999</v>
      </c>
      <c r="AH51" s="1035">
        <f t="shared" si="111"/>
        <v>-41.65</v>
      </c>
      <c r="AI51" s="1035">
        <f t="shared" si="111"/>
        <v>-860.3</v>
      </c>
      <c r="AJ51" s="1035">
        <f t="shared" si="111"/>
        <v>-242.89999999999998</v>
      </c>
      <c r="AK51" s="1035">
        <f t="shared" si="111"/>
        <v>-1769.25</v>
      </c>
      <c r="AL51" s="1035">
        <f t="shared" si="111"/>
        <v>574.34999999999991</v>
      </c>
      <c r="AM51" s="1035">
        <f t="shared" si="111"/>
        <v>-45.15</v>
      </c>
      <c r="AN51" s="1035">
        <f t="shared" si="111"/>
        <v>345.45</v>
      </c>
      <c r="AO51" s="1035">
        <f t="shared" si="111"/>
        <v>0</v>
      </c>
      <c r="AP51" s="1035">
        <f t="shared" si="111"/>
        <v>-121.44999999999999</v>
      </c>
      <c r="AQ51" s="1035">
        <f t="shared" si="111"/>
        <v>-186.2</v>
      </c>
      <c r="AR51" s="600">
        <f>SUM(AC51:AQ51)</f>
        <v>-30654.500400000001</v>
      </c>
      <c r="AS51" s="559">
        <f>AS48*0.35</f>
        <v>0</v>
      </c>
      <c r="AT51" s="600">
        <f t="shared" ref="AT51:AT54" si="112">AR51+AS51</f>
        <v>-30654.500400000001</v>
      </c>
      <c r="AU51" s="569">
        <f>+'Tab 5a Adjustment TCJA-1 '!N24/1000+'Tab 5a Adjustment TCJA-1 '!V24/1000</f>
        <v>7105.1766694852204</v>
      </c>
      <c r="AV51" s="559">
        <v>0</v>
      </c>
      <c r="AW51" s="573">
        <f>AW48*0.21</f>
        <v>0</v>
      </c>
      <c r="AX51" s="559">
        <v>0</v>
      </c>
      <c r="AY51" s="1048">
        <f t="shared" ref="AY51:AY55" si="113">+SUM(AT51:AX51)</f>
        <v>-23549.323730514781</v>
      </c>
    </row>
    <row r="52" spans="1:51" s="551" customFormat="1" ht="12.75">
      <c r="A52" s="778">
        <f t="shared" ca="1" si="107"/>
        <v>28</v>
      </c>
      <c r="B52" s="551" t="s">
        <v>298</v>
      </c>
      <c r="E52" s="555">
        <f>'ROO INPUT'!F52</f>
        <v>0</v>
      </c>
      <c r="F52" s="1036">
        <f>(F82*'Tab 2 Rev. Req. Calc.'!$O$13)*-IF($AU$88=1,0.35,0.21)</f>
        <v>-7.5602799999999997</v>
      </c>
      <c r="G52" s="1036">
        <f>(G82*'Tab 2 Rev. Req. Calc.'!$O$13)*-IF($AU$88=1,0.35,0.21)</f>
        <v>0</v>
      </c>
      <c r="H52" s="1036">
        <f>(H82*'Tab 2 Rev. Req. Calc.'!$O$13)*-IF($AU$88=1,0.35,0.21)</f>
        <v>28.196279999999998</v>
      </c>
      <c r="I52" s="1036">
        <f>(I82*'Tab 2 Rev. Req. Calc.'!$O$13)*-IF($AU$88=1,0.35,0.21)</f>
        <v>0</v>
      </c>
      <c r="J52" s="1036">
        <f>(J82*'Tab 2 Rev. Req. Calc.'!$O$13)*-IF($AU$88=1,0.35,0.21)</f>
        <v>0</v>
      </c>
      <c r="K52" s="1036">
        <f>(K82*'Tab 2 Rev. Req. Calc.'!$O$13)*-IF($AU$88=1,0.35,0.21)</f>
        <v>0</v>
      </c>
      <c r="L52" s="1036">
        <f>(L82*'Tab 2 Rev. Req. Calc.'!$O$13)*-IF($AU$88=1,0.35,0.21)</f>
        <v>0</v>
      </c>
      <c r="M52" s="1036">
        <f>(M82*'Tab 2 Rev. Req. Calc.'!$O$13)*-IF($AU$88=1,0.35,0.21)</f>
        <v>0</v>
      </c>
      <c r="N52" s="560">
        <v>0</v>
      </c>
      <c r="O52" s="1036">
        <f>(O82*'Tab 2 Rev. Req. Calc.'!$O$13)*-IF($AU$88=1,0.35,0.21)</f>
        <v>0</v>
      </c>
      <c r="P52" s="1036">
        <f>(P82*'Tab 2 Rev. Req. Calc.'!$O$13)*-IF($AU$88=1,0.35,0.21)</f>
        <v>0</v>
      </c>
      <c r="Q52" s="1036">
        <f>(Q82*'Tab 2 Rev. Req. Calc.'!$O$13)*-IF($AU$88=1,0.35,0.21)</f>
        <v>0</v>
      </c>
      <c r="R52" s="1036">
        <f>(R82*'Tab 2 Rev. Req. Calc.'!$O$13)*-IF($AU$88=1,0.35,0.21)</f>
        <v>0</v>
      </c>
      <c r="S52" s="1036">
        <f>(S82*'Tab 2 Rev. Req. Calc.'!$O$13)*-IF($AU$88=1,0.35,0.21)</f>
        <v>0</v>
      </c>
      <c r="T52" s="1036">
        <f>(T82*'Tab 2 Rev. Req. Calc.'!$O$13)*-IF($AU$88=1,0.35,0.21)</f>
        <v>0</v>
      </c>
      <c r="U52" s="560">
        <v>0</v>
      </c>
      <c r="V52" s="1036">
        <f>(V82*'Tab 2 Rev. Req. Calc.'!$O$13)*-IF($AU$88=1,0.35,0.21)</f>
        <v>0</v>
      </c>
      <c r="W52" s="1036">
        <f>(W82*'Tab 2 Rev. Req. Calc.'!$O$13)*-IF($AU$88=1,0.35,0.21)</f>
        <v>0</v>
      </c>
      <c r="X52" s="1036">
        <f>(X82*'Tab 2 Rev. Req. Calc.'!$O$13)*-IF($AU$88=1,0.35,0.21)</f>
        <v>0</v>
      </c>
      <c r="Y52" s="560">
        <v>0</v>
      </c>
      <c r="Z52" s="1036">
        <f>(Z82*'Tab 2 Rev. Req. Calc.'!$O$13)*-IF($AU$88=1,0.35,0.21)</f>
        <v>0</v>
      </c>
      <c r="AA52" s="560">
        <f>(AA82*'Tab 2 Rev. Req. Calc.'!$O$13)*-0.35</f>
        <v>0</v>
      </c>
      <c r="AB52" s="560">
        <f>(AB82*'Tab 2 Rev. Req. Calc.'!$O$13)*-0.35</f>
        <v>0</v>
      </c>
      <c r="AC52" s="558">
        <f>SUM(E52:AB52)</f>
        <v>20.635999999999999</v>
      </c>
      <c r="AD52" s="1036">
        <f>(AD82*'Tab 2 Rev. Req. Calc.'!$O$13)*-IF($AU$88=1,0.35,0.21)</f>
        <v>0</v>
      </c>
      <c r="AE52" s="1036">
        <f>(AE82*'Tab 2 Rev. Req. Calc.'!$O$13)*-IF($AU$88=1,0.35,0.21)</f>
        <v>0</v>
      </c>
      <c r="AF52" s="1036">
        <f>(AF82*'Tab 2 Rev. Req. Calc.'!$O$13)*-IF($AU$88=1,0.35,0.21)</f>
        <v>0</v>
      </c>
      <c r="AG52" s="1036">
        <f>(AG82*'Tab 2 Rev. Req. Calc.'!$O$13)*-IF($AU$88=1,0.35,0.21)</f>
        <v>0</v>
      </c>
      <c r="AH52" s="1036">
        <f>(AH82*'Tab 2 Rev. Req. Calc.'!$O$13)*-IF($AU$88=1,0.35,0.21)</f>
        <v>0</v>
      </c>
      <c r="AI52" s="1036">
        <f>(AI82*'Tab 2 Rev. Req. Calc.'!$O$13)*-IF($AU$88=1,0.35,0.21)</f>
        <v>0</v>
      </c>
      <c r="AJ52" s="1036">
        <f>(AJ82*'Tab 2 Rev. Req. Calc.'!$O$13)*-IF($AU$88=1,0.35,0.21)</f>
        <v>0</v>
      </c>
      <c r="AK52" s="1036">
        <f>(AK82*'Tab 2 Rev. Req. Calc.'!$O$13)*-IF($AU$88=1,0.35,0.21)</f>
        <v>0</v>
      </c>
      <c r="AL52" s="1036">
        <f>(AL82*'Tab 2 Rev. Req. Calc.'!$O$13)*-IF($AU$88=1,0.35,0.21)</f>
        <v>50.145480000000006</v>
      </c>
      <c r="AM52" s="1036">
        <f>(AM82*'Tab 2 Rev. Req. Calc.'!$O$13)*-IF($AU$88=1,0.35,0.21)</f>
        <v>-52.197753713051561</v>
      </c>
      <c r="AN52" s="1036">
        <f>(AN82*'Tab 2 Rev. Req. Calc.'!$O$13)*-IF($AU$88=1,0.35,0.21)</f>
        <v>0</v>
      </c>
      <c r="AO52" s="1036">
        <f>(AO82*'Tab 2 Rev. Req. Calc.'!$O$13)*-IF($AU$88=1,0.35,0.21)</f>
        <v>0</v>
      </c>
      <c r="AP52" s="1036">
        <f>(AP82*'Tab 2 Rev. Req. Calc.'!$O$13)*-IF($AU$88=1,0.35,0.21)</f>
        <v>0</v>
      </c>
      <c r="AQ52" s="1036">
        <f>(AQ82*'Tab 2 Rev. Req. Calc.'!$O$13)*-IF($AU$88=1,0.35,0.21)</f>
        <v>0</v>
      </c>
      <c r="AR52" s="600">
        <f>SUM(AC52:AQ52)</f>
        <v>18.583726286948441</v>
      </c>
      <c r="AS52" s="560">
        <f>(AS82*'Tab 2 Rev. Req. Calc.'!$O$13)*-0.35</f>
        <v>0</v>
      </c>
      <c r="AT52" s="600">
        <f t="shared" si="112"/>
        <v>18.583726286948441</v>
      </c>
      <c r="AU52" s="569">
        <v>0</v>
      </c>
      <c r="AV52" s="569">
        <f>(AV82*'Tab 2 Rev. Req. Calc.'!$O$13)*-0.35</f>
        <v>-22.937111695336604</v>
      </c>
      <c r="AW52" s="560">
        <v>0</v>
      </c>
      <c r="AX52" s="560">
        <v>0</v>
      </c>
      <c r="AY52" s="1048">
        <f t="shared" si="113"/>
        <v>-4.3533854083881636</v>
      </c>
    </row>
    <row r="53" spans="1:51" s="548" customFormat="1" ht="12.75">
      <c r="A53" s="778">
        <f t="shared" ca="1" si="107"/>
        <v>29</v>
      </c>
      <c r="B53" s="548" t="s">
        <v>212</v>
      </c>
      <c r="E53" s="555">
        <f>'ROO INPUT'!F53</f>
        <v>66436</v>
      </c>
      <c r="F53" s="559">
        <v>0</v>
      </c>
      <c r="G53" s="559">
        <v>0</v>
      </c>
      <c r="H53" s="559">
        <v>0</v>
      </c>
      <c r="I53" s="559">
        <v>0</v>
      </c>
      <c r="J53" s="559">
        <v>0</v>
      </c>
      <c r="K53" s="559">
        <v>0</v>
      </c>
      <c r="L53" s="559">
        <v>0</v>
      </c>
      <c r="M53" s="560">
        <v>0</v>
      </c>
      <c r="N53" s="560">
        <f>-40/0.35*IF($AU$88=1,0.35,0.21)</f>
        <v>-40</v>
      </c>
      <c r="O53" s="560">
        <v>0</v>
      </c>
      <c r="P53" s="560">
        <v>0</v>
      </c>
      <c r="Q53" s="560">
        <v>0</v>
      </c>
      <c r="R53" s="560">
        <v>0</v>
      </c>
      <c r="S53" s="560">
        <v>0</v>
      </c>
      <c r="T53" s="560">
        <v>0</v>
      </c>
      <c r="U53" s="560">
        <f>795/0.35*IF($AU$88=1,0.35,0.21)</f>
        <v>795</v>
      </c>
      <c r="V53" s="560">
        <v>0</v>
      </c>
      <c r="W53" s="569">
        <v>0</v>
      </c>
      <c r="X53" s="569">
        <v>0</v>
      </c>
      <c r="Y53" s="560">
        <v>0</v>
      </c>
      <c r="Z53" s="569">
        <v>0</v>
      </c>
      <c r="AA53" s="560">
        <v>0</v>
      </c>
      <c r="AB53" s="559">
        <v>0</v>
      </c>
      <c r="AC53" s="558">
        <f>SUM(E53:AB53)</f>
        <v>67191</v>
      </c>
      <c r="AD53" s="560">
        <v>0</v>
      </c>
      <c r="AE53" s="560">
        <v>0</v>
      </c>
      <c r="AF53" s="560">
        <v>0</v>
      </c>
      <c r="AG53" s="560">
        <v>0</v>
      </c>
      <c r="AH53" s="560">
        <v>0</v>
      </c>
      <c r="AI53" s="560">
        <v>0</v>
      </c>
      <c r="AJ53" s="560">
        <v>0</v>
      </c>
      <c r="AK53" s="560">
        <v>0</v>
      </c>
      <c r="AL53" s="560">
        <v>0</v>
      </c>
      <c r="AM53" s="569">
        <v>0</v>
      </c>
      <c r="AN53" s="569">
        <v>0</v>
      </c>
      <c r="AO53" s="569">
        <v>0</v>
      </c>
      <c r="AP53" s="569">
        <v>0</v>
      </c>
      <c r="AQ53" s="569">
        <v>0</v>
      </c>
      <c r="AR53" s="600">
        <f>SUM(AC53:AQ53)</f>
        <v>67191</v>
      </c>
      <c r="AS53" s="560">
        <v>0</v>
      </c>
      <c r="AT53" s="600">
        <f t="shared" si="112"/>
        <v>67191</v>
      </c>
      <c r="AU53" s="569">
        <f>+'Tab 5a Adjustment TCJA-1 '!N30/1000+'Tab 5a Adjustment TCJA-1 '!V30/1000</f>
        <v>-26876.438800000004</v>
      </c>
      <c r="AV53" s="559">
        <v>0</v>
      </c>
      <c r="AW53" s="559">
        <v>0</v>
      </c>
      <c r="AX53" s="559">
        <v>0</v>
      </c>
      <c r="AY53" s="1048">
        <f t="shared" si="113"/>
        <v>40314.561199999996</v>
      </c>
    </row>
    <row r="54" spans="1:51" s="548" customFormat="1" ht="12.75">
      <c r="A54" s="778">
        <f t="shared" ca="1" si="107"/>
        <v>30</v>
      </c>
      <c r="B54" s="548" t="s">
        <v>283</v>
      </c>
      <c r="E54" s="555">
        <f>'ROO INPUT'!F54</f>
        <v>-325</v>
      </c>
      <c r="F54" s="573">
        <v>0</v>
      </c>
      <c r="G54" s="573">
        <v>0</v>
      </c>
      <c r="H54" s="573">
        <v>0</v>
      </c>
      <c r="I54" s="573">
        <v>0</v>
      </c>
      <c r="J54" s="573">
        <v>0</v>
      </c>
      <c r="K54" s="573">
        <v>0</v>
      </c>
      <c r="L54" s="573">
        <v>0</v>
      </c>
      <c r="M54" s="569">
        <v>0</v>
      </c>
      <c r="N54" s="569">
        <f>-1</f>
        <v>-1</v>
      </c>
      <c r="O54" s="569">
        <v>0</v>
      </c>
      <c r="P54" s="569">
        <v>0</v>
      </c>
      <c r="Q54" s="569">
        <v>0</v>
      </c>
      <c r="R54" s="569">
        <v>0</v>
      </c>
      <c r="S54" s="569">
        <v>0</v>
      </c>
      <c r="T54" s="569">
        <v>0</v>
      </c>
      <c r="U54" s="560">
        <v>0</v>
      </c>
      <c r="V54" s="569">
        <v>0</v>
      </c>
      <c r="W54" s="569">
        <v>0</v>
      </c>
      <c r="X54" s="569">
        <v>0</v>
      </c>
      <c r="Y54" s="560">
        <v>0</v>
      </c>
      <c r="Z54" s="569">
        <v>0</v>
      </c>
      <c r="AA54" s="569">
        <v>0</v>
      </c>
      <c r="AB54" s="573">
        <v>0</v>
      </c>
      <c r="AC54" s="630">
        <f>SUM(E54:AB54)</f>
        <v>-326</v>
      </c>
      <c r="AD54" s="569">
        <v>0</v>
      </c>
      <c r="AE54" s="573">
        <v>0</v>
      </c>
      <c r="AF54" s="573">
        <v>0</v>
      </c>
      <c r="AG54" s="573">
        <v>0</v>
      </c>
      <c r="AH54" s="573">
        <v>0</v>
      </c>
      <c r="AI54" s="573">
        <v>0</v>
      </c>
      <c r="AJ54" s="573">
        <v>0</v>
      </c>
      <c r="AK54" s="569">
        <v>0</v>
      </c>
      <c r="AL54" s="573">
        <v>0</v>
      </c>
      <c r="AM54" s="569">
        <v>0</v>
      </c>
      <c r="AN54" s="569">
        <v>0</v>
      </c>
      <c r="AO54" s="569">
        <v>0</v>
      </c>
      <c r="AP54" s="569">
        <v>0</v>
      </c>
      <c r="AQ54" s="569">
        <v>0</v>
      </c>
      <c r="AR54" s="600">
        <f>SUM(AC54:AQ54)</f>
        <v>-326</v>
      </c>
      <c r="AS54" s="569">
        <v>0</v>
      </c>
      <c r="AT54" s="600">
        <f t="shared" si="112"/>
        <v>-326</v>
      </c>
      <c r="AU54" s="569">
        <v>0</v>
      </c>
      <c r="AV54" s="569">
        <v>0</v>
      </c>
      <c r="AW54" s="569">
        <v>0</v>
      </c>
      <c r="AX54" s="569">
        <v>0</v>
      </c>
      <c r="AY54" s="1048">
        <f t="shared" si="113"/>
        <v>-326</v>
      </c>
    </row>
    <row r="55" spans="1:51" s="548" customFormat="1" ht="12.75">
      <c r="A55" s="778">
        <f t="shared" ca="1" si="107"/>
        <v>31</v>
      </c>
      <c r="B55" s="971" t="s">
        <v>1041</v>
      </c>
      <c r="C55" s="971"/>
      <c r="D55" s="971"/>
      <c r="E55" s="1031"/>
      <c r="F55" s="1032"/>
      <c r="G55" s="1032"/>
      <c r="H55" s="1032"/>
      <c r="I55" s="1032"/>
      <c r="J55" s="1032"/>
      <c r="K55" s="1032"/>
      <c r="L55" s="1032"/>
      <c r="M55" s="1032"/>
      <c r="N55" s="1032"/>
      <c r="O55" s="1032"/>
      <c r="P55" s="1032"/>
      <c r="Q55" s="1032"/>
      <c r="R55" s="1032"/>
      <c r="S55" s="1032"/>
      <c r="T55" s="1032"/>
      <c r="U55" s="1032"/>
      <c r="V55" s="1032"/>
      <c r="W55" s="1032"/>
      <c r="X55" s="1032"/>
      <c r="Y55" s="1032"/>
      <c r="Z55" s="1032"/>
      <c r="AA55" s="1032"/>
      <c r="AB55" s="1032"/>
      <c r="AC55" s="1033"/>
      <c r="AD55" s="1032"/>
      <c r="AE55" s="1032"/>
      <c r="AF55" s="1032"/>
      <c r="AG55" s="1032"/>
      <c r="AH55" s="1032"/>
      <c r="AI55" s="1032"/>
      <c r="AJ55" s="1032"/>
      <c r="AK55" s="1032"/>
      <c r="AL55" s="1032"/>
      <c r="AM55" s="1032"/>
      <c r="AN55" s="1032"/>
      <c r="AO55" s="1032"/>
      <c r="AP55" s="1032"/>
      <c r="AQ55" s="1032"/>
      <c r="AR55" s="602"/>
      <c r="AS55" s="1032"/>
      <c r="AT55" s="602"/>
      <c r="AU55" s="1032">
        <v>0</v>
      </c>
      <c r="AV55" s="1032">
        <f>+'Tab 6a Adjustment TCJA-2'!T31</f>
        <v>-4890.6421525238147</v>
      </c>
      <c r="AW55" s="1032">
        <v>0</v>
      </c>
      <c r="AX55" s="1032">
        <v>0</v>
      </c>
      <c r="AY55" s="1050">
        <f t="shared" si="113"/>
        <v>-4890.6421525238147</v>
      </c>
    </row>
    <row r="56" spans="1:51">
      <c r="W56" s="569"/>
      <c r="X56" s="569"/>
      <c r="AM56" s="569"/>
      <c r="AN56" s="569"/>
      <c r="AO56" s="569"/>
      <c r="AP56" s="569"/>
      <c r="AQ56" s="569"/>
      <c r="AR56" s="600"/>
      <c r="AT56" s="600"/>
      <c r="AY56" s="1048"/>
    </row>
    <row r="57" spans="1:51" s="547" customFormat="1" ht="13.5" thickBot="1">
      <c r="A57" s="778">
        <f t="shared" ref="A57" ca="1" si="114">+MAX(OFFSET($A$1,0,0,ROW($A57)-ROW($A$1),1))+1</f>
        <v>32</v>
      </c>
      <c r="B57" s="547" t="s">
        <v>213</v>
      </c>
      <c r="E57" s="582">
        <f t="shared" ref="E57:AG57" si="115">E48-SUM(E51:E54)</f>
        <v>110557</v>
      </c>
      <c r="F57" s="583">
        <f t="shared" si="115"/>
        <v>7.5602799999999997</v>
      </c>
      <c r="G57" s="583">
        <f t="shared" si="115"/>
        <v>-7.8000000000000007</v>
      </c>
      <c r="H57" s="583">
        <f t="shared" si="115"/>
        <v>-28.196279999999998</v>
      </c>
      <c r="I57" s="583">
        <f t="shared" si="115"/>
        <v>-95.550000000000011</v>
      </c>
      <c r="J57" s="583">
        <f t="shared" ref="J57" si="116">J48-SUM(J51:J54)</f>
        <v>162.5</v>
      </c>
      <c r="K57" s="583">
        <f t="shared" si="115"/>
        <v>-858.65000000000009</v>
      </c>
      <c r="L57" s="583">
        <f t="shared" si="115"/>
        <v>-4.5500000000000007</v>
      </c>
      <c r="M57" s="583">
        <f t="shared" si="115"/>
        <v>-98.15</v>
      </c>
      <c r="N57" s="583">
        <f t="shared" si="115"/>
        <v>-68.999999999999986</v>
      </c>
      <c r="O57" s="583">
        <f t="shared" si="115"/>
        <v>20.149999999999999</v>
      </c>
      <c r="P57" s="583">
        <f t="shared" si="115"/>
        <v>40.299999999999997</v>
      </c>
      <c r="Q57" s="583">
        <f t="shared" si="115"/>
        <v>61.1</v>
      </c>
      <c r="R57" s="583">
        <f t="shared" si="115"/>
        <v>824.85</v>
      </c>
      <c r="S57" s="582">
        <f t="shared" ref="S57" si="117">S48-SUM(S51:S54)</f>
        <v>0</v>
      </c>
      <c r="T57" s="582">
        <f t="shared" ref="T57:Z57" si="118">T48-SUM(T51:T54)</f>
        <v>-969.15</v>
      </c>
      <c r="U57" s="583">
        <f t="shared" si="118"/>
        <v>4386</v>
      </c>
      <c r="V57" s="583">
        <f t="shared" si="118"/>
        <v>2.6</v>
      </c>
      <c r="W57" s="611">
        <f t="shared" ref="W57" si="119">W48-SUM(W51:W54)</f>
        <v>406.9</v>
      </c>
      <c r="X57" s="611">
        <f t="shared" si="118"/>
        <v>763.1</v>
      </c>
      <c r="Y57" s="611">
        <f t="shared" si="118"/>
        <v>-202.00000000000003</v>
      </c>
      <c r="Z57" s="582">
        <f t="shared" si="118"/>
        <v>-7696</v>
      </c>
      <c r="AA57" s="582">
        <f>AA48-SUM(AA51:AA54)</f>
        <v>0</v>
      </c>
      <c r="AB57" s="583">
        <f>AB48-SUM(AB51:AB54)</f>
        <v>0</v>
      </c>
      <c r="AC57" s="433">
        <f t="shared" si="115"/>
        <v>107203.014</v>
      </c>
      <c r="AD57" s="582">
        <f>AD48-SUM(AD51:AD54)</f>
        <v>-65.650000000000006</v>
      </c>
      <c r="AE57" s="583">
        <f>AE48-SUM(AE51:AE54)</f>
        <v>-997.19360000000017</v>
      </c>
      <c r="AF57" s="583">
        <f t="shared" si="115"/>
        <v>21.450000000000003</v>
      </c>
      <c r="AG57" s="583">
        <f t="shared" si="115"/>
        <v>234</v>
      </c>
      <c r="AH57" s="583">
        <f>AH48-SUM(AH51:AH54)</f>
        <v>-77.349999999999994</v>
      </c>
      <c r="AI57" s="583">
        <f>AI48-SUM(AI51:AI54)</f>
        <v>-1597.7</v>
      </c>
      <c r="AJ57" s="583">
        <f t="shared" ref="AJ57" si="120">AJ48-SUM(AJ51:AJ54)</f>
        <v>-451.1</v>
      </c>
      <c r="AK57" s="611">
        <f t="shared" ref="AK57" si="121">AK48-SUM(AK51:AK54)</f>
        <v>-3285.75</v>
      </c>
      <c r="AL57" s="583">
        <f t="shared" ref="AL57" si="122">AL48-SUM(AL51:AL54)</f>
        <v>1016.5045200000001</v>
      </c>
      <c r="AM57" s="582">
        <f>AM48-SUM(AM51:AM54)</f>
        <v>-31.65224628694844</v>
      </c>
      <c r="AN57" s="611">
        <f>AN48-SUM(AN51:AN54)</f>
        <v>641.54999999999995</v>
      </c>
      <c r="AO57" s="611">
        <f t="shared" ref="AO57" si="123">AO48-SUM(AO51:AO54)</f>
        <v>0</v>
      </c>
      <c r="AP57" s="611">
        <f>AP48-SUM(AP51:AP54)</f>
        <v>-225.55</v>
      </c>
      <c r="AQ57" s="611">
        <f t="shared" ref="AQ57" si="124">AQ48-SUM(AQ51:AQ54)</f>
        <v>-345.8</v>
      </c>
      <c r="AR57" s="604">
        <f>SUM(AC57:AQ57)</f>
        <v>102038.77267371304</v>
      </c>
      <c r="AS57" s="582">
        <f>AS48-SUM(AS51:AS54)</f>
        <v>0</v>
      </c>
      <c r="AT57" s="604">
        <f t="shared" ref="AT57" si="125">AR57+AS57</f>
        <v>102038.77267371304</v>
      </c>
      <c r="AU57" s="611">
        <f>AU48-SUM(AU51:AU55)</f>
        <v>19771.262130514784</v>
      </c>
      <c r="AV57" s="611">
        <f>AV48-SUM(AV51:AV55)</f>
        <v>4913.5792642191509</v>
      </c>
      <c r="AW57" s="611">
        <f>AW48-SUM(AW51:AW55)</f>
        <v>0</v>
      </c>
      <c r="AX57" s="611">
        <f>AX48-SUM(AX51:AX55)</f>
        <v>0</v>
      </c>
      <c r="AY57" s="1051">
        <f t="shared" ref="AY57" si="126">+SUM(AT57:AX57)</f>
        <v>126723.61406844697</v>
      </c>
    </row>
    <row r="58" spans="1:51" ht="6" customHeight="1" thickTop="1">
      <c r="A58" s="549"/>
      <c r="W58" s="569"/>
      <c r="X58" s="569"/>
      <c r="AM58" s="569"/>
      <c r="AN58" s="569"/>
      <c r="AO58" s="569"/>
      <c r="AP58" s="569"/>
      <c r="AQ58" s="569"/>
      <c r="AR58" s="600"/>
      <c r="AT58" s="600"/>
      <c r="AU58" s="560"/>
      <c r="AV58" s="560"/>
      <c r="AW58" s="560"/>
      <c r="AX58" s="560"/>
      <c r="AY58" s="1048"/>
    </row>
    <row r="59" spans="1:51">
      <c r="A59" s="549"/>
      <c r="B59" s="533" t="s">
        <v>214</v>
      </c>
      <c r="W59" s="569"/>
      <c r="X59" s="569"/>
      <c r="AM59" s="569"/>
      <c r="AN59" s="569"/>
      <c r="AO59" s="569"/>
      <c r="AP59" s="569"/>
      <c r="AQ59" s="569"/>
      <c r="AR59" s="600"/>
      <c r="AT59" s="600"/>
      <c r="AU59" s="560"/>
      <c r="AV59" s="560"/>
      <c r="AW59" s="560"/>
      <c r="AX59" s="560"/>
      <c r="AY59" s="1048"/>
    </row>
    <row r="60" spans="1:51">
      <c r="B60" s="533" t="s">
        <v>215</v>
      </c>
      <c r="W60" s="569"/>
      <c r="X60" s="569"/>
      <c r="AM60" s="569"/>
      <c r="AN60" s="569"/>
      <c r="AO60" s="569"/>
      <c r="AP60" s="569"/>
      <c r="AQ60" s="569"/>
      <c r="AR60" s="600"/>
      <c r="AT60" s="600"/>
      <c r="AU60" s="560"/>
      <c r="AV60" s="560"/>
      <c r="AW60" s="560"/>
      <c r="AX60" s="560"/>
      <c r="AY60" s="1048"/>
    </row>
    <row r="61" spans="1:51" s="547" customFormat="1" ht="12.75">
      <c r="A61" s="778">
        <f t="shared" ref="A61:A66" ca="1" si="127">+MAX(OFFSET($A$1,0,0,ROW($A61)-ROW($A$1),1))+1</f>
        <v>33</v>
      </c>
      <c r="C61" s="547" t="s">
        <v>216</v>
      </c>
      <c r="E61" s="556">
        <f>'ROO INPUT'!F60</f>
        <v>156057</v>
      </c>
      <c r="F61" s="547">
        <v>0</v>
      </c>
      <c r="G61" s="547">
        <v>0</v>
      </c>
      <c r="H61" s="547">
        <v>0</v>
      </c>
      <c r="I61" s="547">
        <v>0</v>
      </c>
      <c r="J61" s="547">
        <v>0</v>
      </c>
      <c r="K61" s="547">
        <v>0</v>
      </c>
      <c r="L61" s="547">
        <v>0</v>
      </c>
      <c r="M61" s="547">
        <v>0</v>
      </c>
      <c r="N61" s="547">
        <v>0</v>
      </c>
      <c r="O61" s="547">
        <v>0</v>
      </c>
      <c r="P61" s="547">
        <v>0</v>
      </c>
      <c r="Q61" s="547">
        <v>0</v>
      </c>
      <c r="R61" s="547">
        <v>0</v>
      </c>
      <c r="S61" s="576">
        <v>0</v>
      </c>
      <c r="T61" s="576">
        <v>0</v>
      </c>
      <c r="U61" s="547">
        <v>0</v>
      </c>
      <c r="V61" s="547">
        <v>0</v>
      </c>
      <c r="W61" s="556">
        <v>0</v>
      </c>
      <c r="X61" s="556">
        <v>0</v>
      </c>
      <c r="Y61" s="576">
        <v>0</v>
      </c>
      <c r="Z61" s="576">
        <v>0</v>
      </c>
      <c r="AA61" s="576">
        <v>0</v>
      </c>
      <c r="AB61" s="547">
        <v>0</v>
      </c>
      <c r="AC61" s="354">
        <f>SUM(E61:AB61)</f>
        <v>156057</v>
      </c>
      <c r="AD61" s="576">
        <v>0</v>
      </c>
      <c r="AE61" s="547">
        <v>0</v>
      </c>
      <c r="AF61" s="547">
        <v>0</v>
      </c>
      <c r="AG61" s="547">
        <v>0</v>
      </c>
      <c r="AH61" s="547">
        <v>0</v>
      </c>
      <c r="AI61" s="547">
        <v>0</v>
      </c>
      <c r="AJ61" s="547">
        <v>0</v>
      </c>
      <c r="AK61" s="576">
        <v>0</v>
      </c>
      <c r="AL61" s="547">
        <v>0</v>
      </c>
      <c r="AM61" s="556">
        <v>0</v>
      </c>
      <c r="AN61" s="556">
        <v>0</v>
      </c>
      <c r="AO61" s="556">
        <v>0</v>
      </c>
      <c r="AP61" s="556">
        <v>0</v>
      </c>
      <c r="AQ61" s="556">
        <v>0</v>
      </c>
      <c r="AR61" s="601">
        <f t="shared" ref="AR61:AR66" si="128">SUM(AC61:AQ61)</f>
        <v>156057</v>
      </c>
      <c r="AS61" s="576">
        <v>0</v>
      </c>
      <c r="AT61" s="601">
        <f t="shared" ref="AT61:AT73" si="129">AR61+AS61</f>
        <v>156057</v>
      </c>
      <c r="AU61" s="576">
        <v>0</v>
      </c>
      <c r="AV61" s="576">
        <v>0</v>
      </c>
      <c r="AW61" s="576">
        <v>0</v>
      </c>
      <c r="AX61" s="576">
        <v>0</v>
      </c>
      <c r="AY61" s="1049">
        <f t="shared" ref="AY61:AY73" si="130">+SUM(AT61:AX61)</f>
        <v>156057</v>
      </c>
    </row>
    <row r="62" spans="1:51" s="548" customFormat="1" ht="12.75">
      <c r="A62" s="778">
        <f t="shared" ca="1" si="127"/>
        <v>34</v>
      </c>
      <c r="C62" s="548" t="s">
        <v>217</v>
      </c>
      <c r="E62" s="555">
        <f>'ROO INPUT'!F61</f>
        <v>832833</v>
      </c>
      <c r="F62" s="559">
        <v>0</v>
      </c>
      <c r="G62" s="559">
        <v>0</v>
      </c>
      <c r="H62" s="559">
        <v>0</v>
      </c>
      <c r="I62" s="559">
        <v>0</v>
      </c>
      <c r="J62" s="559">
        <v>0</v>
      </c>
      <c r="K62" s="559">
        <v>0</v>
      </c>
      <c r="L62" s="559">
        <v>0</v>
      </c>
      <c r="M62" s="559">
        <v>0</v>
      </c>
      <c r="N62" s="559">
        <v>0</v>
      </c>
      <c r="O62" s="559">
        <v>0</v>
      </c>
      <c r="P62" s="559">
        <v>0</v>
      </c>
      <c r="Q62" s="559">
        <v>0</v>
      </c>
      <c r="R62" s="559">
        <v>0</v>
      </c>
      <c r="S62" s="560">
        <v>0</v>
      </c>
      <c r="T62" s="560">
        <v>0</v>
      </c>
      <c r="U62" s="559">
        <v>0</v>
      </c>
      <c r="V62" s="559">
        <v>0</v>
      </c>
      <c r="W62" s="569">
        <v>0</v>
      </c>
      <c r="X62" s="569">
        <v>0</v>
      </c>
      <c r="Y62" s="560">
        <v>0</v>
      </c>
      <c r="Z62" s="560">
        <v>0</v>
      </c>
      <c r="AA62" s="560">
        <v>0</v>
      </c>
      <c r="AB62" s="559">
        <v>0</v>
      </c>
      <c r="AC62" s="381">
        <f>SUM(E62:AB62)</f>
        <v>832833</v>
      </c>
      <c r="AD62" s="560">
        <v>0</v>
      </c>
      <c r="AE62" s="559">
        <v>0</v>
      </c>
      <c r="AF62" s="559">
        <v>0</v>
      </c>
      <c r="AG62" s="559">
        <v>0</v>
      </c>
      <c r="AH62" s="559">
        <v>0</v>
      </c>
      <c r="AI62" s="559">
        <v>0</v>
      </c>
      <c r="AJ62" s="559">
        <v>0</v>
      </c>
      <c r="AK62" s="560">
        <v>0</v>
      </c>
      <c r="AL62" s="559">
        <v>0</v>
      </c>
      <c r="AM62" s="569">
        <v>6889</v>
      </c>
      <c r="AN62" s="569">
        <v>0</v>
      </c>
      <c r="AO62" s="569">
        <v>0</v>
      </c>
      <c r="AP62" s="569">
        <v>0</v>
      </c>
      <c r="AQ62" s="569">
        <v>0</v>
      </c>
      <c r="AR62" s="600">
        <f t="shared" si="128"/>
        <v>839722</v>
      </c>
      <c r="AS62" s="560">
        <v>0</v>
      </c>
      <c r="AT62" s="600">
        <f t="shared" si="129"/>
        <v>839722</v>
      </c>
      <c r="AU62" s="560">
        <v>0</v>
      </c>
      <c r="AV62" s="560">
        <v>0</v>
      </c>
      <c r="AW62" s="560">
        <v>0</v>
      </c>
      <c r="AX62" s="560">
        <v>0</v>
      </c>
      <c r="AY62" s="1048">
        <f t="shared" si="130"/>
        <v>839722</v>
      </c>
    </row>
    <row r="63" spans="1:51" s="548" customFormat="1" ht="12.75" customHeight="1">
      <c r="A63" s="778">
        <f t="shared" ca="1" si="127"/>
        <v>35</v>
      </c>
      <c r="C63" s="548" t="s">
        <v>218</v>
      </c>
      <c r="E63" s="555">
        <f>'ROO INPUT'!F62</f>
        <v>430613</v>
      </c>
      <c r="F63" s="559">
        <v>0</v>
      </c>
      <c r="G63" s="559">
        <v>0</v>
      </c>
      <c r="H63" s="559">
        <v>0</v>
      </c>
      <c r="I63" s="559">
        <v>0</v>
      </c>
      <c r="J63" s="559">
        <v>0</v>
      </c>
      <c r="K63" s="559">
        <v>0</v>
      </c>
      <c r="L63" s="559">
        <v>0</v>
      </c>
      <c r="M63" s="559">
        <v>0</v>
      </c>
      <c r="N63" s="559">
        <v>0</v>
      </c>
      <c r="O63" s="559">
        <v>0</v>
      </c>
      <c r="P63" s="559">
        <v>0</v>
      </c>
      <c r="Q63" s="559">
        <v>0</v>
      </c>
      <c r="R63" s="559">
        <v>0</v>
      </c>
      <c r="S63" s="560">
        <v>0</v>
      </c>
      <c r="T63" s="560">
        <v>0</v>
      </c>
      <c r="U63" s="559">
        <v>0</v>
      </c>
      <c r="V63" s="559">
        <v>0</v>
      </c>
      <c r="W63" s="569">
        <v>0</v>
      </c>
      <c r="X63" s="569">
        <v>0</v>
      </c>
      <c r="Y63" s="560">
        <v>0</v>
      </c>
      <c r="Z63" s="560">
        <v>0</v>
      </c>
      <c r="AA63" s="560">
        <v>0</v>
      </c>
      <c r="AB63" s="559">
        <v>0</v>
      </c>
      <c r="AC63" s="381">
        <f>SUM(E63:AB63)</f>
        <v>430613</v>
      </c>
      <c r="AD63" s="560">
        <v>0</v>
      </c>
      <c r="AE63" s="559">
        <v>0</v>
      </c>
      <c r="AF63" s="559">
        <v>0</v>
      </c>
      <c r="AG63" s="559">
        <v>0</v>
      </c>
      <c r="AH63" s="559">
        <v>0</v>
      </c>
      <c r="AI63" s="559">
        <v>0</v>
      </c>
      <c r="AJ63" s="559">
        <v>0</v>
      </c>
      <c r="AK63" s="560">
        <v>0</v>
      </c>
      <c r="AL63" s="559">
        <v>0</v>
      </c>
      <c r="AM63" s="569">
        <v>0</v>
      </c>
      <c r="AN63" s="569">
        <v>0</v>
      </c>
      <c r="AO63" s="569">
        <v>0</v>
      </c>
      <c r="AP63" s="569">
        <v>0</v>
      </c>
      <c r="AQ63" s="569">
        <v>0</v>
      </c>
      <c r="AR63" s="600">
        <f t="shared" si="128"/>
        <v>430613</v>
      </c>
      <c r="AS63" s="560">
        <v>0</v>
      </c>
      <c r="AT63" s="600">
        <f t="shared" si="129"/>
        <v>430613</v>
      </c>
      <c r="AU63" s="560">
        <v>0</v>
      </c>
      <c r="AV63" s="560">
        <v>0</v>
      </c>
      <c r="AW63" s="560">
        <v>0</v>
      </c>
      <c r="AX63" s="560">
        <v>0</v>
      </c>
      <c r="AY63" s="1048">
        <f t="shared" si="130"/>
        <v>430613</v>
      </c>
    </row>
    <row r="64" spans="1:51" s="548" customFormat="1" ht="12" customHeight="1">
      <c r="A64" s="778">
        <f t="shared" ca="1" si="127"/>
        <v>36</v>
      </c>
      <c r="C64" s="548" t="s">
        <v>202</v>
      </c>
      <c r="E64" s="555">
        <f>'ROO INPUT'!F63</f>
        <v>970455</v>
      </c>
      <c r="F64" s="559">
        <v>0</v>
      </c>
      <c r="G64" s="559">
        <v>0</v>
      </c>
      <c r="H64" s="559">
        <v>0</v>
      </c>
      <c r="I64" s="559">
        <v>0</v>
      </c>
      <c r="J64" s="559">
        <v>0</v>
      </c>
      <c r="K64" s="559">
        <v>0</v>
      </c>
      <c r="L64" s="559">
        <v>0</v>
      </c>
      <c r="M64" s="559">
        <v>0</v>
      </c>
      <c r="N64" s="559">
        <v>0</v>
      </c>
      <c r="O64" s="559">
        <v>0</v>
      </c>
      <c r="P64" s="559">
        <v>0</v>
      </c>
      <c r="Q64" s="559">
        <v>0</v>
      </c>
      <c r="R64" s="559">
        <v>0</v>
      </c>
      <c r="S64" s="560">
        <v>0</v>
      </c>
      <c r="T64" s="560">
        <v>0</v>
      </c>
      <c r="U64" s="559">
        <v>0</v>
      </c>
      <c r="V64" s="559">
        <v>0</v>
      </c>
      <c r="W64" s="569">
        <v>0</v>
      </c>
      <c r="X64" s="569">
        <v>0</v>
      </c>
      <c r="Y64" s="560">
        <v>0</v>
      </c>
      <c r="Z64" s="560">
        <v>0</v>
      </c>
      <c r="AA64" s="560">
        <v>0</v>
      </c>
      <c r="AB64" s="559">
        <v>0</v>
      </c>
      <c r="AC64" s="381">
        <f>SUM(E64:AB64)</f>
        <v>970455</v>
      </c>
      <c r="AD64" s="560">
        <v>0</v>
      </c>
      <c r="AE64" s="559">
        <v>0</v>
      </c>
      <c r="AF64" s="559">
        <v>0</v>
      </c>
      <c r="AG64" s="559">
        <v>0</v>
      </c>
      <c r="AH64" s="559">
        <v>0</v>
      </c>
      <c r="AI64" s="559">
        <v>0</v>
      </c>
      <c r="AJ64" s="559">
        <v>0</v>
      </c>
      <c r="AK64" s="560">
        <v>0</v>
      </c>
      <c r="AL64" s="559">
        <v>0</v>
      </c>
      <c r="AM64" s="569"/>
      <c r="AN64" s="569">
        <v>0</v>
      </c>
      <c r="AO64" s="569">
        <v>0</v>
      </c>
      <c r="AP64" s="569">
        <v>0</v>
      </c>
      <c r="AQ64" s="569">
        <v>0</v>
      </c>
      <c r="AR64" s="600">
        <f t="shared" si="128"/>
        <v>970455</v>
      </c>
      <c r="AS64" s="560">
        <v>0</v>
      </c>
      <c r="AT64" s="600">
        <f t="shared" si="129"/>
        <v>970455</v>
      </c>
      <c r="AU64" s="560">
        <v>0</v>
      </c>
      <c r="AV64" s="560">
        <v>0</v>
      </c>
      <c r="AW64" s="560">
        <v>0</v>
      </c>
      <c r="AX64" s="560">
        <v>0</v>
      </c>
      <c r="AY64" s="1048">
        <f t="shared" si="130"/>
        <v>970455</v>
      </c>
    </row>
    <row r="65" spans="1:51" s="548" customFormat="1" ht="12.75">
      <c r="A65" s="778">
        <f t="shared" ca="1" si="127"/>
        <v>37</v>
      </c>
      <c r="C65" s="548" t="s">
        <v>219</v>
      </c>
      <c r="E65" s="581">
        <f>'ROO INPUT'!F64-1</f>
        <v>233266</v>
      </c>
      <c r="F65" s="571">
        <v>0</v>
      </c>
      <c r="G65" s="571">
        <v>0</v>
      </c>
      <c r="H65" s="571">
        <v>0</v>
      </c>
      <c r="I65" s="571">
        <v>0</v>
      </c>
      <c r="J65" s="571">
        <v>0</v>
      </c>
      <c r="K65" s="571">
        <v>0</v>
      </c>
      <c r="L65" s="571">
        <v>0</v>
      </c>
      <c r="M65" s="571">
        <v>0</v>
      </c>
      <c r="N65" s="571">
        <v>0</v>
      </c>
      <c r="O65" s="571">
        <v>0</v>
      </c>
      <c r="P65" s="571">
        <v>0</v>
      </c>
      <c r="Q65" s="571">
        <v>0</v>
      </c>
      <c r="R65" s="571">
        <v>0</v>
      </c>
      <c r="S65" s="570">
        <v>0</v>
      </c>
      <c r="T65" s="570">
        <v>0</v>
      </c>
      <c r="U65" s="571">
        <v>0</v>
      </c>
      <c r="V65" s="571">
        <v>0</v>
      </c>
      <c r="W65" s="570">
        <v>0</v>
      </c>
      <c r="X65" s="570">
        <v>0</v>
      </c>
      <c r="Y65" s="570">
        <v>0</v>
      </c>
      <c r="Z65" s="570">
        <v>0</v>
      </c>
      <c r="AA65" s="570">
        <v>0</v>
      </c>
      <c r="AB65" s="571">
        <v>0</v>
      </c>
      <c r="AC65" s="382">
        <f>SUM(E65:AB65)</f>
        <v>233266</v>
      </c>
      <c r="AD65" s="570">
        <v>0</v>
      </c>
      <c r="AE65" s="571">
        <v>0</v>
      </c>
      <c r="AF65" s="571">
        <v>0</v>
      </c>
      <c r="AG65" s="571">
        <v>0</v>
      </c>
      <c r="AH65" s="571">
        <v>0</v>
      </c>
      <c r="AI65" s="571">
        <v>0</v>
      </c>
      <c r="AJ65" s="571">
        <v>0</v>
      </c>
      <c r="AK65" s="570">
        <v>0</v>
      </c>
      <c r="AL65" s="571">
        <v>0</v>
      </c>
      <c r="AM65" s="570">
        <v>0</v>
      </c>
      <c r="AN65" s="570">
        <v>0</v>
      </c>
      <c r="AO65" s="570">
        <v>0</v>
      </c>
      <c r="AP65" s="570">
        <v>0</v>
      </c>
      <c r="AQ65" s="570">
        <v>0</v>
      </c>
      <c r="AR65" s="602">
        <f t="shared" si="128"/>
        <v>233266</v>
      </c>
      <c r="AS65" s="570">
        <v>0</v>
      </c>
      <c r="AT65" s="602">
        <f t="shared" si="129"/>
        <v>233266</v>
      </c>
      <c r="AU65" s="570">
        <v>0</v>
      </c>
      <c r="AV65" s="570">
        <v>0</v>
      </c>
      <c r="AW65" s="570">
        <v>0</v>
      </c>
      <c r="AX65" s="570">
        <v>0</v>
      </c>
      <c r="AY65" s="1050">
        <f t="shared" si="130"/>
        <v>233266</v>
      </c>
    </row>
    <row r="66" spans="1:51" s="548" customFormat="1" ht="12.75">
      <c r="A66" s="778">
        <f t="shared" ca="1" si="127"/>
        <v>38</v>
      </c>
      <c r="B66" s="548" t="s">
        <v>220</v>
      </c>
      <c r="E66" s="560">
        <f t="shared" ref="E66:AG66" si="131">SUM(E61:E65)</f>
        <v>2623224</v>
      </c>
      <c r="F66" s="559">
        <f t="shared" si="131"/>
        <v>0</v>
      </c>
      <c r="G66" s="559">
        <f t="shared" si="131"/>
        <v>0</v>
      </c>
      <c r="H66" s="559">
        <f t="shared" si="131"/>
        <v>0</v>
      </c>
      <c r="I66" s="559">
        <f t="shared" si="131"/>
        <v>0</v>
      </c>
      <c r="J66" s="559">
        <f t="shared" ref="J66" si="132">SUM(J61:J65)</f>
        <v>0</v>
      </c>
      <c r="K66" s="559">
        <f t="shared" si="131"/>
        <v>0</v>
      </c>
      <c r="L66" s="559">
        <f t="shared" si="131"/>
        <v>0</v>
      </c>
      <c r="M66" s="559">
        <f t="shared" si="131"/>
        <v>0</v>
      </c>
      <c r="N66" s="559">
        <f t="shared" si="131"/>
        <v>0</v>
      </c>
      <c r="O66" s="559">
        <f t="shared" si="131"/>
        <v>0</v>
      </c>
      <c r="P66" s="559">
        <f t="shared" si="131"/>
        <v>0</v>
      </c>
      <c r="Q66" s="559">
        <f t="shared" si="131"/>
        <v>0</v>
      </c>
      <c r="R66" s="559">
        <f t="shared" si="131"/>
        <v>0</v>
      </c>
      <c r="S66" s="560">
        <f t="shared" ref="S66" si="133">SUM(S61:S65)</f>
        <v>0</v>
      </c>
      <c r="T66" s="560">
        <f>SUM(T61:T65)</f>
        <v>0</v>
      </c>
      <c r="U66" s="559">
        <f>SUM(U61:U65)</f>
        <v>0</v>
      </c>
      <c r="V66" s="559">
        <f>SUM(V61:V65)</f>
        <v>0</v>
      </c>
      <c r="W66" s="569">
        <f t="shared" ref="W66" si="134">SUM(W61:W65)</f>
        <v>0</v>
      </c>
      <c r="X66" s="569">
        <f t="shared" ref="X66" si="135">SUM(X61:X65)</f>
        <v>0</v>
      </c>
      <c r="Y66" s="560">
        <f>SUM(Y61:Y65)</f>
        <v>0</v>
      </c>
      <c r="Z66" s="560">
        <f t="shared" ref="Z66" si="136">SUM(Z61:Z65)</f>
        <v>0</v>
      </c>
      <c r="AA66" s="560">
        <f>SUM(AA61:AA65)</f>
        <v>0</v>
      </c>
      <c r="AB66" s="559">
        <f>SUM(AB61:AB65)</f>
        <v>0</v>
      </c>
      <c r="AC66" s="381">
        <f t="shared" si="131"/>
        <v>2623224</v>
      </c>
      <c r="AD66" s="560">
        <f>SUM(AD61:AD65)</f>
        <v>0</v>
      </c>
      <c r="AE66" s="559">
        <f>SUM(AE61:AE65)</f>
        <v>0</v>
      </c>
      <c r="AF66" s="559">
        <f t="shared" si="131"/>
        <v>0</v>
      </c>
      <c r="AG66" s="559">
        <f t="shared" si="131"/>
        <v>0</v>
      </c>
      <c r="AH66" s="559">
        <f>SUM(AH61:AH65)</f>
        <v>0</v>
      </c>
      <c r="AI66" s="559">
        <f>SUM(AI61:AI65)</f>
        <v>0</v>
      </c>
      <c r="AJ66" s="559">
        <f t="shared" ref="AJ66" si="137">SUM(AJ61:AJ65)</f>
        <v>0</v>
      </c>
      <c r="AK66" s="560">
        <f t="shared" ref="AK66:AO66" si="138">SUM(AK61:AK65)</f>
        <v>0</v>
      </c>
      <c r="AL66" s="559">
        <f t="shared" si="138"/>
        <v>0</v>
      </c>
      <c r="AM66" s="569">
        <f t="shared" si="138"/>
        <v>6889</v>
      </c>
      <c r="AN66" s="569">
        <f t="shared" si="138"/>
        <v>0</v>
      </c>
      <c r="AO66" s="569">
        <f t="shared" si="138"/>
        <v>0</v>
      </c>
      <c r="AP66" s="569">
        <f>SUM(AP61:AP65)</f>
        <v>0</v>
      </c>
      <c r="AQ66" s="569">
        <f t="shared" ref="AQ66" si="139">SUM(AQ61:AQ65)</f>
        <v>0</v>
      </c>
      <c r="AR66" s="600">
        <f t="shared" si="128"/>
        <v>2630113</v>
      </c>
      <c r="AS66" s="560">
        <f>SUM(AS61:AS65)</f>
        <v>0</v>
      </c>
      <c r="AT66" s="600">
        <f t="shared" si="129"/>
        <v>2630113</v>
      </c>
      <c r="AU66" s="560">
        <f t="shared" ref="AU66:AX66" si="140">SUM(AU61:AU65)</f>
        <v>0</v>
      </c>
      <c r="AV66" s="560">
        <f t="shared" si="140"/>
        <v>0</v>
      </c>
      <c r="AW66" s="560">
        <f t="shared" si="140"/>
        <v>0</v>
      </c>
      <c r="AX66" s="560">
        <f t="shared" si="140"/>
        <v>0</v>
      </c>
      <c r="AY66" s="1048">
        <f t="shared" si="130"/>
        <v>2630113</v>
      </c>
    </row>
    <row r="67" spans="1:51" s="548" customFormat="1" ht="14.25" customHeight="1">
      <c r="A67" s="549"/>
      <c r="B67" s="548" t="s">
        <v>593</v>
      </c>
      <c r="E67" s="560"/>
      <c r="F67" s="559"/>
      <c r="G67" s="559"/>
      <c r="H67" s="559"/>
      <c r="I67" s="559"/>
      <c r="J67" s="559"/>
      <c r="K67" s="559"/>
      <c r="L67" s="559"/>
      <c r="M67" s="559"/>
      <c r="N67" s="559"/>
      <c r="O67" s="559"/>
      <c r="P67" s="559"/>
      <c r="Q67" s="559"/>
      <c r="R67" s="559"/>
      <c r="S67" s="560"/>
      <c r="T67" s="560"/>
      <c r="U67" s="559"/>
      <c r="V67" s="559"/>
      <c r="W67" s="569"/>
      <c r="X67" s="569"/>
      <c r="Y67" s="560"/>
      <c r="Z67" s="560">
        <v>0</v>
      </c>
      <c r="AA67" s="560"/>
      <c r="AB67" s="559"/>
      <c r="AC67" s="381"/>
      <c r="AD67" s="560">
        <v>0</v>
      </c>
      <c r="AE67" s="559">
        <v>0</v>
      </c>
      <c r="AF67" s="559">
        <v>0</v>
      </c>
      <c r="AG67" s="559">
        <v>0</v>
      </c>
      <c r="AH67" s="559"/>
      <c r="AI67" s="559"/>
      <c r="AJ67" s="559"/>
      <c r="AK67" s="560"/>
      <c r="AL67" s="559"/>
      <c r="AM67" s="569"/>
      <c r="AN67" s="569"/>
      <c r="AO67" s="569"/>
      <c r="AP67" s="569"/>
      <c r="AQ67" s="569"/>
      <c r="AR67" s="600"/>
      <c r="AS67" s="560"/>
      <c r="AT67" s="600"/>
      <c r="AU67" s="560"/>
      <c r="AV67" s="560"/>
      <c r="AW67" s="560"/>
      <c r="AX67" s="560"/>
      <c r="AY67" s="1048"/>
    </row>
    <row r="68" spans="1:51" s="548" customFormat="1" ht="12.75">
      <c r="A68" s="778">
        <f t="shared" ref="A68:A84" ca="1" si="141">+MAX(OFFSET($A$1,0,0,ROW($A68)-ROW($A$1),1))+1</f>
        <v>39</v>
      </c>
      <c r="C68" s="547" t="s">
        <v>216</v>
      </c>
      <c r="E68" s="555">
        <f>'ROO INPUT'!F67</f>
        <v>-30914</v>
      </c>
      <c r="F68" s="559">
        <v>0</v>
      </c>
      <c r="G68" s="559">
        <v>0</v>
      </c>
      <c r="H68" s="559">
        <v>0</v>
      </c>
      <c r="I68" s="559">
        <v>0</v>
      </c>
      <c r="J68" s="559">
        <v>0</v>
      </c>
      <c r="K68" s="559">
        <v>0</v>
      </c>
      <c r="L68" s="559">
        <v>0</v>
      </c>
      <c r="M68" s="559">
        <v>0</v>
      </c>
      <c r="N68" s="559">
        <v>0</v>
      </c>
      <c r="O68" s="559">
        <v>0</v>
      </c>
      <c r="P68" s="559">
        <v>0</v>
      </c>
      <c r="Q68" s="559">
        <v>0</v>
      </c>
      <c r="R68" s="559">
        <v>0</v>
      </c>
      <c r="S68" s="560">
        <v>0</v>
      </c>
      <c r="T68" s="560">
        <v>0</v>
      </c>
      <c r="U68" s="559">
        <v>0</v>
      </c>
      <c r="V68" s="559">
        <v>0</v>
      </c>
      <c r="W68" s="573">
        <v>0</v>
      </c>
      <c r="X68" s="573">
        <v>0</v>
      </c>
      <c r="Y68" s="559">
        <v>0</v>
      </c>
      <c r="Z68" s="559">
        <v>0</v>
      </c>
      <c r="AA68" s="559">
        <v>0</v>
      </c>
      <c r="AB68" s="559">
        <v>0</v>
      </c>
      <c r="AC68" s="381">
        <f>SUM(E68:AB68)</f>
        <v>-30914</v>
      </c>
      <c r="AD68" s="560">
        <v>0</v>
      </c>
      <c r="AE68" s="559">
        <v>0</v>
      </c>
      <c r="AF68" s="559">
        <v>0</v>
      </c>
      <c r="AG68" s="559">
        <v>0</v>
      </c>
      <c r="AH68" s="559">
        <v>0</v>
      </c>
      <c r="AI68" s="559">
        <v>0</v>
      </c>
      <c r="AJ68" s="559">
        <v>0</v>
      </c>
      <c r="AK68" s="559">
        <v>0</v>
      </c>
      <c r="AL68" s="559">
        <v>0</v>
      </c>
      <c r="AM68" s="569"/>
      <c r="AN68" s="573">
        <v>0</v>
      </c>
      <c r="AO68" s="573">
        <v>0</v>
      </c>
      <c r="AP68" s="573">
        <v>0</v>
      </c>
      <c r="AQ68" s="573">
        <v>0</v>
      </c>
      <c r="AR68" s="600">
        <f t="shared" ref="AR68:AR73" si="142">SUM(AC68:AQ68)</f>
        <v>-30914</v>
      </c>
      <c r="AS68" s="559">
        <v>0</v>
      </c>
      <c r="AT68" s="600">
        <f t="shared" si="129"/>
        <v>-30914</v>
      </c>
      <c r="AU68" s="559">
        <v>0</v>
      </c>
      <c r="AV68" s="559">
        <v>0</v>
      </c>
      <c r="AW68" s="559">
        <v>0</v>
      </c>
      <c r="AX68" s="559">
        <v>0</v>
      </c>
      <c r="AY68" s="1048">
        <f t="shared" si="130"/>
        <v>-30914</v>
      </c>
    </row>
    <row r="69" spans="1:51" s="548" customFormat="1" ht="12.75">
      <c r="A69" s="778">
        <f t="shared" ca="1" si="141"/>
        <v>40</v>
      </c>
      <c r="C69" s="548" t="s">
        <v>217</v>
      </c>
      <c r="E69" s="555">
        <f>'ROO INPUT'!F68</f>
        <v>-351625</v>
      </c>
      <c r="F69" s="559">
        <v>0</v>
      </c>
      <c r="G69" s="559">
        <v>0</v>
      </c>
      <c r="H69" s="559">
        <v>0</v>
      </c>
      <c r="I69" s="559">
        <v>0</v>
      </c>
      <c r="J69" s="559">
        <v>0</v>
      </c>
      <c r="K69" s="559">
        <v>0</v>
      </c>
      <c r="L69" s="559">
        <v>0</v>
      </c>
      <c r="M69" s="559">
        <v>0</v>
      </c>
      <c r="N69" s="559">
        <v>0</v>
      </c>
      <c r="O69" s="559">
        <v>0</v>
      </c>
      <c r="P69" s="559">
        <v>0</v>
      </c>
      <c r="Q69" s="559">
        <v>0</v>
      </c>
      <c r="R69" s="559">
        <v>0</v>
      </c>
      <c r="S69" s="560">
        <v>0</v>
      </c>
      <c r="T69" s="560">
        <v>0</v>
      </c>
      <c r="U69" s="559">
        <v>0</v>
      </c>
      <c r="V69" s="559">
        <v>0</v>
      </c>
      <c r="W69" s="573">
        <v>0</v>
      </c>
      <c r="X69" s="573">
        <v>0</v>
      </c>
      <c r="Y69" s="559">
        <v>0</v>
      </c>
      <c r="Z69" s="559">
        <v>0</v>
      </c>
      <c r="AA69" s="559">
        <v>0</v>
      </c>
      <c r="AB69" s="559">
        <v>0</v>
      </c>
      <c r="AC69" s="381">
        <f>SUM(E69:AB69)</f>
        <v>-351625</v>
      </c>
      <c r="AD69" s="560">
        <v>0</v>
      </c>
      <c r="AE69" s="559">
        <v>0</v>
      </c>
      <c r="AF69" s="559">
        <v>0</v>
      </c>
      <c r="AG69" s="559">
        <v>0</v>
      </c>
      <c r="AH69" s="559">
        <v>0</v>
      </c>
      <c r="AI69" s="559">
        <v>0</v>
      </c>
      <c r="AJ69" s="559">
        <v>0</v>
      </c>
      <c r="AK69" s="559">
        <v>0</v>
      </c>
      <c r="AL69" s="559">
        <v>0</v>
      </c>
      <c r="AM69" s="569">
        <v>-95.207493278084613</v>
      </c>
      <c r="AN69" s="573">
        <v>0</v>
      </c>
      <c r="AO69" s="573">
        <v>0</v>
      </c>
      <c r="AP69" s="573">
        <v>0</v>
      </c>
      <c r="AQ69" s="573">
        <v>0</v>
      </c>
      <c r="AR69" s="601">
        <f t="shared" si="142"/>
        <v>-351720.20749327808</v>
      </c>
      <c r="AS69" s="559">
        <v>0</v>
      </c>
      <c r="AT69" s="601">
        <f t="shared" si="129"/>
        <v>-351720.20749327808</v>
      </c>
      <c r="AU69" s="559">
        <v>0</v>
      </c>
      <c r="AV69" s="559">
        <v>0</v>
      </c>
      <c r="AW69" s="559">
        <v>0</v>
      </c>
      <c r="AX69" s="559">
        <v>0</v>
      </c>
      <c r="AY69" s="1049">
        <f t="shared" si="130"/>
        <v>-351720.20749327808</v>
      </c>
    </row>
    <row r="70" spans="1:51" s="548" customFormat="1" ht="12.75">
      <c r="A70" s="778">
        <f t="shared" ca="1" si="141"/>
        <v>41</v>
      </c>
      <c r="C70" s="548" t="s">
        <v>218</v>
      </c>
      <c r="E70" s="555">
        <f>'ROO INPUT'!F69</f>
        <v>-135624</v>
      </c>
      <c r="F70" s="559">
        <v>0</v>
      </c>
      <c r="G70" s="559">
        <v>0</v>
      </c>
      <c r="H70" s="559">
        <v>0</v>
      </c>
      <c r="I70" s="559">
        <v>0</v>
      </c>
      <c r="J70" s="559">
        <v>0</v>
      </c>
      <c r="K70" s="559">
        <v>0</v>
      </c>
      <c r="L70" s="559">
        <v>0</v>
      </c>
      <c r="M70" s="559">
        <v>0</v>
      </c>
      <c r="N70" s="559">
        <v>0</v>
      </c>
      <c r="O70" s="559">
        <v>0</v>
      </c>
      <c r="P70" s="559">
        <v>0</v>
      </c>
      <c r="Q70" s="559">
        <v>0</v>
      </c>
      <c r="R70" s="559">
        <v>0</v>
      </c>
      <c r="S70" s="560">
        <v>0</v>
      </c>
      <c r="T70" s="560">
        <v>0</v>
      </c>
      <c r="U70" s="559">
        <v>0</v>
      </c>
      <c r="V70" s="559">
        <v>0</v>
      </c>
      <c r="W70" s="573">
        <v>0</v>
      </c>
      <c r="X70" s="573">
        <v>0</v>
      </c>
      <c r="Y70" s="559">
        <v>0</v>
      </c>
      <c r="Z70" s="559">
        <v>0</v>
      </c>
      <c r="AA70" s="559">
        <v>0</v>
      </c>
      <c r="AB70" s="559">
        <v>0</v>
      </c>
      <c r="AC70" s="381">
        <f>SUM(E70:AB70)</f>
        <v>-135624</v>
      </c>
      <c r="AD70" s="560">
        <v>0</v>
      </c>
      <c r="AE70" s="559">
        <v>0</v>
      </c>
      <c r="AF70" s="559">
        <v>0</v>
      </c>
      <c r="AG70" s="559">
        <v>0</v>
      </c>
      <c r="AH70" s="559">
        <v>0</v>
      </c>
      <c r="AI70" s="559">
        <v>0</v>
      </c>
      <c r="AJ70" s="559">
        <v>0</v>
      </c>
      <c r="AK70" s="559">
        <v>0</v>
      </c>
      <c r="AL70" s="559">
        <v>0</v>
      </c>
      <c r="AM70" s="569">
        <v>0</v>
      </c>
      <c r="AN70" s="573">
        <v>0</v>
      </c>
      <c r="AO70" s="573">
        <v>0</v>
      </c>
      <c r="AP70" s="573">
        <v>0</v>
      </c>
      <c r="AQ70" s="573">
        <v>0</v>
      </c>
      <c r="AR70" s="600">
        <f t="shared" si="142"/>
        <v>-135624</v>
      </c>
      <c r="AS70" s="559">
        <v>0</v>
      </c>
      <c r="AT70" s="600">
        <f t="shared" si="129"/>
        <v>-135624</v>
      </c>
      <c r="AU70" s="559">
        <v>0</v>
      </c>
      <c r="AV70" s="559">
        <v>0</v>
      </c>
      <c r="AW70" s="559">
        <v>0</v>
      </c>
      <c r="AX70" s="559">
        <v>0</v>
      </c>
      <c r="AY70" s="1048">
        <f t="shared" si="130"/>
        <v>-135624</v>
      </c>
    </row>
    <row r="71" spans="1:51" s="548" customFormat="1" ht="12.75">
      <c r="A71" s="778">
        <f t="shared" ca="1" si="141"/>
        <v>42</v>
      </c>
      <c r="C71" s="548" t="s">
        <v>202</v>
      </c>
      <c r="E71" s="555">
        <f>'ROO INPUT'!F70</f>
        <v>-295383</v>
      </c>
      <c r="F71" s="559">
        <v>0</v>
      </c>
      <c r="G71" s="559">
        <v>0</v>
      </c>
      <c r="H71" s="559">
        <v>0</v>
      </c>
      <c r="I71" s="559">
        <v>0</v>
      </c>
      <c r="J71" s="559">
        <v>0</v>
      </c>
      <c r="K71" s="559">
        <v>0</v>
      </c>
      <c r="L71" s="559">
        <v>0</v>
      </c>
      <c r="M71" s="559">
        <v>0</v>
      </c>
      <c r="N71" s="559">
        <v>0</v>
      </c>
      <c r="O71" s="559">
        <v>0</v>
      </c>
      <c r="P71" s="559">
        <v>0</v>
      </c>
      <c r="Q71" s="559">
        <v>0</v>
      </c>
      <c r="R71" s="559">
        <v>0</v>
      </c>
      <c r="S71" s="560">
        <v>0</v>
      </c>
      <c r="T71" s="560">
        <v>0</v>
      </c>
      <c r="U71" s="559">
        <v>0</v>
      </c>
      <c r="V71" s="559">
        <v>0</v>
      </c>
      <c r="W71" s="573">
        <v>0</v>
      </c>
      <c r="X71" s="573">
        <v>0</v>
      </c>
      <c r="Y71" s="559">
        <v>0</v>
      </c>
      <c r="Z71" s="559">
        <v>0</v>
      </c>
      <c r="AA71" s="559">
        <v>0</v>
      </c>
      <c r="AB71" s="559">
        <v>0</v>
      </c>
      <c r="AC71" s="381">
        <f>SUM(E71:AB71)</f>
        <v>-295383</v>
      </c>
      <c r="AD71" s="560">
        <v>0</v>
      </c>
      <c r="AE71" s="559">
        <v>0</v>
      </c>
      <c r="AF71" s="559">
        <v>0</v>
      </c>
      <c r="AG71" s="559">
        <v>0</v>
      </c>
      <c r="AH71" s="559">
        <v>0</v>
      </c>
      <c r="AI71" s="559">
        <v>0</v>
      </c>
      <c r="AJ71" s="559">
        <v>0</v>
      </c>
      <c r="AK71" s="559">
        <v>0</v>
      </c>
      <c r="AL71" s="559">
        <v>0</v>
      </c>
      <c r="AM71" s="569"/>
      <c r="AN71" s="573">
        <v>0</v>
      </c>
      <c r="AO71" s="573">
        <v>0</v>
      </c>
      <c r="AP71" s="573">
        <v>0</v>
      </c>
      <c r="AQ71" s="573">
        <v>0</v>
      </c>
      <c r="AR71" s="600">
        <f t="shared" si="142"/>
        <v>-295383</v>
      </c>
      <c r="AS71" s="559">
        <v>0</v>
      </c>
      <c r="AT71" s="600">
        <f t="shared" si="129"/>
        <v>-295383</v>
      </c>
      <c r="AU71" s="559">
        <v>0</v>
      </c>
      <c r="AV71" s="559">
        <v>0</v>
      </c>
      <c r="AW71" s="559">
        <v>0</v>
      </c>
      <c r="AX71" s="559">
        <v>0</v>
      </c>
      <c r="AY71" s="1048">
        <f t="shared" si="130"/>
        <v>-295383</v>
      </c>
    </row>
    <row r="72" spans="1:51" s="548" customFormat="1" ht="12.75">
      <c r="A72" s="778">
        <f t="shared" ca="1" si="141"/>
        <v>43</v>
      </c>
      <c r="C72" s="548" t="s">
        <v>219</v>
      </c>
      <c r="E72" s="555">
        <f>'ROO INPUT'!F71</f>
        <v>-80093</v>
      </c>
      <c r="F72" s="559">
        <v>0</v>
      </c>
      <c r="G72" s="559">
        <v>0</v>
      </c>
      <c r="H72" s="559">
        <v>0</v>
      </c>
      <c r="I72" s="559">
        <v>0</v>
      </c>
      <c r="J72" s="559">
        <v>0</v>
      </c>
      <c r="K72" s="559">
        <v>0</v>
      </c>
      <c r="L72" s="559">
        <v>0</v>
      </c>
      <c r="M72" s="559">
        <v>0</v>
      </c>
      <c r="N72" s="559">
        <v>0</v>
      </c>
      <c r="O72" s="559">
        <v>0</v>
      </c>
      <c r="P72" s="559">
        <v>0</v>
      </c>
      <c r="Q72" s="559">
        <v>0</v>
      </c>
      <c r="R72" s="559">
        <v>0</v>
      </c>
      <c r="S72" s="560">
        <v>0</v>
      </c>
      <c r="T72" s="560">
        <v>0</v>
      </c>
      <c r="U72" s="559">
        <v>0</v>
      </c>
      <c r="V72" s="559">
        <v>0</v>
      </c>
      <c r="W72" s="571">
        <v>0</v>
      </c>
      <c r="X72" s="571">
        <v>0</v>
      </c>
      <c r="Y72" s="559">
        <v>0</v>
      </c>
      <c r="Z72" s="559">
        <v>0</v>
      </c>
      <c r="AA72" s="559">
        <v>0</v>
      </c>
      <c r="AB72" s="559">
        <v>0</v>
      </c>
      <c r="AC72" s="381">
        <f>SUM(E72:AB72)</f>
        <v>-80093</v>
      </c>
      <c r="AD72" s="560">
        <v>0</v>
      </c>
      <c r="AE72" s="559">
        <v>0</v>
      </c>
      <c r="AF72" s="559">
        <v>0</v>
      </c>
      <c r="AG72" s="559">
        <v>0</v>
      </c>
      <c r="AH72" s="559">
        <v>0</v>
      </c>
      <c r="AI72" s="559">
        <v>0</v>
      </c>
      <c r="AJ72" s="559">
        <v>0</v>
      </c>
      <c r="AK72" s="559">
        <v>0</v>
      </c>
      <c r="AL72" s="559">
        <v>0</v>
      </c>
      <c r="AM72" s="569">
        <v>0</v>
      </c>
      <c r="AN72" s="571">
        <v>0</v>
      </c>
      <c r="AO72" s="571">
        <v>0</v>
      </c>
      <c r="AP72" s="571">
        <v>0</v>
      </c>
      <c r="AQ72" s="571">
        <v>0</v>
      </c>
      <c r="AR72" s="602">
        <f t="shared" si="142"/>
        <v>-80093</v>
      </c>
      <c r="AS72" s="559">
        <v>0</v>
      </c>
      <c r="AT72" s="602">
        <f t="shared" si="129"/>
        <v>-80093</v>
      </c>
      <c r="AU72" s="559">
        <v>0</v>
      </c>
      <c r="AV72" s="559">
        <v>0</v>
      </c>
      <c r="AW72" s="559">
        <v>0</v>
      </c>
      <c r="AX72" s="559">
        <v>0</v>
      </c>
      <c r="AY72" s="1050">
        <f t="shared" si="130"/>
        <v>-80093</v>
      </c>
    </row>
    <row r="73" spans="1:51" s="548" customFormat="1" ht="12.75">
      <c r="A73" s="778">
        <f t="shared" ca="1" si="141"/>
        <v>44</v>
      </c>
      <c r="B73" s="548" t="s">
        <v>303</v>
      </c>
      <c r="E73" s="580">
        <f t="shared" ref="E73:AF73" si="143">SUM(E68:E72)</f>
        <v>-893639</v>
      </c>
      <c r="F73" s="580">
        <f t="shared" si="143"/>
        <v>0</v>
      </c>
      <c r="G73" s="580">
        <f t="shared" si="143"/>
        <v>0</v>
      </c>
      <c r="H73" s="580">
        <f t="shared" si="143"/>
        <v>0</v>
      </c>
      <c r="I73" s="580">
        <f t="shared" si="143"/>
        <v>0</v>
      </c>
      <c r="J73" s="580">
        <f t="shared" ref="J73" si="144">SUM(J68:J72)</f>
        <v>0</v>
      </c>
      <c r="K73" s="580">
        <f t="shared" si="143"/>
        <v>0</v>
      </c>
      <c r="L73" s="580">
        <f t="shared" si="143"/>
        <v>0</v>
      </c>
      <c r="M73" s="580">
        <f t="shared" si="143"/>
        <v>0</v>
      </c>
      <c r="N73" s="580">
        <f t="shared" si="143"/>
        <v>0</v>
      </c>
      <c r="O73" s="580">
        <f t="shared" si="143"/>
        <v>0</v>
      </c>
      <c r="P73" s="580">
        <f t="shared" si="143"/>
        <v>0</v>
      </c>
      <c r="Q73" s="580">
        <f t="shared" si="143"/>
        <v>0</v>
      </c>
      <c r="R73" s="580">
        <f t="shared" si="143"/>
        <v>0</v>
      </c>
      <c r="S73" s="580">
        <f t="shared" ref="S73" si="145">SUM(S68:S72)</f>
        <v>0</v>
      </c>
      <c r="T73" s="580">
        <f>SUM(T68:T72)</f>
        <v>0</v>
      </c>
      <c r="U73" s="580">
        <f>SUM(U68:U72)</f>
        <v>0</v>
      </c>
      <c r="V73" s="580">
        <f>SUM(V68:V72)</f>
        <v>0</v>
      </c>
      <c r="W73" s="577">
        <f t="shared" ref="W73" si="146">SUM(W68:W72)</f>
        <v>0</v>
      </c>
      <c r="X73" s="577">
        <f t="shared" ref="X73" si="147">SUM(X68:X72)</f>
        <v>0</v>
      </c>
      <c r="Y73" s="580">
        <f>SUM(Y68:Y72)</f>
        <v>0</v>
      </c>
      <c r="Z73" s="580">
        <f t="shared" ref="Z73" si="148">SUM(Z68:Z72)</f>
        <v>0</v>
      </c>
      <c r="AA73" s="580">
        <f>SUM(AA68:AA72)</f>
        <v>0</v>
      </c>
      <c r="AB73" s="580">
        <f>SUM(AB68:AB72)</f>
        <v>0</v>
      </c>
      <c r="AC73" s="383">
        <f t="shared" si="143"/>
        <v>-893639</v>
      </c>
      <c r="AD73" s="580">
        <f>SUM(AD68:AD72)</f>
        <v>0</v>
      </c>
      <c r="AE73" s="580">
        <f>SUM(AE68:AE72)</f>
        <v>0</v>
      </c>
      <c r="AF73" s="580">
        <f t="shared" si="143"/>
        <v>0</v>
      </c>
      <c r="AG73" s="580">
        <f t="shared" ref="AG73" si="149">SUM(AG68:AG72)</f>
        <v>0</v>
      </c>
      <c r="AH73" s="580">
        <f>SUM(AH68:AH72)</f>
        <v>0</v>
      </c>
      <c r="AI73" s="580">
        <f>SUM(AI68:AI72)</f>
        <v>0</v>
      </c>
      <c r="AJ73" s="580">
        <f t="shared" ref="AJ73" si="150">SUM(AJ68:AJ72)</f>
        <v>0</v>
      </c>
      <c r="AK73" s="580">
        <f t="shared" ref="AK73:AO73" si="151">SUM(AK68:AK72)</f>
        <v>0</v>
      </c>
      <c r="AL73" s="580">
        <f t="shared" si="151"/>
        <v>0</v>
      </c>
      <c r="AM73" s="580">
        <f t="shared" si="151"/>
        <v>-95.207493278084613</v>
      </c>
      <c r="AN73" s="577">
        <f t="shared" si="151"/>
        <v>0</v>
      </c>
      <c r="AO73" s="577">
        <f t="shared" si="151"/>
        <v>0</v>
      </c>
      <c r="AP73" s="577">
        <f>SUM(AP68:AP72)</f>
        <v>0</v>
      </c>
      <c r="AQ73" s="577">
        <f t="shared" ref="AQ73" si="152">SUM(AQ68:AQ72)</f>
        <v>0</v>
      </c>
      <c r="AR73" s="600">
        <f t="shared" si="142"/>
        <v>-893734.20749327808</v>
      </c>
      <c r="AS73" s="580">
        <f>SUM(AS68:AS72)</f>
        <v>0</v>
      </c>
      <c r="AT73" s="600">
        <f t="shared" si="129"/>
        <v>-893734.20749327808</v>
      </c>
      <c r="AU73" s="580">
        <f t="shared" ref="AU73:AX73" si="153">SUM(AU68:AU72)</f>
        <v>0</v>
      </c>
      <c r="AV73" s="580">
        <f t="shared" si="153"/>
        <v>0</v>
      </c>
      <c r="AW73" s="580">
        <f t="shared" si="153"/>
        <v>0</v>
      </c>
      <c r="AX73" s="580">
        <f t="shared" si="153"/>
        <v>0</v>
      </c>
      <c r="AY73" s="1048">
        <f t="shared" si="130"/>
        <v>-893734.20749327808</v>
      </c>
    </row>
    <row r="74" spans="1:51" s="548" customFormat="1" ht="12.75">
      <c r="A74" s="778">
        <f t="shared" ca="1" si="141"/>
        <v>45</v>
      </c>
      <c r="B74" s="548" t="s">
        <v>304</v>
      </c>
      <c r="E74" s="580">
        <f>E66+E73</f>
        <v>1729585</v>
      </c>
      <c r="F74" s="580">
        <f t="shared" ref="F74:AB74" si="154">F66+F73</f>
        <v>0</v>
      </c>
      <c r="G74" s="580">
        <f t="shared" si="154"/>
        <v>0</v>
      </c>
      <c r="H74" s="580">
        <f t="shared" si="154"/>
        <v>0</v>
      </c>
      <c r="I74" s="580">
        <f t="shared" si="154"/>
        <v>0</v>
      </c>
      <c r="J74" s="580">
        <f t="shared" si="154"/>
        <v>0</v>
      </c>
      <c r="K74" s="580">
        <f t="shared" si="154"/>
        <v>0</v>
      </c>
      <c r="L74" s="580">
        <f t="shared" si="154"/>
        <v>0</v>
      </c>
      <c r="M74" s="580">
        <f t="shared" si="154"/>
        <v>0</v>
      </c>
      <c r="N74" s="580">
        <f t="shared" si="154"/>
        <v>0</v>
      </c>
      <c r="O74" s="580">
        <f t="shared" si="154"/>
        <v>0</v>
      </c>
      <c r="P74" s="580">
        <f t="shared" si="154"/>
        <v>0</v>
      </c>
      <c r="Q74" s="580">
        <f t="shared" si="154"/>
        <v>0</v>
      </c>
      <c r="R74" s="580">
        <f t="shared" si="154"/>
        <v>0</v>
      </c>
      <c r="S74" s="580">
        <f t="shared" ref="S74" si="155">S66+S73</f>
        <v>0</v>
      </c>
      <c r="T74" s="580">
        <f>T66+T73</f>
        <v>0</v>
      </c>
      <c r="U74" s="580">
        <f t="shared" si="154"/>
        <v>0</v>
      </c>
      <c r="V74" s="580">
        <f t="shared" si="154"/>
        <v>0</v>
      </c>
      <c r="W74" s="569">
        <f t="shared" ref="W74:X74" si="156">W66+W73</f>
        <v>0</v>
      </c>
      <c r="X74" s="569">
        <f t="shared" si="156"/>
        <v>0</v>
      </c>
      <c r="Y74" s="580">
        <f>Y66+Y73</f>
        <v>0</v>
      </c>
      <c r="Z74" s="580">
        <f>Z66+Z73</f>
        <v>0</v>
      </c>
      <c r="AA74" s="580">
        <f t="shared" si="154"/>
        <v>0</v>
      </c>
      <c r="AB74" s="580">
        <f t="shared" si="154"/>
        <v>0</v>
      </c>
      <c r="AC74" s="384">
        <f>AC66+AC73</f>
        <v>1729585</v>
      </c>
      <c r="AD74" s="580">
        <f>AD66+AD73</f>
        <v>0</v>
      </c>
      <c r="AE74" s="580">
        <f>AE66+AE73</f>
        <v>0</v>
      </c>
      <c r="AF74" s="580">
        <f t="shared" ref="AF74:AG74" si="157">AF66+AF73</f>
        <v>0</v>
      </c>
      <c r="AG74" s="580">
        <f t="shared" si="157"/>
        <v>0</v>
      </c>
      <c r="AH74" s="580">
        <f>AH66+AH73</f>
        <v>0</v>
      </c>
      <c r="AI74" s="580">
        <f>AI66+AI73</f>
        <v>0</v>
      </c>
      <c r="AJ74" s="580">
        <f t="shared" ref="AJ74" si="158">AJ66+AJ73</f>
        <v>0</v>
      </c>
      <c r="AK74" s="580">
        <f>AK66-AK73</f>
        <v>0</v>
      </c>
      <c r="AL74" s="580">
        <f>AL66+AL73</f>
        <v>0</v>
      </c>
      <c r="AM74" s="580">
        <f>AM66+AM73</f>
        <v>6793.7925067219157</v>
      </c>
      <c r="AN74" s="569">
        <f>AN66-AN73</f>
        <v>0</v>
      </c>
      <c r="AO74" s="569">
        <f t="shared" ref="AO74:AX74" si="159">AO66+AO73</f>
        <v>0</v>
      </c>
      <c r="AP74" s="569">
        <f t="shared" si="159"/>
        <v>0</v>
      </c>
      <c r="AQ74" s="569">
        <f>AQ66+AQ73</f>
        <v>0</v>
      </c>
      <c r="AR74" s="603">
        <f t="shared" si="159"/>
        <v>1736378.7925067218</v>
      </c>
      <c r="AS74" s="580">
        <f>AS66+AS73</f>
        <v>0</v>
      </c>
      <c r="AT74" s="603">
        <f t="shared" si="159"/>
        <v>1736378.7925067218</v>
      </c>
      <c r="AU74" s="580">
        <f t="shared" si="159"/>
        <v>0</v>
      </c>
      <c r="AV74" s="580">
        <f t="shared" si="159"/>
        <v>0</v>
      </c>
      <c r="AW74" s="580">
        <f t="shared" si="159"/>
        <v>0</v>
      </c>
      <c r="AX74" s="580">
        <f t="shared" si="159"/>
        <v>0</v>
      </c>
      <c r="AY74" s="1052">
        <f t="shared" ref="AY74" si="160">AY66+AY73</f>
        <v>1736378.7925067218</v>
      </c>
    </row>
    <row r="75" spans="1:51" s="548" customFormat="1" ht="12.75" customHeight="1">
      <c r="A75" s="778"/>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401"/>
      <c r="AD75" s="569"/>
      <c r="AE75" s="569"/>
      <c r="AF75" s="569"/>
      <c r="AG75" s="569"/>
      <c r="AH75" s="569"/>
      <c r="AI75" s="569"/>
      <c r="AJ75" s="569"/>
      <c r="AK75" s="569"/>
      <c r="AL75" s="569"/>
      <c r="AM75" s="569"/>
      <c r="AN75" s="569"/>
      <c r="AO75" s="569"/>
      <c r="AP75" s="569"/>
      <c r="AQ75" s="569"/>
      <c r="AR75" s="600"/>
      <c r="AS75" s="569"/>
      <c r="AT75" s="600"/>
      <c r="AU75" s="569"/>
      <c r="AV75" s="569"/>
      <c r="AW75" s="569"/>
      <c r="AX75" s="569"/>
      <c r="AY75" s="1048"/>
    </row>
    <row r="76" spans="1:51" s="548" customFormat="1" ht="12.75">
      <c r="A76" s="778">
        <f t="shared" ca="1" si="141"/>
        <v>46</v>
      </c>
      <c r="B76" s="548" t="s">
        <v>222</v>
      </c>
      <c r="E76" s="569">
        <f>'ROO INPUT'!F75-1</f>
        <v>-354707</v>
      </c>
      <c r="F76" s="573">
        <v>806</v>
      </c>
      <c r="G76" s="573">
        <v>0</v>
      </c>
      <c r="H76" s="573">
        <v>0</v>
      </c>
      <c r="I76" s="573">
        <v>0</v>
      </c>
      <c r="J76" s="573">
        <v>0</v>
      </c>
      <c r="K76" s="573">
        <v>0</v>
      </c>
      <c r="L76" s="573">
        <v>0</v>
      </c>
      <c r="M76" s="573">
        <v>0</v>
      </c>
      <c r="N76" s="573">
        <v>0</v>
      </c>
      <c r="O76" s="573">
        <v>0</v>
      </c>
      <c r="P76" s="573">
        <v>0</v>
      </c>
      <c r="Q76" s="573">
        <v>0</v>
      </c>
      <c r="R76" s="573">
        <v>0</v>
      </c>
      <c r="S76" s="569">
        <v>0</v>
      </c>
      <c r="T76" s="569">
        <v>0</v>
      </c>
      <c r="U76" s="573">
        <v>0</v>
      </c>
      <c r="V76" s="573">
        <v>0</v>
      </c>
      <c r="W76" s="569">
        <v>0</v>
      </c>
      <c r="X76" s="569">
        <v>0</v>
      </c>
      <c r="Y76" s="569">
        <v>0</v>
      </c>
      <c r="Z76" s="569">
        <v>0</v>
      </c>
      <c r="AA76" s="569">
        <v>0</v>
      </c>
      <c r="AB76" s="573">
        <v>0</v>
      </c>
      <c r="AC76" s="401">
        <f>SUM(E76:AB76)</f>
        <v>-353901</v>
      </c>
      <c r="AD76" s="569">
        <v>0</v>
      </c>
      <c r="AE76" s="573">
        <v>0</v>
      </c>
      <c r="AF76" s="573">
        <v>0</v>
      </c>
      <c r="AG76" s="573">
        <v>0</v>
      </c>
      <c r="AH76" s="573">
        <v>0</v>
      </c>
      <c r="AI76" s="573">
        <v>0</v>
      </c>
      <c r="AJ76" s="573">
        <v>0</v>
      </c>
      <c r="AK76" s="569">
        <v>0</v>
      </c>
      <c r="AL76" s="573">
        <v>0</v>
      </c>
      <c r="AM76" s="569">
        <v>-1229</v>
      </c>
      <c r="AN76" s="569">
        <v>0</v>
      </c>
      <c r="AO76" s="569">
        <v>0</v>
      </c>
      <c r="AP76" s="569">
        <v>0</v>
      </c>
      <c r="AQ76" s="569">
        <v>0</v>
      </c>
      <c r="AR76" s="600">
        <f>SUM(AC76:AQ76)</f>
        <v>-355130</v>
      </c>
      <c r="AS76" s="569">
        <v>0</v>
      </c>
      <c r="AT76" s="600">
        <f t="shared" ref="AT76" si="161">AR76+AS76</f>
        <v>-355130</v>
      </c>
      <c r="AU76" s="569">
        <v>0</v>
      </c>
      <c r="AV76" s="569">
        <f>-'Tab 6a Adjustment TCJA-2'!$P$31</f>
        <v>142051.36066102606</v>
      </c>
      <c r="AW76" s="569">
        <v>0</v>
      </c>
      <c r="AX76" s="569">
        <v>0</v>
      </c>
      <c r="AY76" s="1048">
        <f t="shared" ref="AY76:AY77" si="162">+SUM(AT76:AX76)</f>
        <v>-213078.63933897394</v>
      </c>
    </row>
    <row r="77" spans="1:51" s="548" customFormat="1" ht="12.75">
      <c r="A77" s="778">
        <f t="shared" ca="1" si="141"/>
        <v>47</v>
      </c>
      <c r="B77" s="971" t="s">
        <v>1026</v>
      </c>
      <c r="C77" s="971"/>
      <c r="D77" s="971"/>
      <c r="E77" s="1032"/>
      <c r="F77" s="1032"/>
      <c r="G77" s="1032"/>
      <c r="H77" s="1032"/>
      <c r="I77" s="1032"/>
      <c r="J77" s="1032"/>
      <c r="K77" s="1032"/>
      <c r="L77" s="1032"/>
      <c r="M77" s="1032"/>
      <c r="N77" s="1032"/>
      <c r="O77" s="1032"/>
      <c r="P77" s="1032"/>
      <c r="Q77" s="1032"/>
      <c r="R77" s="1032"/>
      <c r="S77" s="1032"/>
      <c r="T77" s="1032"/>
      <c r="U77" s="1032"/>
      <c r="V77" s="1032"/>
      <c r="W77" s="1032"/>
      <c r="X77" s="1032"/>
      <c r="Y77" s="1032"/>
      <c r="Z77" s="1032"/>
      <c r="AA77" s="1032"/>
      <c r="AB77" s="1032"/>
      <c r="AC77" s="1149"/>
      <c r="AD77" s="1032"/>
      <c r="AE77" s="1032"/>
      <c r="AF77" s="1032"/>
      <c r="AG77" s="1032"/>
      <c r="AH77" s="1032"/>
      <c r="AI77" s="1032"/>
      <c r="AJ77" s="1032"/>
      <c r="AK77" s="1032"/>
      <c r="AL77" s="1032"/>
      <c r="AM77" s="1032"/>
      <c r="AN77" s="1032"/>
      <c r="AO77" s="1032"/>
      <c r="AP77" s="1032"/>
      <c r="AQ77" s="1032"/>
      <c r="AR77" s="602"/>
      <c r="AS77" s="1032"/>
      <c r="AT77" s="602"/>
      <c r="AU77" s="1032"/>
      <c r="AV77" s="1032">
        <f>-AV76-AV55/2</f>
        <v>-139606.03958476416</v>
      </c>
      <c r="AW77" s="1032"/>
      <c r="AX77" s="1032"/>
      <c r="AY77" s="1050">
        <f t="shared" si="162"/>
        <v>-139606.03958476416</v>
      </c>
    </row>
    <row r="78" spans="1:51" s="548" customFormat="1" ht="12.75">
      <c r="A78" s="778">
        <f t="shared" ca="1" si="141"/>
        <v>48</v>
      </c>
      <c r="C78" s="548" t="s">
        <v>594</v>
      </c>
      <c r="E78" s="569">
        <f t="shared" ref="E78:AV78" si="163">SUM(E74:E77)</f>
        <v>1374878</v>
      </c>
      <c r="F78" s="569">
        <f t="shared" si="163"/>
        <v>806</v>
      </c>
      <c r="G78" s="569">
        <f t="shared" si="163"/>
        <v>0</v>
      </c>
      <c r="H78" s="569">
        <f t="shared" si="163"/>
        <v>0</v>
      </c>
      <c r="I78" s="569">
        <f t="shared" si="163"/>
        <v>0</v>
      </c>
      <c r="J78" s="569">
        <f t="shared" si="163"/>
        <v>0</v>
      </c>
      <c r="K78" s="569">
        <f t="shared" si="163"/>
        <v>0</v>
      </c>
      <c r="L78" s="569">
        <f t="shared" si="163"/>
        <v>0</v>
      </c>
      <c r="M78" s="569">
        <f t="shared" si="163"/>
        <v>0</v>
      </c>
      <c r="N78" s="569">
        <f t="shared" si="163"/>
        <v>0</v>
      </c>
      <c r="O78" s="569">
        <f t="shared" si="163"/>
        <v>0</v>
      </c>
      <c r="P78" s="569">
        <f t="shared" si="163"/>
        <v>0</v>
      </c>
      <c r="Q78" s="569">
        <f t="shared" si="163"/>
        <v>0</v>
      </c>
      <c r="R78" s="569">
        <f t="shared" si="163"/>
        <v>0</v>
      </c>
      <c r="S78" s="569">
        <f t="shared" si="163"/>
        <v>0</v>
      </c>
      <c r="T78" s="569">
        <f t="shared" si="163"/>
        <v>0</v>
      </c>
      <c r="U78" s="569">
        <f t="shared" si="163"/>
        <v>0</v>
      </c>
      <c r="V78" s="569">
        <f t="shared" si="163"/>
        <v>0</v>
      </c>
      <c r="W78" s="569">
        <f t="shared" si="163"/>
        <v>0</v>
      </c>
      <c r="X78" s="569">
        <f t="shared" si="163"/>
        <v>0</v>
      </c>
      <c r="Y78" s="569">
        <f t="shared" si="163"/>
        <v>0</v>
      </c>
      <c r="Z78" s="569">
        <f t="shared" si="163"/>
        <v>0</v>
      </c>
      <c r="AA78" s="569">
        <f t="shared" si="163"/>
        <v>0</v>
      </c>
      <c r="AB78" s="569">
        <f t="shared" si="163"/>
        <v>0</v>
      </c>
      <c r="AC78" s="401">
        <f t="shared" si="163"/>
        <v>1375684</v>
      </c>
      <c r="AD78" s="569">
        <f t="shared" si="163"/>
        <v>0</v>
      </c>
      <c r="AE78" s="569">
        <f t="shared" si="163"/>
        <v>0</v>
      </c>
      <c r="AF78" s="569">
        <f t="shared" si="163"/>
        <v>0</v>
      </c>
      <c r="AG78" s="569">
        <f t="shared" si="163"/>
        <v>0</v>
      </c>
      <c r="AH78" s="569">
        <f t="shared" si="163"/>
        <v>0</v>
      </c>
      <c r="AI78" s="569">
        <f t="shared" si="163"/>
        <v>0</v>
      </c>
      <c r="AJ78" s="569">
        <f t="shared" si="163"/>
        <v>0</v>
      </c>
      <c r="AK78" s="569">
        <f t="shared" si="163"/>
        <v>0</v>
      </c>
      <c r="AL78" s="569">
        <f t="shared" si="163"/>
        <v>0</v>
      </c>
      <c r="AM78" s="569">
        <f t="shared" si="163"/>
        <v>5564.7925067219157</v>
      </c>
      <c r="AN78" s="569">
        <f t="shared" si="163"/>
        <v>0</v>
      </c>
      <c r="AO78" s="569">
        <f t="shared" si="163"/>
        <v>0</v>
      </c>
      <c r="AP78" s="569">
        <f t="shared" si="163"/>
        <v>0</v>
      </c>
      <c r="AQ78" s="569">
        <f t="shared" si="163"/>
        <v>0</v>
      </c>
      <c r="AR78" s="600">
        <f t="shared" si="163"/>
        <v>1381248.7925067218</v>
      </c>
      <c r="AS78" s="569">
        <f t="shared" si="163"/>
        <v>0</v>
      </c>
      <c r="AT78" s="600">
        <f t="shared" si="163"/>
        <v>1381248.7925067218</v>
      </c>
      <c r="AU78" s="569">
        <f t="shared" si="163"/>
        <v>0</v>
      </c>
      <c r="AV78" s="569">
        <f t="shared" si="163"/>
        <v>2445.3210762618983</v>
      </c>
      <c r="AW78" s="569">
        <f>SUM(AW74:AW77)</f>
        <v>0</v>
      </c>
      <c r="AX78" s="569">
        <f t="shared" ref="AX78:AY78" si="164">SUM(AX74:AX77)</f>
        <v>0</v>
      </c>
      <c r="AY78" s="1048">
        <f t="shared" si="164"/>
        <v>1383694.1135829836</v>
      </c>
    </row>
    <row r="79" spans="1:51" s="548" customFormat="1" ht="12.75">
      <c r="A79" s="778">
        <f t="shared" ca="1" si="141"/>
        <v>49</v>
      </c>
      <c r="B79" s="548" t="s">
        <v>689</v>
      </c>
      <c r="E79" s="569">
        <f>'ROO INPUT'!F77+2</f>
        <v>4568</v>
      </c>
      <c r="F79" s="559">
        <v>0</v>
      </c>
      <c r="G79" s="559">
        <v>0</v>
      </c>
      <c r="H79" s="559">
        <v>0</v>
      </c>
      <c r="I79" s="559">
        <v>0</v>
      </c>
      <c r="J79" s="559">
        <v>0</v>
      </c>
      <c r="K79" s="559">
        <v>0</v>
      </c>
      <c r="L79" s="559">
        <v>0</v>
      </c>
      <c r="M79" s="559">
        <v>0</v>
      </c>
      <c r="N79" s="559">
        <v>0</v>
      </c>
      <c r="O79" s="559">
        <v>0</v>
      </c>
      <c r="P79" s="559">
        <v>0</v>
      </c>
      <c r="Q79" s="559">
        <v>0</v>
      </c>
      <c r="R79" s="559">
        <v>0</v>
      </c>
      <c r="S79" s="560">
        <v>0</v>
      </c>
      <c r="T79" s="560">
        <v>0</v>
      </c>
      <c r="U79" s="559">
        <v>0</v>
      </c>
      <c r="V79" s="559">
        <v>0</v>
      </c>
      <c r="W79" s="569">
        <v>0</v>
      </c>
      <c r="X79" s="569">
        <v>0</v>
      </c>
      <c r="Y79" s="560">
        <v>0</v>
      </c>
      <c r="Z79" s="560">
        <v>0</v>
      </c>
      <c r="AA79" s="560">
        <v>0</v>
      </c>
      <c r="AB79" s="559">
        <v>0</v>
      </c>
      <c r="AC79" s="381">
        <f>SUM(E79:AB79)</f>
        <v>4568</v>
      </c>
      <c r="AD79" s="560">
        <v>0</v>
      </c>
      <c r="AE79" s="559">
        <v>0</v>
      </c>
      <c r="AF79" s="559">
        <v>0</v>
      </c>
      <c r="AG79" s="559">
        <v>0</v>
      </c>
      <c r="AH79" s="559">
        <v>0</v>
      </c>
      <c r="AI79" s="559">
        <v>0</v>
      </c>
      <c r="AJ79" s="559">
        <v>0</v>
      </c>
      <c r="AK79" s="560">
        <v>0</v>
      </c>
      <c r="AL79" s="559">
        <v>-5346</v>
      </c>
      <c r="AM79" s="569">
        <v>0</v>
      </c>
      <c r="AN79" s="569">
        <v>0</v>
      </c>
      <c r="AO79" s="569">
        <v>0</v>
      </c>
      <c r="AP79" s="569">
        <v>0</v>
      </c>
      <c r="AQ79" s="569">
        <v>0</v>
      </c>
      <c r="AR79" s="600">
        <f>SUM(AC79:AQ79)</f>
        <v>-778</v>
      </c>
      <c r="AS79" s="560">
        <v>0</v>
      </c>
      <c r="AT79" s="600">
        <f>AR79+AS79</f>
        <v>-778</v>
      </c>
      <c r="AU79" s="560">
        <v>0</v>
      </c>
      <c r="AV79" s="560">
        <v>0</v>
      </c>
      <c r="AW79" s="560">
        <v>0</v>
      </c>
      <c r="AX79" s="560">
        <v>0</v>
      </c>
      <c r="AY79" s="1048">
        <f t="shared" ref="AY79:AY80" si="165">+SUM(AT79:AX79)</f>
        <v>-778</v>
      </c>
    </row>
    <row r="80" spans="1:51" s="548" customFormat="1" ht="12.75">
      <c r="A80" s="778">
        <f t="shared" ca="1" si="141"/>
        <v>50</v>
      </c>
      <c r="B80" s="548" t="s">
        <v>285</v>
      </c>
      <c r="E80" s="570">
        <f>'ROO INPUT'!F78</f>
        <v>65480</v>
      </c>
      <c r="F80" s="571">
        <v>0</v>
      </c>
      <c r="G80" s="571">
        <v>0</v>
      </c>
      <c r="H80" s="571">
        <v>-3006</v>
      </c>
      <c r="I80" s="571">
        <v>0</v>
      </c>
      <c r="J80" s="571">
        <v>0</v>
      </c>
      <c r="K80" s="571">
        <v>0</v>
      </c>
      <c r="L80" s="571">
        <v>0</v>
      </c>
      <c r="M80" s="571">
        <v>0</v>
      </c>
      <c r="N80" s="571">
        <v>0</v>
      </c>
      <c r="O80" s="571">
        <v>0</v>
      </c>
      <c r="P80" s="571">
        <v>0</v>
      </c>
      <c r="Q80" s="571">
        <v>0</v>
      </c>
      <c r="R80" s="571">
        <v>0</v>
      </c>
      <c r="S80" s="570">
        <v>0</v>
      </c>
      <c r="T80" s="570">
        <v>0</v>
      </c>
      <c r="U80" s="571">
        <v>0</v>
      </c>
      <c r="V80" s="571">
        <v>0</v>
      </c>
      <c r="W80" s="570">
        <v>0</v>
      </c>
      <c r="X80" s="570">
        <v>0</v>
      </c>
      <c r="Y80" s="570">
        <v>0</v>
      </c>
      <c r="Z80" s="570">
        <v>0</v>
      </c>
      <c r="AA80" s="570">
        <v>0</v>
      </c>
      <c r="AB80" s="571">
        <v>0</v>
      </c>
      <c r="AC80" s="382">
        <f>SUM(E80:AB80)</f>
        <v>62474</v>
      </c>
      <c r="AD80" s="570">
        <v>0</v>
      </c>
      <c r="AE80" s="571">
        <v>0</v>
      </c>
      <c r="AF80" s="571">
        <v>0</v>
      </c>
      <c r="AG80" s="571">
        <v>0</v>
      </c>
      <c r="AH80" s="571">
        <v>0</v>
      </c>
      <c r="AI80" s="571">
        <v>0</v>
      </c>
      <c r="AJ80" s="571">
        <v>0</v>
      </c>
      <c r="AK80" s="570">
        <v>0</v>
      </c>
      <c r="AL80" s="571">
        <v>0</v>
      </c>
      <c r="AM80" s="570">
        <v>0</v>
      </c>
      <c r="AN80" s="570">
        <v>0</v>
      </c>
      <c r="AO80" s="570">
        <v>0</v>
      </c>
      <c r="AP80" s="570">
        <v>0</v>
      </c>
      <c r="AQ80" s="570">
        <v>0</v>
      </c>
      <c r="AR80" s="602">
        <f>SUM(AC80:AQ80)</f>
        <v>62474</v>
      </c>
      <c r="AS80" s="570">
        <v>0</v>
      </c>
      <c r="AT80" s="602">
        <f t="shared" ref="AT80" si="166">AR80+AS80</f>
        <v>62474</v>
      </c>
      <c r="AU80" s="570">
        <v>0</v>
      </c>
      <c r="AV80" s="570">
        <v>0</v>
      </c>
      <c r="AW80" s="570">
        <v>0</v>
      </c>
      <c r="AX80" s="570">
        <v>0</v>
      </c>
      <c r="AY80" s="1048">
        <f t="shared" si="165"/>
        <v>62474</v>
      </c>
    </row>
    <row r="81" spans="1:51" s="548" customFormat="1">
      <c r="A81" s="550"/>
      <c r="E81" s="569"/>
      <c r="F81" s="559"/>
      <c r="G81" s="559"/>
      <c r="H81" s="559"/>
      <c r="I81" s="559"/>
      <c r="J81" s="559"/>
      <c r="K81" s="559"/>
      <c r="L81" s="559"/>
      <c r="M81" s="559"/>
      <c r="N81" s="559"/>
      <c r="O81" s="559"/>
      <c r="P81" s="559"/>
      <c r="Q81" s="559"/>
      <c r="R81" s="559"/>
      <c r="S81" s="560"/>
      <c r="T81" s="560"/>
      <c r="U81" s="559"/>
      <c r="V81" s="559"/>
      <c r="W81" s="569"/>
      <c r="X81" s="569"/>
      <c r="Y81" s="560"/>
      <c r="Z81" s="560"/>
      <c r="AA81" s="560"/>
      <c r="AB81" s="559"/>
      <c r="AC81" s="558"/>
      <c r="AD81" s="560"/>
      <c r="AE81" s="559"/>
      <c r="AF81" s="559"/>
      <c r="AG81" s="559"/>
      <c r="AH81" s="559"/>
      <c r="AI81" s="559"/>
      <c r="AJ81" s="559"/>
      <c r="AK81" s="560"/>
      <c r="AL81" s="559"/>
      <c r="AM81" s="569"/>
      <c r="AN81" s="569"/>
      <c r="AO81" s="569"/>
      <c r="AP81" s="569"/>
      <c r="AQ81" s="569"/>
      <c r="AR81" s="600"/>
      <c r="AS81" s="560"/>
      <c r="AT81" s="600"/>
      <c r="AU81" s="560"/>
      <c r="AV81" s="560"/>
      <c r="AW81" s="560"/>
      <c r="AX81" s="560"/>
      <c r="AY81" s="1048"/>
    </row>
    <row r="82" spans="1:51" s="547" customFormat="1" ht="13.5" customHeight="1" thickBot="1">
      <c r="A82" s="778">
        <f t="shared" ca="1" si="141"/>
        <v>51</v>
      </c>
      <c r="B82" s="547" t="s">
        <v>223</v>
      </c>
      <c r="E82" s="611">
        <f t="shared" ref="E82:AM82" si="167">SUM(E78:E80)</f>
        <v>1444926</v>
      </c>
      <c r="F82" s="582">
        <f t="shared" si="167"/>
        <v>806</v>
      </c>
      <c r="G82" s="582">
        <f t="shared" si="167"/>
        <v>0</v>
      </c>
      <c r="H82" s="582">
        <f t="shared" si="167"/>
        <v>-3006</v>
      </c>
      <c r="I82" s="582">
        <f t="shared" si="167"/>
        <v>0</v>
      </c>
      <c r="J82" s="582">
        <f t="shared" si="167"/>
        <v>0</v>
      </c>
      <c r="K82" s="582">
        <f t="shared" si="167"/>
        <v>0</v>
      </c>
      <c r="L82" s="582">
        <f t="shared" si="167"/>
        <v>0</v>
      </c>
      <c r="M82" s="582">
        <f t="shared" si="167"/>
        <v>0</v>
      </c>
      <c r="N82" s="582">
        <f t="shared" si="167"/>
        <v>0</v>
      </c>
      <c r="O82" s="582">
        <f t="shared" si="167"/>
        <v>0</v>
      </c>
      <c r="P82" s="582">
        <f t="shared" si="167"/>
        <v>0</v>
      </c>
      <c r="Q82" s="582">
        <f t="shared" si="167"/>
        <v>0</v>
      </c>
      <c r="R82" s="582">
        <f t="shared" si="167"/>
        <v>0</v>
      </c>
      <c r="S82" s="582">
        <f>SUM(S78:S80)</f>
        <v>0</v>
      </c>
      <c r="T82" s="582">
        <f>SUM(T78:T80)</f>
        <v>0</v>
      </c>
      <c r="U82" s="582">
        <f t="shared" si="167"/>
        <v>0</v>
      </c>
      <c r="V82" s="582">
        <f t="shared" si="167"/>
        <v>0</v>
      </c>
      <c r="W82" s="582">
        <f t="shared" si="167"/>
        <v>0</v>
      </c>
      <c r="X82" s="582">
        <f t="shared" ref="X82" si="168">SUM(X78:X80)</f>
        <v>0</v>
      </c>
      <c r="Y82" s="582">
        <f>SUM(Y78:Y80)</f>
        <v>0</v>
      </c>
      <c r="Z82" s="582">
        <f t="shared" ref="Z82" si="169">SUM(Z78:Z80)</f>
        <v>0</v>
      </c>
      <c r="AA82" s="582">
        <f t="shared" si="167"/>
        <v>0</v>
      </c>
      <c r="AB82" s="582">
        <f t="shared" si="167"/>
        <v>0</v>
      </c>
      <c r="AC82" s="397">
        <f t="shared" si="167"/>
        <v>1442726</v>
      </c>
      <c r="AD82" s="582">
        <f>SUM(AD78:AD80)</f>
        <v>0</v>
      </c>
      <c r="AE82" s="582">
        <f>SUM(AE78:AE80)</f>
        <v>0</v>
      </c>
      <c r="AF82" s="582">
        <f t="shared" si="167"/>
        <v>0</v>
      </c>
      <c r="AG82" s="582">
        <f t="shared" ref="AG82" si="170">SUM(AG78:AG80)</f>
        <v>0</v>
      </c>
      <c r="AH82" s="582">
        <f>SUM(AH78:AH80)</f>
        <v>0</v>
      </c>
      <c r="AI82" s="582">
        <f>SUM(AI78:AI80)</f>
        <v>0</v>
      </c>
      <c r="AJ82" s="582">
        <f>SUM(AJ78:AJ80)</f>
        <v>0</v>
      </c>
      <c r="AK82" s="582">
        <f t="shared" ref="AK82" si="171">SUM(AK78:AK80)</f>
        <v>0</v>
      </c>
      <c r="AL82" s="611">
        <f>SUM(AL78:AL80)</f>
        <v>-5346</v>
      </c>
      <c r="AM82" s="582">
        <f t="shared" si="167"/>
        <v>5564.7925067219157</v>
      </c>
      <c r="AN82" s="582">
        <f t="shared" ref="AN82:AT82" si="172">SUM(AN78:AN80)</f>
        <v>0</v>
      </c>
      <c r="AO82" s="582">
        <f t="shared" si="172"/>
        <v>0</v>
      </c>
      <c r="AP82" s="582">
        <f>SUM(AP78:AP80)</f>
        <v>0</v>
      </c>
      <c r="AQ82" s="582">
        <f t="shared" ref="AQ82" si="173">SUM(AQ78:AQ80)</f>
        <v>0</v>
      </c>
      <c r="AR82" s="604">
        <f t="shared" si="172"/>
        <v>1442944.7925067218</v>
      </c>
      <c r="AS82" s="582">
        <f t="shared" ref="AS82:AX82" si="174">SUM(AS78:AS80)</f>
        <v>0</v>
      </c>
      <c r="AT82" s="604">
        <f t="shared" si="172"/>
        <v>1442944.7925067218</v>
      </c>
      <c r="AU82" s="582">
        <f t="shared" si="174"/>
        <v>0</v>
      </c>
      <c r="AV82" s="582">
        <f t="shared" si="174"/>
        <v>2445.3210762618983</v>
      </c>
      <c r="AW82" s="582">
        <f t="shared" si="174"/>
        <v>0</v>
      </c>
      <c r="AX82" s="582">
        <f t="shared" si="174"/>
        <v>0</v>
      </c>
      <c r="AY82" s="1051">
        <f>SUM(AY78:AY80)</f>
        <v>1445390.1135829836</v>
      </c>
    </row>
    <row r="83" spans="1:51" ht="18" customHeight="1" thickTop="1">
      <c r="A83" s="778">
        <f t="shared" ca="1" si="141"/>
        <v>52</v>
      </c>
      <c r="B83" s="533" t="s">
        <v>690</v>
      </c>
      <c r="E83" s="552">
        <f>ROUND(E57/E82,4)</f>
        <v>7.6499999999999999E-2</v>
      </c>
      <c r="F83" s="612"/>
      <c r="G83" s="612"/>
      <c r="H83" s="612"/>
      <c r="I83" s="612"/>
      <c r="J83" s="612"/>
      <c r="K83" s="612"/>
      <c r="L83" s="612"/>
      <c r="M83" s="612"/>
      <c r="N83" s="612"/>
      <c r="O83" s="612"/>
      <c r="P83" s="612"/>
      <c r="Q83" s="612"/>
      <c r="W83" s="622"/>
      <c r="X83" s="622"/>
      <c r="AC83" s="497" t="s">
        <v>683</v>
      </c>
      <c r="AN83" s="622"/>
      <c r="AO83" s="622"/>
      <c r="AP83" s="622"/>
      <c r="AQ83" s="622"/>
      <c r="AR83" s="605"/>
      <c r="AT83" s="605"/>
      <c r="AU83" s="698"/>
      <c r="AY83" s="1053"/>
    </row>
    <row r="84" spans="1:51" ht="13.5" thickBot="1">
      <c r="A84" s="778">
        <f t="shared" ca="1" si="141"/>
        <v>53</v>
      </c>
      <c r="B84" s="533" t="s">
        <v>684</v>
      </c>
      <c r="E84" s="572">
        <f>E92</f>
        <v>-13329.134519294876</v>
      </c>
      <c r="F84" s="572">
        <f t="shared" ref="F84:AX84" si="175">F92</f>
        <v>79.921667772552397</v>
      </c>
      <c r="G84" s="572">
        <f t="shared" si="175"/>
        <v>12.592567479210157</v>
      </c>
      <c r="H84" s="572">
        <f t="shared" si="175"/>
        <v>-298.07014060085925</v>
      </c>
      <c r="I84" s="572">
        <f t="shared" si="175"/>
        <v>154.25895162032441</v>
      </c>
      <c r="J84" s="572">
        <f t="shared" ref="J84" si="176">J92</f>
        <v>-262.34515581687822</v>
      </c>
      <c r="K84" s="572">
        <f t="shared" si="175"/>
        <v>1386.2318033363847</v>
      </c>
      <c r="L84" s="572">
        <f t="shared" si="175"/>
        <v>7.3456643628725917</v>
      </c>
      <c r="M84" s="572">
        <f t="shared" si="175"/>
        <v>158.45647411339448</v>
      </c>
      <c r="N84" s="572">
        <f t="shared" si="175"/>
        <v>111.39578923916673</v>
      </c>
      <c r="O84" s="572">
        <f t="shared" si="175"/>
        <v>-32.530799321292896</v>
      </c>
      <c r="P84" s="572">
        <f t="shared" si="175"/>
        <v>-65.061598642585793</v>
      </c>
      <c r="Q84" s="572">
        <f t="shared" si="175"/>
        <v>-98.64177858714622</v>
      </c>
      <c r="R84" s="572">
        <f t="shared" si="175"/>
        <v>-1331.664010926474</v>
      </c>
      <c r="S84" s="572">
        <f t="shared" ref="S84" si="177">S92</f>
        <v>0</v>
      </c>
      <c r="T84" s="572">
        <f>T92</f>
        <v>1564.6265092918618</v>
      </c>
      <c r="U84" s="572">
        <f>U92</f>
        <v>-7080.8975594635567</v>
      </c>
      <c r="V84" s="572">
        <f>V92</f>
        <v>-4.1975224930700517</v>
      </c>
      <c r="W84" s="572">
        <f t="shared" ref="W84:X84" si="178">W92</f>
        <v>-656.91227016546304</v>
      </c>
      <c r="X84" s="572">
        <f t="shared" si="178"/>
        <v>-1231.9728517160602</v>
      </c>
      <c r="Y84" s="572">
        <f>Y92</f>
        <v>326.11520907698099</v>
      </c>
      <c r="Z84" s="572">
        <f>Z92</f>
        <v>12424.666579487353</v>
      </c>
      <c r="AA84" s="572">
        <f>AA92</f>
        <v>0</v>
      </c>
      <c r="AB84" s="572">
        <f>AB92</f>
        <v>0</v>
      </c>
      <c r="AC84" s="572">
        <f t="shared" si="175"/>
        <v>-8165.8169912481444</v>
      </c>
      <c r="AD84" s="572">
        <f>AD92</f>
        <v>105.98744295001882</v>
      </c>
      <c r="AE84" s="572">
        <f>AE92</f>
        <v>1609.9009869021156</v>
      </c>
      <c r="AF84" s="572">
        <f t="shared" si="175"/>
        <v>-34.62956056782793</v>
      </c>
      <c r="AG84" s="572">
        <f t="shared" si="175"/>
        <v>-377.77702437630467</v>
      </c>
      <c r="AH84" s="572">
        <f>AH92</f>
        <v>124.87629416883404</v>
      </c>
      <c r="AI84" s="572">
        <f>AI92</f>
        <v>2579.377571991547</v>
      </c>
      <c r="AJ84" s="572">
        <f t="shared" ref="AJ84" si="179">AJ92</f>
        <v>728.27015254765399</v>
      </c>
      <c r="AK84" s="572">
        <f t="shared" ref="AK84:AO84" si="180">AK92</f>
        <v>5304.6190506172779</v>
      </c>
      <c r="AL84" s="572">
        <f>AL92</f>
        <v>-2252.1343917547742</v>
      </c>
      <c r="AM84" s="572">
        <f t="shared" si="180"/>
        <v>687.16600355959622</v>
      </c>
      <c r="AN84" s="572">
        <f t="shared" si="180"/>
        <v>-1035.7386751650351</v>
      </c>
      <c r="AO84" s="572">
        <f t="shared" si="180"/>
        <v>0</v>
      </c>
      <c r="AP84" s="572">
        <f>AP92</f>
        <v>364.135076273827</v>
      </c>
      <c r="AQ84" s="572">
        <f t="shared" ref="AQ84" si="181">AQ92</f>
        <v>558.27049157831686</v>
      </c>
      <c r="AR84" s="738">
        <f>AR92</f>
        <v>196.50642747709048</v>
      </c>
      <c r="AS84" s="741">
        <f>AS92</f>
        <v>0</v>
      </c>
      <c r="AT84" s="738">
        <f t="shared" si="175"/>
        <v>196.50642747709048</v>
      </c>
      <c r="AU84" s="572">
        <f t="shared" si="175"/>
        <v>-26262.759778852702</v>
      </c>
      <c r="AV84" s="572">
        <f t="shared" si="175"/>
        <v>-6296.8824521234137</v>
      </c>
      <c r="AW84" s="572">
        <f t="shared" si="175"/>
        <v>0</v>
      </c>
      <c r="AX84" s="572">
        <f t="shared" si="175"/>
        <v>-34.823917248462237</v>
      </c>
      <c r="AY84" s="1054">
        <f t="shared" ref="AY84" si="182">AY92</f>
        <v>-32397.959720747494</v>
      </c>
    </row>
    <row r="85" spans="1:51" ht="26.25" customHeight="1">
      <c r="B85" s="596"/>
      <c r="E85" s="533"/>
      <c r="W85" s="559"/>
      <c r="X85" s="559"/>
      <c r="AO85" s="559"/>
      <c r="AP85" s="559"/>
      <c r="AQ85" s="559"/>
      <c r="AR85" s="739" t="s">
        <v>777</v>
      </c>
      <c r="AS85" s="740" t="s">
        <v>766</v>
      </c>
      <c r="AT85" s="1055" t="s">
        <v>767</v>
      </c>
      <c r="AU85" s="745"/>
      <c r="AY85" s="1055" t="s">
        <v>1110</v>
      </c>
    </row>
    <row r="86" spans="1:51">
      <c r="E86" s="552"/>
      <c r="W86" s="606"/>
      <c r="X86" s="606"/>
      <c r="AM86" s="606"/>
      <c r="AN86" s="606"/>
      <c r="AO86" s="606"/>
      <c r="AP86" s="606"/>
      <c r="AQ86" s="606"/>
      <c r="AR86" s="748">
        <f>AR84/'Tab 2 Rev. Req. Calc.'!$E$26</f>
        <v>3.9929455692370471E-4</v>
      </c>
      <c r="AS86" s="748">
        <f>AS84/'Tab 2 Rev. Req. Calc.'!$E$26</f>
        <v>0</v>
      </c>
      <c r="AT86" s="748">
        <f>AT84/'Tab 2 Rev. Req. Calc.'!$E$26</f>
        <v>3.9929455692370471E-4</v>
      </c>
      <c r="AU86" s="606"/>
      <c r="AY86" s="748">
        <f>AY84/'Tab 2 Rev. Req. Calc.'!$E$26</f>
        <v>-6.5831581887753121E-2</v>
      </c>
    </row>
    <row r="87" spans="1:51">
      <c r="E87" s="552">
        <f>'Tab 2 Rev. Req. Calc.'!E14</f>
        <v>7.0800000000000002E-2</v>
      </c>
      <c r="AR87" s="558"/>
      <c r="AT87" s="756"/>
      <c r="AU87" s="533" t="s">
        <v>1094</v>
      </c>
      <c r="AW87" s="533" t="s">
        <v>1076</v>
      </c>
      <c r="AX87" s="533" t="s">
        <v>1080</v>
      </c>
      <c r="AY87" s="756"/>
    </row>
    <row r="88" spans="1:51">
      <c r="E88" s="552"/>
      <c r="F88" s="533"/>
      <c r="AM88" s="627"/>
      <c r="AR88" s="558"/>
      <c r="AT88" s="558"/>
      <c r="AU88" s="1034">
        <v>1</v>
      </c>
      <c r="AW88" s="1034">
        <v>0</v>
      </c>
      <c r="AX88" s="1034">
        <v>0</v>
      </c>
      <c r="AY88" s="558"/>
    </row>
    <row r="89" spans="1:51">
      <c r="D89" s="533" t="s">
        <v>175</v>
      </c>
      <c r="E89" s="613">
        <f>+IF(AX88=1,G89,F89)</f>
        <v>0.61941299999999999</v>
      </c>
      <c r="F89" s="613">
        <f>+'Tab 3 Conversion Factor'!E24</f>
        <v>0.61941299999999999</v>
      </c>
      <c r="G89" s="613">
        <f>+'Tab 3 Conversion Factor'!G24</f>
        <v>0.75282499999999997</v>
      </c>
      <c r="AU89" s="1056" t="s">
        <v>1095</v>
      </c>
    </row>
    <row r="91" spans="1:51">
      <c r="D91" s="533" t="s">
        <v>240</v>
      </c>
      <c r="E91" s="577">
        <f t="shared" ref="E91:AG91" si="183">E82*$E$87-E57</f>
        <v>-8256.2391999999963</v>
      </c>
      <c r="F91" s="577">
        <f t="shared" si="183"/>
        <v>49.504519999999999</v>
      </c>
      <c r="G91" s="577">
        <f t="shared" si="183"/>
        <v>7.8000000000000007</v>
      </c>
      <c r="H91" s="577">
        <f t="shared" si="183"/>
        <v>-184.62852000000001</v>
      </c>
      <c r="I91" s="577">
        <f t="shared" si="183"/>
        <v>95.550000000000011</v>
      </c>
      <c r="J91" s="577">
        <f t="shared" si="183"/>
        <v>-162.5</v>
      </c>
      <c r="K91" s="577">
        <f t="shared" si="183"/>
        <v>858.65000000000009</v>
      </c>
      <c r="L91" s="577">
        <f t="shared" si="183"/>
        <v>4.5500000000000007</v>
      </c>
      <c r="M91" s="577">
        <f t="shared" si="183"/>
        <v>98.15</v>
      </c>
      <c r="N91" s="577">
        <f t="shared" si="183"/>
        <v>68.999999999999986</v>
      </c>
      <c r="O91" s="577">
        <f t="shared" si="183"/>
        <v>-20.149999999999999</v>
      </c>
      <c r="P91" s="577">
        <f t="shared" si="183"/>
        <v>-40.299999999999997</v>
      </c>
      <c r="Q91" s="577">
        <f t="shared" si="183"/>
        <v>-61.1</v>
      </c>
      <c r="R91" s="577">
        <f t="shared" si="183"/>
        <v>-824.85</v>
      </c>
      <c r="S91" s="577">
        <f t="shared" si="183"/>
        <v>0</v>
      </c>
      <c r="T91" s="577">
        <f t="shared" si="183"/>
        <v>969.15</v>
      </c>
      <c r="U91" s="577">
        <f t="shared" si="183"/>
        <v>-4386</v>
      </c>
      <c r="V91" s="577">
        <f t="shared" si="183"/>
        <v>-2.6</v>
      </c>
      <c r="W91" s="577">
        <f t="shared" si="183"/>
        <v>-406.9</v>
      </c>
      <c r="X91" s="577">
        <f t="shared" ref="X91" si="184">X82*$E$87-X57</f>
        <v>-763.1</v>
      </c>
      <c r="Y91" s="577">
        <f>Y82*$E$87-Y57</f>
        <v>202.00000000000003</v>
      </c>
      <c r="Z91" s="577">
        <f t="shared" ref="Z91" si="185">Z82*$E$87-Z57</f>
        <v>7696</v>
      </c>
      <c r="AA91" s="577">
        <f t="shared" si="183"/>
        <v>0</v>
      </c>
      <c r="AB91" s="577">
        <f t="shared" si="183"/>
        <v>0</v>
      </c>
      <c r="AC91" s="577">
        <f t="shared" si="183"/>
        <v>-5058.0131999999867</v>
      </c>
      <c r="AD91" s="577">
        <f>AD82*$E$87-AD57</f>
        <v>65.650000000000006</v>
      </c>
      <c r="AE91" s="577">
        <f>AE82*$E$87-AE57</f>
        <v>997.19360000000017</v>
      </c>
      <c r="AF91" s="577">
        <f t="shared" si="183"/>
        <v>-21.450000000000003</v>
      </c>
      <c r="AG91" s="577">
        <f t="shared" si="183"/>
        <v>-234</v>
      </c>
      <c r="AH91" s="577">
        <f>AH82*$E$87-AH57</f>
        <v>77.349999999999994</v>
      </c>
      <c r="AI91" s="577">
        <f>AI82*$E$87-AI57</f>
        <v>1597.7</v>
      </c>
      <c r="AJ91" s="577">
        <f t="shared" ref="AJ91" si="186">AJ82*$E$87-AJ57</f>
        <v>451.1</v>
      </c>
      <c r="AK91" s="577">
        <f t="shared" ref="AK91:AO91" si="187">AK82*$E$87-AK57</f>
        <v>3285.75</v>
      </c>
      <c r="AL91" s="577">
        <f>AL82*$E$87-AL57</f>
        <v>-1395.0013200000001</v>
      </c>
      <c r="AM91" s="577">
        <f t="shared" si="187"/>
        <v>425.63955576286014</v>
      </c>
      <c r="AN91" s="577">
        <f t="shared" si="187"/>
        <v>-641.54999999999995</v>
      </c>
      <c r="AO91" s="577">
        <f t="shared" si="187"/>
        <v>0</v>
      </c>
      <c r="AP91" s="577">
        <f>AP82*$E$87-AP57</f>
        <v>225.55</v>
      </c>
      <c r="AQ91" s="577">
        <f t="shared" ref="AQ91" si="188">AQ82*$E$87-AQ57</f>
        <v>345.8</v>
      </c>
      <c r="AR91" s="578">
        <f t="shared" ref="AR91" si="189">AR82*$E$87-AR57</f>
        <v>121.71863576286705</v>
      </c>
      <c r="AS91" s="577">
        <f>AS82*$E$87-AS57</f>
        <v>0</v>
      </c>
      <c r="AT91" s="578">
        <f>AT82*$E$87-AT57</f>
        <v>121.71863576286705</v>
      </c>
      <c r="AU91" s="578">
        <f>AU82*$E$87-AU57</f>
        <v>-19771.262130514784</v>
      </c>
      <c r="AV91" s="578">
        <f t="shared" ref="AV91:AX91" si="190">AV82*$E$87-AV57</f>
        <v>-4740.4505320198086</v>
      </c>
      <c r="AW91" s="578">
        <f t="shared" si="190"/>
        <v>0</v>
      </c>
      <c r="AX91" s="578">
        <f t="shared" si="190"/>
        <v>0</v>
      </c>
      <c r="AY91" s="578">
        <f>AY82*$E$87-AY57</f>
        <v>-24389.994026771732</v>
      </c>
    </row>
    <row r="92" spans="1:51">
      <c r="C92" s="593"/>
      <c r="D92" s="593" t="s">
        <v>139</v>
      </c>
      <c r="E92" s="594">
        <f t="shared" ref="E92:AG92" si="191">E91/$E$89</f>
        <v>-13329.134519294876</v>
      </c>
      <c r="F92" s="594">
        <f t="shared" si="191"/>
        <v>79.921667772552397</v>
      </c>
      <c r="G92" s="594">
        <f t="shared" si="191"/>
        <v>12.592567479210157</v>
      </c>
      <c r="H92" s="594">
        <f t="shared" si="191"/>
        <v>-298.07014060085925</v>
      </c>
      <c r="I92" s="594">
        <f t="shared" si="191"/>
        <v>154.25895162032441</v>
      </c>
      <c r="J92" s="594">
        <f t="shared" ref="J92" si="192">J91/$E$89</f>
        <v>-262.34515581687822</v>
      </c>
      <c r="K92" s="594">
        <f t="shared" si="191"/>
        <v>1386.2318033363847</v>
      </c>
      <c r="L92" s="594">
        <f t="shared" si="191"/>
        <v>7.3456643628725917</v>
      </c>
      <c r="M92" s="594">
        <f t="shared" si="191"/>
        <v>158.45647411339448</v>
      </c>
      <c r="N92" s="594">
        <f t="shared" si="191"/>
        <v>111.39578923916673</v>
      </c>
      <c r="O92" s="594">
        <f t="shared" si="191"/>
        <v>-32.530799321292896</v>
      </c>
      <c r="P92" s="594">
        <f t="shared" si="191"/>
        <v>-65.061598642585793</v>
      </c>
      <c r="Q92" s="594">
        <f t="shared" si="191"/>
        <v>-98.64177858714622</v>
      </c>
      <c r="R92" s="594">
        <f t="shared" si="191"/>
        <v>-1331.664010926474</v>
      </c>
      <c r="S92" s="570">
        <f t="shared" ref="S92" si="193">S91/$E$89</f>
        <v>0</v>
      </c>
      <c r="T92" s="570">
        <f>T91/$E$89</f>
        <v>1564.6265092918618</v>
      </c>
      <c r="U92" s="594">
        <f>U91/$E$89</f>
        <v>-7080.8975594635567</v>
      </c>
      <c r="V92" s="594">
        <f>V91/$E$89</f>
        <v>-4.1975224930700517</v>
      </c>
      <c r="W92" s="594">
        <f t="shared" ref="W92" si="194">W91/$E$89</f>
        <v>-656.91227016546304</v>
      </c>
      <c r="X92" s="594">
        <f t="shared" ref="X92" si="195">X91/$E$89</f>
        <v>-1231.9728517160602</v>
      </c>
      <c r="Y92" s="594">
        <f>Y91/$E$89</f>
        <v>326.11520907698099</v>
      </c>
      <c r="Z92" s="594">
        <f t="shared" ref="Z92" si="196">Z91/$E$89</f>
        <v>12424.666579487353</v>
      </c>
      <c r="AA92" s="594">
        <f>AA91/$E$89</f>
        <v>0</v>
      </c>
      <c r="AB92" s="594">
        <f>AB91/$E$89</f>
        <v>0</v>
      </c>
      <c r="AC92" s="594">
        <f t="shared" si="191"/>
        <v>-8165.8169912481444</v>
      </c>
      <c r="AD92" s="570">
        <f>AD91/$E$89</f>
        <v>105.98744295001882</v>
      </c>
      <c r="AE92" s="594">
        <f>AE91/$E$89</f>
        <v>1609.9009869021156</v>
      </c>
      <c r="AF92" s="594">
        <f t="shared" si="191"/>
        <v>-34.62956056782793</v>
      </c>
      <c r="AG92" s="594">
        <f t="shared" si="191"/>
        <v>-377.77702437630467</v>
      </c>
      <c r="AH92" s="594">
        <f>AH91/$E$89</f>
        <v>124.87629416883404</v>
      </c>
      <c r="AI92" s="594">
        <f>AI91/$E$89</f>
        <v>2579.377571991547</v>
      </c>
      <c r="AJ92" s="594">
        <f t="shared" ref="AJ92" si="197">AJ91/$E$89</f>
        <v>728.27015254765399</v>
      </c>
      <c r="AK92" s="594">
        <f t="shared" ref="AK92:AO92" si="198">AK91/$E$89</f>
        <v>5304.6190506172779</v>
      </c>
      <c r="AL92" s="594">
        <f>AL91/$E$89</f>
        <v>-2252.1343917547742</v>
      </c>
      <c r="AM92" s="594">
        <f t="shared" si="198"/>
        <v>687.16600355959622</v>
      </c>
      <c r="AN92" s="594">
        <f t="shared" si="198"/>
        <v>-1035.7386751650351</v>
      </c>
      <c r="AO92" s="594">
        <f t="shared" si="198"/>
        <v>0</v>
      </c>
      <c r="AP92" s="594">
        <f>AP91/$E$89</f>
        <v>364.135076273827</v>
      </c>
      <c r="AQ92" s="594">
        <f t="shared" ref="AQ92" si="199">AQ91/$E$89</f>
        <v>558.27049157831686</v>
      </c>
      <c r="AR92" s="595">
        <f t="shared" ref="AR92" si="200">AR91/$E$89</f>
        <v>196.50642747709048</v>
      </c>
      <c r="AS92" s="594">
        <f>AS91/$E$89</f>
        <v>0</v>
      </c>
      <c r="AT92" s="595">
        <f>AT91/$E$89</f>
        <v>196.50642747709048</v>
      </c>
      <c r="AU92" s="595">
        <f>AU91/$G$89</f>
        <v>-26262.759778852702</v>
      </c>
      <c r="AV92" s="595">
        <f t="shared" ref="AV92:AW92" si="201">AV91/$G$89</f>
        <v>-6296.8824521234137</v>
      </c>
      <c r="AW92" s="595">
        <f t="shared" si="201"/>
        <v>0</v>
      </c>
      <c r="AX92" s="595">
        <f>+AT91/G89-AT91/E89</f>
        <v>-34.823917248462237</v>
      </c>
      <c r="AY92" s="595">
        <f>AY91/$G$89</f>
        <v>-32397.959720747494</v>
      </c>
    </row>
    <row r="93" spans="1:51" s="554" customFormat="1" ht="11.25" customHeight="1">
      <c r="A93" s="557"/>
      <c r="E93" s="569"/>
      <c r="F93" s="573"/>
      <c r="G93" s="573"/>
      <c r="H93" s="573"/>
      <c r="I93" s="573"/>
      <c r="J93" s="573"/>
      <c r="K93" s="573"/>
      <c r="L93" s="573"/>
      <c r="M93" s="573"/>
      <c r="N93" s="573"/>
      <c r="O93" s="573"/>
      <c r="P93" s="573"/>
      <c r="Q93" s="573"/>
      <c r="R93" s="573"/>
      <c r="S93" s="569"/>
      <c r="T93" s="569"/>
      <c r="U93" s="573"/>
      <c r="V93" s="573"/>
      <c r="W93" s="569"/>
      <c r="X93" s="569"/>
      <c r="Y93" s="569"/>
      <c r="Z93" s="569"/>
      <c r="AA93" s="569"/>
      <c r="AB93" s="573"/>
      <c r="AC93" s="580"/>
      <c r="AD93" s="569"/>
      <c r="AE93" s="573"/>
      <c r="AF93" s="573"/>
      <c r="AG93" s="573"/>
      <c r="AH93" s="573"/>
      <c r="AI93" s="573"/>
      <c r="AJ93" s="573"/>
      <c r="AK93" s="569"/>
      <c r="AL93" s="573"/>
      <c r="AM93" s="569"/>
      <c r="AN93" s="569"/>
      <c r="AO93" s="569"/>
      <c r="AP93" s="569"/>
      <c r="AQ93" s="569"/>
      <c r="AR93" s="574"/>
      <c r="AS93" s="569"/>
      <c r="AT93" s="574"/>
      <c r="AU93" s="630"/>
      <c r="AY93" s="574">
        <f>+SUM(AT92:AX92)</f>
        <v>-32397.959720747484</v>
      </c>
    </row>
    <row r="94" spans="1:51" s="554" customFormat="1">
      <c r="A94" s="557"/>
      <c r="E94" s="614"/>
      <c r="F94" s="573"/>
      <c r="G94" s="573"/>
      <c r="H94" s="573"/>
      <c r="I94" s="573"/>
      <c r="J94" s="573"/>
      <c r="K94" s="573"/>
      <c r="L94" s="573"/>
      <c r="M94" s="573"/>
      <c r="N94" s="573"/>
      <c r="O94" s="573"/>
      <c r="P94" s="573"/>
      <c r="Q94" s="573"/>
      <c r="R94" s="573"/>
      <c r="S94" s="569"/>
      <c r="T94" s="569"/>
      <c r="U94" s="573"/>
      <c r="V94" s="573"/>
      <c r="W94" s="569"/>
      <c r="X94" s="569"/>
      <c r="Y94" s="569"/>
      <c r="Z94" s="569"/>
      <c r="AA94" s="569"/>
      <c r="AB94" s="573"/>
      <c r="AC94" s="747"/>
      <c r="AD94" s="569"/>
      <c r="AE94" s="573"/>
      <c r="AF94" s="573"/>
      <c r="AG94" s="573"/>
      <c r="AH94" s="573"/>
      <c r="AI94" s="573"/>
      <c r="AJ94" s="573"/>
      <c r="AK94" s="569"/>
      <c r="AL94" s="573"/>
      <c r="AM94" s="569"/>
      <c r="AN94" s="569"/>
      <c r="AO94" s="569"/>
      <c r="AP94" s="569"/>
      <c r="AQ94" s="569"/>
      <c r="AR94" s="574"/>
      <c r="AS94" s="569"/>
      <c r="AT94" s="574"/>
      <c r="AU94" s="630"/>
      <c r="AY94" s="574"/>
    </row>
    <row r="95" spans="1:51" s="554" customFormat="1">
      <c r="A95" s="557"/>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69"/>
      <c r="AL95" s="569"/>
      <c r="AM95" s="569"/>
      <c r="AN95" s="569"/>
      <c r="AO95" s="569"/>
      <c r="AP95" s="569"/>
      <c r="AQ95" s="569"/>
      <c r="AR95" s="569"/>
      <c r="AS95" s="569"/>
      <c r="AT95" s="569"/>
      <c r="AU95" s="569"/>
      <c r="AY95" s="569"/>
    </row>
    <row r="96" spans="1:51" s="755" customFormat="1">
      <c r="A96" s="754"/>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69"/>
      <c r="AL96" s="569"/>
      <c r="AM96" s="569"/>
      <c r="AN96" s="569"/>
      <c r="AO96" s="569"/>
      <c r="AP96" s="569"/>
      <c r="AQ96" s="569"/>
      <c r="AR96" s="569"/>
      <c r="AS96" s="569"/>
      <c r="AT96" s="569"/>
      <c r="AU96" s="569"/>
      <c r="AV96" s="569"/>
      <c r="AW96" s="569"/>
      <c r="AX96" s="569"/>
      <c r="AY96" s="569"/>
    </row>
    <row r="97" spans="1:51" s="554" customFormat="1">
      <c r="A97" s="557"/>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69"/>
      <c r="AL97" s="569"/>
      <c r="AM97" s="569"/>
      <c r="AN97" s="569"/>
      <c r="AO97" s="569"/>
      <c r="AP97" s="569"/>
      <c r="AQ97" s="569"/>
      <c r="AR97" s="569"/>
      <c r="AS97" s="569"/>
      <c r="AT97" s="569"/>
      <c r="AU97" s="569"/>
      <c r="AV97" s="569"/>
      <c r="AW97" s="569"/>
      <c r="AX97" s="569"/>
      <c r="AY97" s="569"/>
    </row>
    <row r="98" spans="1:51" s="554" customFormat="1">
      <c r="A98" s="557"/>
      <c r="E98" s="569"/>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3"/>
      <c r="AL98" s="573"/>
      <c r="AM98" s="573"/>
      <c r="AN98" s="573"/>
      <c r="AO98" s="573"/>
      <c r="AP98" s="573"/>
      <c r="AQ98" s="573"/>
      <c r="AR98" s="573"/>
      <c r="AS98" s="573"/>
      <c r="AT98" s="573"/>
      <c r="AU98" s="573"/>
      <c r="AV98" s="573"/>
      <c r="AW98" s="573"/>
      <c r="AX98" s="573"/>
      <c r="AY98" s="573"/>
    </row>
    <row r="99" spans="1:51" s="554" customFormat="1">
      <c r="A99" s="557"/>
      <c r="E99" s="569"/>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3"/>
      <c r="AL99" s="573"/>
      <c r="AM99" s="573"/>
      <c r="AN99" s="573"/>
      <c r="AO99" s="573"/>
      <c r="AP99" s="573"/>
      <c r="AQ99" s="573"/>
      <c r="AR99" s="573"/>
      <c r="AS99" s="573"/>
      <c r="AT99" s="573"/>
      <c r="AU99" s="573"/>
      <c r="AV99" s="573"/>
      <c r="AW99" s="573"/>
      <c r="AX99" s="573"/>
      <c r="AY99" s="573"/>
    </row>
    <row r="100" spans="1:51">
      <c r="S100" s="559"/>
      <c r="T100" s="559"/>
      <c r="W100" s="559"/>
      <c r="X100" s="559"/>
      <c r="Y100" s="559"/>
      <c r="Z100" s="559"/>
      <c r="AA100" s="559"/>
      <c r="AC100" s="559"/>
      <c r="AD100" s="559"/>
      <c r="AK100" s="559"/>
      <c r="AM100" s="559"/>
      <c r="AN100" s="559"/>
      <c r="AO100" s="559"/>
      <c r="AP100" s="559"/>
      <c r="AQ100" s="559"/>
      <c r="AR100" s="559"/>
      <c r="AS100" s="559"/>
      <c r="AT100" s="559"/>
      <c r="AU100" s="559"/>
      <c r="AV100" s="559"/>
      <c r="AW100" s="559"/>
      <c r="AX100" s="559"/>
      <c r="AY100" s="559"/>
    </row>
    <row r="103" spans="1:51">
      <c r="AM103" s="628"/>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
    <mergeCell ref="D1:E1"/>
    <mergeCell ref="Z3:Z6"/>
  </mergeCells>
  <phoneticPr fontId="0" type="noConversion"/>
  <hyperlinks>
    <hyperlink ref="I10" location="BandO!A1" display="t"/>
  </hyperlinks>
  <pageMargins left="0.7" right="0.51" top="0.75" bottom="0.5" header="0.5" footer="0.5"/>
  <pageSetup scale="65" firstPageNumber="4" fitToWidth="7" orientation="portrait" r:id="rId3"/>
  <headerFooter scaleWithDoc="0" alignWithMargins="0">
    <oddFooter>&amp;CElectric Services&amp;RTab 4 Adjustment Details</oddFooter>
  </headerFooter>
  <colBreaks count="5" manualBreakCount="5">
    <brk id="12" max="85" man="1"/>
    <brk id="20" max="85" man="1"/>
    <brk id="29" max="85" man="1"/>
    <brk id="37" max="85" man="1"/>
    <brk id="44" max="85" man="1"/>
  </colBreaks>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40625" defaultRowHeight="12.75"/>
  <cols>
    <col min="1" max="16384" width="9.140625" style="715"/>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8F2F4"/>
  </sheetPr>
  <dimension ref="A2:W41"/>
  <sheetViews>
    <sheetView tabSelected="1" view="pageBreakPreview" zoomScaleNormal="100" zoomScaleSheetLayoutView="100" workbookViewId="0">
      <pane xSplit="6" ySplit="7" topLeftCell="G23" activePane="bottomRight" state="frozen"/>
      <selection activeCell="P59" sqref="P59"/>
      <selection pane="topRight" activeCell="P59" sqref="P59"/>
      <selection pane="bottomLeft" activeCell="P59" sqref="P59"/>
      <selection pane="bottomRight" activeCell="P59" sqref="P59"/>
    </sheetView>
  </sheetViews>
  <sheetFormatPr defaultColWidth="8" defaultRowHeight="12.75"/>
  <cols>
    <col min="1" max="1" width="8" style="816"/>
    <col min="2" max="3" width="9.28515625" style="816" customWidth="1"/>
    <col min="4" max="6" width="13.5703125" style="816" customWidth="1"/>
    <col min="7" max="7" width="13.28515625" style="816" customWidth="1"/>
    <col min="8" max="8" width="12.85546875" style="816" customWidth="1"/>
    <col min="9" max="9" width="13.5703125" style="816" hidden="1" customWidth="1"/>
    <col min="10" max="10" width="1.42578125" style="816" customWidth="1"/>
    <col min="11" max="11" width="3.42578125" style="816" customWidth="1"/>
    <col min="12" max="12" width="12.28515625" style="827" customWidth="1"/>
    <col min="13" max="13" width="1.42578125" style="816" customWidth="1"/>
    <col min="14" max="14" width="12.28515625" style="827" customWidth="1"/>
    <col min="15" max="17" width="1.42578125" style="816" customWidth="1"/>
    <col min="18" max="18" width="12.28515625" style="827" customWidth="1"/>
    <col min="19" max="19" width="1.42578125" style="816" customWidth="1"/>
    <col min="20" max="20" width="12.28515625" style="827" customWidth="1"/>
    <col min="21" max="21" width="1.42578125" style="816" customWidth="1"/>
    <col min="22" max="22" width="12.28515625" style="827" customWidth="1"/>
    <col min="23" max="23" width="1.42578125" style="816" customWidth="1"/>
    <col min="24" max="16384" width="8" style="816"/>
  </cols>
  <sheetData>
    <row r="2" spans="1:23">
      <c r="B2" s="855" t="s">
        <v>142</v>
      </c>
      <c r="C2" s="852"/>
      <c r="D2" s="851"/>
      <c r="E2" s="850"/>
      <c r="F2" s="854" t="s">
        <v>867</v>
      </c>
      <c r="G2" s="819"/>
      <c r="H2" s="819"/>
      <c r="I2" s="819"/>
      <c r="K2" s="1000"/>
      <c r="L2" s="1083"/>
      <c r="M2" s="851"/>
      <c r="N2" s="1096"/>
      <c r="O2" s="850"/>
      <c r="Q2" s="1103" t="s">
        <v>1113</v>
      </c>
      <c r="R2" s="1083"/>
      <c r="S2" s="851"/>
      <c r="T2" s="1083"/>
      <c r="U2" s="851"/>
      <c r="V2" s="1096"/>
      <c r="W2" s="850"/>
    </row>
    <row r="3" spans="1:23">
      <c r="B3" s="853" t="s">
        <v>866</v>
      </c>
      <c r="C3" s="852"/>
      <c r="D3" s="851"/>
      <c r="E3" s="850"/>
      <c r="F3" s="849" t="s">
        <v>1124</v>
      </c>
      <c r="G3" s="819"/>
      <c r="H3" s="819"/>
      <c r="I3" s="819"/>
      <c r="K3" s="848"/>
      <c r="L3" s="1084"/>
      <c r="M3" s="902"/>
      <c r="N3" s="1097"/>
      <c r="O3" s="846"/>
      <c r="Q3" s="1104" t="s">
        <v>1112</v>
      </c>
      <c r="R3" s="1084"/>
      <c r="S3" s="902"/>
      <c r="T3" s="1084"/>
      <c r="U3" s="902"/>
      <c r="V3" s="1097"/>
      <c r="W3" s="846"/>
    </row>
    <row r="4" spans="1:23">
      <c r="B4" s="848" t="s">
        <v>1123</v>
      </c>
      <c r="C4" s="847"/>
      <c r="E4" s="846"/>
      <c r="F4" s="845"/>
      <c r="G4" s="821" t="s">
        <v>1024</v>
      </c>
      <c r="H4" s="821" t="s">
        <v>1024</v>
      </c>
      <c r="I4" s="819"/>
      <c r="K4" s="848"/>
      <c r="L4" s="1085" t="s">
        <v>826</v>
      </c>
      <c r="M4" s="902"/>
      <c r="N4" s="1098" t="s">
        <v>1025</v>
      </c>
      <c r="O4" s="846"/>
      <c r="Q4" s="848"/>
      <c r="R4" s="1085" t="s">
        <v>1025</v>
      </c>
      <c r="S4" s="902"/>
      <c r="T4" s="1085" t="s">
        <v>826</v>
      </c>
      <c r="U4" s="902"/>
      <c r="V4" s="1098" t="s">
        <v>1025</v>
      </c>
      <c r="W4" s="846"/>
    </row>
    <row r="5" spans="1:23">
      <c r="B5" s="844" t="s">
        <v>1127</v>
      </c>
      <c r="C5" s="843"/>
      <c r="D5" s="837"/>
      <c r="E5" s="842"/>
      <c r="F5" s="841"/>
      <c r="G5" s="821" t="s">
        <v>868</v>
      </c>
      <c r="H5" s="821" t="s">
        <v>868</v>
      </c>
      <c r="I5" s="819"/>
      <c r="K5" s="848"/>
      <c r="L5" s="1085" t="s">
        <v>1079</v>
      </c>
      <c r="M5" s="902"/>
      <c r="N5" s="1098" t="s">
        <v>25</v>
      </c>
      <c r="O5" s="846"/>
      <c r="Q5" s="848"/>
      <c r="R5" s="1085" t="s">
        <v>1078</v>
      </c>
      <c r="S5" s="902"/>
      <c r="T5" s="1085" t="s">
        <v>1079</v>
      </c>
      <c r="U5" s="902"/>
      <c r="V5" s="1098" t="s">
        <v>25</v>
      </c>
      <c r="W5" s="846"/>
    </row>
    <row r="6" spans="1:23">
      <c r="B6" s="840" t="s">
        <v>865</v>
      </c>
      <c r="C6" s="839"/>
      <c r="D6" s="838" t="s">
        <v>80</v>
      </c>
      <c r="E6" s="837"/>
      <c r="F6" s="837"/>
      <c r="G6" s="1005" t="s">
        <v>91</v>
      </c>
      <c r="H6" s="1005" t="s">
        <v>92</v>
      </c>
      <c r="I6" s="1006" t="s">
        <v>75</v>
      </c>
      <c r="J6" s="1001"/>
      <c r="K6" s="1007"/>
      <c r="L6" s="1086" t="s">
        <v>92</v>
      </c>
      <c r="M6" s="996"/>
      <c r="N6" s="1099"/>
      <c r="O6" s="846"/>
      <c r="Q6" s="1007"/>
      <c r="R6" s="1086" t="s">
        <v>148</v>
      </c>
      <c r="S6" s="996"/>
      <c r="T6" s="1086" t="s">
        <v>92</v>
      </c>
      <c r="U6" s="996"/>
      <c r="V6" s="1099"/>
      <c r="W6" s="846"/>
    </row>
    <row r="7" spans="1:23">
      <c r="A7" s="816" t="s">
        <v>137</v>
      </c>
      <c r="B7" s="821"/>
      <c r="C7" s="820"/>
      <c r="G7" s="989"/>
      <c r="H7" s="989"/>
      <c r="I7" s="989"/>
      <c r="J7" s="994"/>
      <c r="K7" s="993"/>
      <c r="L7" s="1087"/>
      <c r="M7" s="996"/>
      <c r="N7" s="1100"/>
      <c r="O7" s="846"/>
      <c r="Q7" s="993"/>
      <c r="R7" s="1087"/>
      <c r="S7" s="996"/>
      <c r="T7" s="1087"/>
      <c r="U7" s="996"/>
      <c r="V7" s="1100"/>
      <c r="W7" s="846"/>
    </row>
    <row r="8" spans="1:23" ht="15.75" customHeight="1">
      <c r="C8" s="820"/>
      <c r="D8" s="819" t="s">
        <v>864</v>
      </c>
      <c r="G8" s="989"/>
      <c r="H8" s="989"/>
      <c r="I8" s="989"/>
      <c r="J8" s="994"/>
      <c r="K8" s="993"/>
      <c r="L8" s="1087"/>
      <c r="M8" s="994"/>
      <c r="N8" s="1100"/>
      <c r="O8" s="846"/>
      <c r="Q8" s="993"/>
      <c r="R8" s="1087"/>
      <c r="S8" s="994"/>
      <c r="T8" s="1087"/>
      <c r="U8" s="994"/>
      <c r="V8" s="1100"/>
      <c r="W8" s="846"/>
    </row>
    <row r="9" spans="1:23" ht="15.75" customHeight="1">
      <c r="B9" s="821" t="s">
        <v>856</v>
      </c>
      <c r="C9" s="820"/>
      <c r="D9" s="819" t="s">
        <v>863</v>
      </c>
      <c r="G9" s="1003">
        <f>+H9+I9</f>
        <v>1004897629</v>
      </c>
      <c r="H9" s="1003">
        <v>677111810</v>
      </c>
      <c r="I9" s="1003">
        <v>327785819</v>
      </c>
      <c r="J9" s="994"/>
      <c r="K9" s="993"/>
      <c r="L9" s="1088">
        <f>+H9</f>
        <v>677111810</v>
      </c>
      <c r="M9" s="994"/>
      <c r="N9" s="1088">
        <f>+L9-H9</f>
        <v>0</v>
      </c>
      <c r="O9" s="846"/>
      <c r="Q9" s="993"/>
      <c r="R9" s="1088"/>
      <c r="S9" s="994"/>
      <c r="T9" s="1088"/>
      <c r="U9" s="994"/>
      <c r="V9" s="1088"/>
      <c r="W9" s="846"/>
    </row>
    <row r="10" spans="1:23" ht="15.75" customHeight="1">
      <c r="B10" s="821"/>
      <c r="C10" s="820"/>
      <c r="D10" s="819"/>
      <c r="G10" s="1003"/>
      <c r="H10" s="1003"/>
      <c r="I10" s="1003"/>
      <c r="J10" s="994"/>
      <c r="K10" s="993"/>
      <c r="L10" s="1088"/>
      <c r="M10" s="994"/>
      <c r="N10" s="1088"/>
      <c r="O10" s="846"/>
      <c r="Q10" s="993"/>
      <c r="R10" s="1088"/>
      <c r="S10" s="994"/>
      <c r="T10" s="1088"/>
      <c r="U10" s="994"/>
      <c r="V10" s="1088"/>
      <c r="W10" s="846"/>
    </row>
    <row r="11" spans="1:23" ht="15.75" customHeight="1">
      <c r="B11" s="821" t="s">
        <v>856</v>
      </c>
      <c r="C11" s="820"/>
      <c r="D11" s="819" t="s">
        <v>862</v>
      </c>
      <c r="G11" s="1003">
        <f>+H11+I11</f>
        <v>576763079</v>
      </c>
      <c r="H11" s="1003">
        <v>383246351</v>
      </c>
      <c r="I11" s="1003">
        <v>193516728</v>
      </c>
      <c r="J11" s="994"/>
      <c r="K11" s="993"/>
      <c r="L11" s="1088">
        <f>+H11</f>
        <v>383246351</v>
      </c>
      <c r="M11" s="994"/>
      <c r="N11" s="1088">
        <f>+L11-H11</f>
        <v>0</v>
      </c>
      <c r="O11" s="846"/>
      <c r="Q11" s="993"/>
      <c r="R11" s="1097"/>
      <c r="S11" s="902"/>
      <c r="T11" s="1097"/>
      <c r="U11" s="902"/>
      <c r="V11" s="1097"/>
      <c r="W11" s="846"/>
    </row>
    <row r="12" spans="1:23" ht="15.75" customHeight="1">
      <c r="B12" s="821"/>
      <c r="C12" s="820"/>
      <c r="D12" s="819"/>
      <c r="G12" s="1003"/>
      <c r="H12" s="1003"/>
      <c r="I12" s="1003"/>
      <c r="J12" s="994"/>
      <c r="K12" s="993"/>
      <c r="L12" s="1088"/>
      <c r="M12" s="994"/>
      <c r="N12" s="1088"/>
      <c r="O12" s="846"/>
      <c r="Q12" s="993"/>
      <c r="R12" s="1097"/>
      <c r="S12" s="902"/>
      <c r="T12" s="1097"/>
      <c r="U12" s="902"/>
      <c r="V12" s="1097"/>
      <c r="W12" s="846"/>
    </row>
    <row r="13" spans="1:23" ht="15.75" customHeight="1">
      <c r="B13" s="821" t="s">
        <v>856</v>
      </c>
      <c r="C13" s="820"/>
      <c r="D13" s="819" t="s">
        <v>861</v>
      </c>
      <c r="G13" s="1003">
        <f>+H13+I13</f>
        <v>122747970</v>
      </c>
      <c r="H13" s="1003">
        <v>82776635</v>
      </c>
      <c r="I13" s="1003">
        <v>39971335</v>
      </c>
      <c r="J13" s="994"/>
      <c r="K13" s="993"/>
      <c r="L13" s="1088">
        <f>+H13</f>
        <v>82776635</v>
      </c>
      <c r="M13" s="994"/>
      <c r="N13" s="1088">
        <f>+L13-H13</f>
        <v>0</v>
      </c>
      <c r="O13" s="846"/>
      <c r="Q13" s="993"/>
      <c r="R13" s="1097"/>
      <c r="S13" s="902"/>
      <c r="T13" s="1097"/>
      <c r="U13" s="902"/>
      <c r="V13" s="1097"/>
      <c r="W13" s="846"/>
    </row>
    <row r="14" spans="1:23" ht="15.75" customHeight="1">
      <c r="B14" s="821"/>
      <c r="C14" s="820"/>
      <c r="D14" s="819"/>
      <c r="G14" s="1003"/>
      <c r="H14" s="1003"/>
      <c r="I14" s="1003"/>
      <c r="J14" s="994"/>
      <c r="K14" s="993"/>
      <c r="L14" s="1088"/>
      <c r="M14" s="994"/>
      <c r="N14" s="1088"/>
      <c r="O14" s="846"/>
      <c r="Q14" s="993"/>
      <c r="R14" s="1097"/>
      <c r="S14" s="902"/>
      <c r="T14" s="1097"/>
      <c r="U14" s="902"/>
      <c r="V14" s="1097"/>
      <c r="W14" s="846"/>
    </row>
    <row r="15" spans="1:23" ht="15.75" customHeight="1">
      <c r="B15" s="821" t="s">
        <v>860</v>
      </c>
      <c r="C15" s="820"/>
      <c r="D15" s="819" t="s">
        <v>859</v>
      </c>
      <c r="G15" s="1003">
        <f>+H15+I15</f>
        <v>74725030</v>
      </c>
      <c r="H15" s="1003">
        <v>60161435</v>
      </c>
      <c r="I15" s="1003">
        <v>14563595</v>
      </c>
      <c r="J15" s="994"/>
      <c r="K15" s="993"/>
      <c r="L15" s="1088">
        <f>+H15</f>
        <v>60161435</v>
      </c>
      <c r="M15" s="994"/>
      <c r="N15" s="1088">
        <f>+L15-H15</f>
        <v>0</v>
      </c>
      <c r="O15" s="846"/>
      <c r="Q15" s="993"/>
      <c r="R15" s="1097"/>
      <c r="S15" s="902"/>
      <c r="T15" s="1097"/>
      <c r="U15" s="902"/>
      <c r="V15" s="1097"/>
      <c r="W15" s="846"/>
    </row>
    <row r="16" spans="1:23" ht="15.75" customHeight="1">
      <c r="B16" s="821"/>
      <c r="C16" s="820"/>
      <c r="D16" s="819" t="s">
        <v>858</v>
      </c>
      <c r="G16" s="1004">
        <f>G9-G11-G13-G15</f>
        <v>230661550</v>
      </c>
      <c r="H16" s="1004">
        <f>H9-H11-H13-H15</f>
        <v>150927389</v>
      </c>
      <c r="I16" s="1004">
        <f>I9-I11-I13-I15</f>
        <v>79734161</v>
      </c>
      <c r="J16" s="994" t="s">
        <v>76</v>
      </c>
      <c r="K16" s="993"/>
      <c r="L16" s="1089">
        <f>L9-L11-L13-L15</f>
        <v>150927389</v>
      </c>
      <c r="M16" s="994"/>
      <c r="N16" s="1089">
        <f>+L16-H16</f>
        <v>0</v>
      </c>
      <c r="O16" s="846"/>
      <c r="Q16" s="993"/>
      <c r="R16" s="1097"/>
      <c r="S16" s="902"/>
      <c r="T16" s="1097"/>
      <c r="U16" s="902"/>
      <c r="V16" s="1097"/>
      <c r="W16" s="846"/>
    </row>
    <row r="17" spans="1:23" ht="15.75" customHeight="1">
      <c r="B17" s="821"/>
      <c r="C17" s="831"/>
      <c r="D17" s="819"/>
      <c r="G17" s="1003"/>
      <c r="H17" s="1003"/>
      <c r="I17" s="1003"/>
      <c r="J17" s="994"/>
      <c r="K17" s="993"/>
      <c r="L17" s="1088"/>
      <c r="M17" s="994"/>
      <c r="N17" s="1088"/>
      <c r="O17" s="846"/>
      <c r="Q17" s="993"/>
      <c r="R17" s="1097"/>
      <c r="S17" s="902"/>
      <c r="T17" s="1097"/>
      <c r="U17" s="902"/>
      <c r="V17" s="1097"/>
      <c r="W17" s="846"/>
    </row>
    <row r="18" spans="1:23" ht="15.75" customHeight="1">
      <c r="B18" s="821" t="s">
        <v>857</v>
      </c>
      <c r="C18" s="822"/>
      <c r="D18" s="819" t="str">
        <f>IF(F3="E-FIT-1A","Less: Monthly Interest Expense","Less: Interest Expense")</f>
        <v>Less: Interest Expense</v>
      </c>
      <c r="G18" s="1003">
        <f>+H18+I18</f>
        <v>59274235</v>
      </c>
      <c r="H18" s="1003">
        <v>39301995</v>
      </c>
      <c r="I18" s="1003">
        <v>19972240</v>
      </c>
      <c r="J18" s="994"/>
      <c r="K18" s="993"/>
      <c r="L18" s="1088">
        <f>+H18</f>
        <v>39301995</v>
      </c>
      <c r="M18" s="994"/>
      <c r="N18" s="1088">
        <f>+L18-H18</f>
        <v>0</v>
      </c>
      <c r="O18" s="846"/>
      <c r="Q18" s="993"/>
      <c r="R18" s="1097"/>
      <c r="S18" s="902"/>
      <c r="T18" s="1097"/>
      <c r="U18" s="902"/>
      <c r="V18" s="1097"/>
      <c r="W18" s="846"/>
    </row>
    <row r="19" spans="1:23" ht="15.75" customHeight="1">
      <c r="B19" s="821" t="s">
        <v>856</v>
      </c>
      <c r="C19" s="831"/>
      <c r="D19" s="819" t="s">
        <v>855</v>
      </c>
      <c r="G19" s="1003">
        <f>+H19+I19</f>
        <v>0</v>
      </c>
      <c r="H19" s="1003">
        <v>-141072</v>
      </c>
      <c r="I19" s="1008">
        <v>141072</v>
      </c>
      <c r="J19" s="994"/>
      <c r="K19" s="993"/>
      <c r="L19" s="1088">
        <f>+H19</f>
        <v>-141072</v>
      </c>
      <c r="M19" s="994"/>
      <c r="N19" s="1088">
        <f>+L19-H19</f>
        <v>0</v>
      </c>
      <c r="O19" s="846"/>
      <c r="Q19" s="993"/>
      <c r="R19" s="1097"/>
      <c r="S19" s="902"/>
      <c r="T19" s="1097"/>
      <c r="U19" s="902"/>
      <c r="V19" s="1097"/>
      <c r="W19" s="846"/>
    </row>
    <row r="20" spans="1:23" ht="15.75" customHeight="1">
      <c r="B20" s="821" t="s">
        <v>854</v>
      </c>
      <c r="C20" s="831"/>
      <c r="D20" s="819" t="s">
        <v>853</v>
      </c>
      <c r="G20" s="1003">
        <f>+H20+I20</f>
        <v>-233451329</v>
      </c>
      <c r="H20" s="1003">
        <f>'Tab 5b Sch. M Detail'!M79</f>
        <v>-148532251</v>
      </c>
      <c r="I20" s="1008">
        <f>'Tab 5b Sch. M Detail'!P79</f>
        <v>-84919078</v>
      </c>
      <c r="J20" s="994"/>
      <c r="K20" s="993"/>
      <c r="L20" s="1088">
        <f>+H20</f>
        <v>-148532251</v>
      </c>
      <c r="M20" s="994"/>
      <c r="N20" s="1088">
        <f>+L20-H20</f>
        <v>0</v>
      </c>
      <c r="O20" s="846"/>
      <c r="Q20" s="993"/>
      <c r="R20" s="1097"/>
      <c r="S20" s="902"/>
      <c r="T20" s="1097"/>
      <c r="U20" s="902"/>
      <c r="V20" s="1097"/>
      <c r="W20" s="846"/>
    </row>
    <row r="21" spans="1:23" ht="15.75" customHeight="1">
      <c r="B21" s="821"/>
      <c r="C21" s="831"/>
      <c r="D21" s="819" t="s">
        <v>852</v>
      </c>
      <c r="G21" s="832">
        <f>G16-G18-G19+G20</f>
        <v>-62064014</v>
      </c>
      <c r="H21" s="832">
        <f>H16-H18-H19+H20</f>
        <v>-36765785</v>
      </c>
      <c r="I21" s="832">
        <f>I16-I18-I19+I20</f>
        <v>-25298229</v>
      </c>
      <c r="J21" s="823"/>
      <c r="K21" s="991"/>
      <c r="L21" s="1090">
        <f>L16-L18-L19+L20</f>
        <v>-36765785</v>
      </c>
      <c r="M21" s="823"/>
      <c r="N21" s="1090">
        <f>+L21-H21</f>
        <v>0</v>
      </c>
      <c r="O21" s="997"/>
      <c r="P21" s="819"/>
      <c r="Q21" s="991"/>
      <c r="R21" s="1084"/>
      <c r="S21" s="823"/>
      <c r="T21" s="1084"/>
      <c r="U21" s="823"/>
      <c r="V21" s="1084"/>
      <c r="W21" s="997"/>
    </row>
    <row r="22" spans="1:23" ht="15.75" customHeight="1">
      <c r="B22" s="821"/>
      <c r="C22" s="831"/>
      <c r="D22" s="819"/>
      <c r="G22" s="823"/>
      <c r="H22" s="823"/>
      <c r="I22" s="823"/>
      <c r="J22" s="823"/>
      <c r="K22" s="991"/>
      <c r="L22" s="1084"/>
      <c r="M22" s="823"/>
      <c r="N22" s="1084"/>
      <c r="O22" s="997"/>
      <c r="P22" s="819"/>
      <c r="Q22" s="991"/>
      <c r="R22" s="1084"/>
      <c r="S22" s="823"/>
      <c r="T22" s="1084"/>
      <c r="U22" s="823"/>
      <c r="V22" s="1084"/>
      <c r="W22" s="997"/>
    </row>
    <row r="23" spans="1:23" ht="15.75" customHeight="1">
      <c r="A23" s="836">
        <v>22197</v>
      </c>
      <c r="B23" s="821"/>
      <c r="C23" s="831"/>
      <c r="D23" s="819" t="s">
        <v>851</v>
      </c>
      <c r="G23" s="835">
        <v>0.35</v>
      </c>
      <c r="H23" s="835">
        <v>0.35</v>
      </c>
      <c r="I23" s="835">
        <v>0.35</v>
      </c>
      <c r="J23" s="834"/>
      <c r="K23" s="992"/>
      <c r="L23" s="1091">
        <v>0.21</v>
      </c>
      <c r="M23" s="823"/>
      <c r="N23" s="1091">
        <f>+L23-H23</f>
        <v>-0.13999999999999999</v>
      </c>
      <c r="O23" s="997"/>
      <c r="P23" s="819"/>
      <c r="Q23" s="992"/>
      <c r="R23" s="1102">
        <f>+IF('Tab 4 Adjustment Details'!AU88=1,0.35,0.21)</f>
        <v>0.35</v>
      </c>
      <c r="S23" s="823"/>
      <c r="T23" s="1091">
        <v>0.21</v>
      </c>
      <c r="U23" s="823"/>
      <c r="V23" s="1091">
        <f>+T23-R23</f>
        <v>-0.13999999999999999</v>
      </c>
      <c r="W23" s="997"/>
    </row>
    <row r="24" spans="1:23" ht="15.75" customHeight="1">
      <c r="B24" s="821"/>
      <c r="C24" s="831"/>
      <c r="D24" s="819" t="s">
        <v>850</v>
      </c>
      <c r="G24" s="832">
        <f>+H24+I24</f>
        <v>-21722405</v>
      </c>
      <c r="H24" s="832">
        <f>ROUND(H21*H23,0)</f>
        <v>-12868025</v>
      </c>
      <c r="I24" s="832">
        <f>ROUND(I21*I23,0)</f>
        <v>-8854380</v>
      </c>
      <c r="J24" s="834"/>
      <c r="K24" s="992"/>
      <c r="L24" s="1090">
        <f>ROUND(L21*L23,0)</f>
        <v>-7720815</v>
      </c>
      <c r="M24" s="823"/>
      <c r="N24" s="1090">
        <f>+L24-H24</f>
        <v>5147210</v>
      </c>
      <c r="O24" s="997"/>
      <c r="P24" s="819"/>
      <c r="Q24" s="992"/>
      <c r="R24" s="1088">
        <f>+(SUM('Tab 4 Adjustment Details'!$AS$51,'Tab 4 Adjustment Details'!$AD$51:$AQ$51,'Tab 4 Adjustment Details'!$F$51:$Z$51)+SUM('Tab 4 Adjustment Details'!$AS$52,'Tab 4 Adjustment Details'!$AD$52:$AQ$52,'Tab 4 Adjustment Details'!$F$52:$Z$52))*1000</f>
        <v>-4894916.6737130508</v>
      </c>
      <c r="S24" s="823"/>
      <c r="T24" s="1090">
        <f>+R24/R23*T23</f>
        <v>-2936950.0042278306</v>
      </c>
      <c r="U24" s="823"/>
      <c r="V24" s="1090">
        <f>+T24-R24</f>
        <v>1957966.6694852202</v>
      </c>
      <c r="W24" s="997"/>
    </row>
    <row r="25" spans="1:23" ht="15.75" customHeight="1">
      <c r="B25" s="821"/>
      <c r="C25" s="831"/>
      <c r="D25" s="819"/>
      <c r="G25" s="830"/>
      <c r="H25" s="830"/>
      <c r="I25" s="830"/>
      <c r="J25" s="834"/>
      <c r="K25" s="992"/>
      <c r="L25" s="1092"/>
      <c r="M25" s="823"/>
      <c r="N25" s="1092"/>
      <c r="O25" s="997"/>
      <c r="P25" s="819"/>
      <c r="Q25" s="992"/>
      <c r="R25" s="1092"/>
      <c r="S25" s="823"/>
      <c r="T25" s="1092"/>
      <c r="U25" s="823"/>
      <c r="V25" s="1092"/>
      <c r="W25" s="997"/>
    </row>
    <row r="26" spans="1:23" ht="15.75" customHeight="1">
      <c r="A26" s="816">
        <v>19329</v>
      </c>
      <c r="B26" s="821">
        <v>1</v>
      </c>
      <c r="C26" s="831"/>
      <c r="D26" s="819" t="s">
        <v>849</v>
      </c>
      <c r="G26" s="826">
        <f>+H26+I26</f>
        <v>-166883</v>
      </c>
      <c r="H26" s="825">
        <v>-109692</v>
      </c>
      <c r="I26" s="825">
        <v>-57191</v>
      </c>
      <c r="J26" s="819" t="str">
        <f>IF(I26+H26-G26=0," ","ERROR")</f>
        <v xml:space="preserve"> </v>
      </c>
      <c r="K26" s="991"/>
      <c r="L26" s="1093">
        <v>-109692</v>
      </c>
      <c r="M26" s="823"/>
      <c r="N26" s="1093">
        <f>+L26-H26</f>
        <v>0</v>
      </c>
      <c r="O26" s="997"/>
      <c r="P26" s="819"/>
      <c r="Q26" s="991"/>
      <c r="R26" s="1093">
        <v>0</v>
      </c>
      <c r="S26" s="823"/>
      <c r="T26" s="1093">
        <v>0</v>
      </c>
      <c r="U26" s="823"/>
      <c r="V26" s="1093">
        <f t="shared" ref="V26:V27" si="0">+R26-N26</f>
        <v>0</v>
      </c>
      <c r="W26" s="997"/>
    </row>
    <row r="27" spans="1:23" ht="15.75" customHeight="1">
      <c r="A27" s="816">
        <v>61076</v>
      </c>
      <c r="B27" s="821">
        <v>1</v>
      </c>
      <c r="C27" s="831"/>
      <c r="D27" s="819" t="s">
        <v>848</v>
      </c>
      <c r="G27" s="826">
        <f>+H27+I27</f>
        <v>-19418459</v>
      </c>
      <c r="H27" s="825">
        <v>-12763753</v>
      </c>
      <c r="I27" s="825">
        <v>-6654706</v>
      </c>
      <c r="J27" s="819"/>
      <c r="K27" s="991"/>
      <c r="L27" s="1093">
        <v>-12763753</v>
      </c>
      <c r="M27" s="823"/>
      <c r="N27" s="1093">
        <f>+L27-H27</f>
        <v>0</v>
      </c>
      <c r="O27" s="997"/>
      <c r="P27" s="819"/>
      <c r="Q27" s="991"/>
      <c r="R27" s="1093">
        <v>0</v>
      </c>
      <c r="S27" s="823"/>
      <c r="T27" s="1093">
        <v>0</v>
      </c>
      <c r="U27" s="823"/>
      <c r="V27" s="1093">
        <f t="shared" si="0"/>
        <v>0</v>
      </c>
      <c r="W27" s="997"/>
    </row>
    <row r="28" spans="1:23" ht="15.75" customHeight="1">
      <c r="B28" s="821"/>
      <c r="C28" s="828"/>
      <c r="D28" s="819" t="s">
        <v>847</v>
      </c>
      <c r="G28" s="833">
        <f>+H28+I28</f>
        <v>-41307747</v>
      </c>
      <c r="H28" s="832">
        <f>+H24+H26+H27</f>
        <v>-25741470</v>
      </c>
      <c r="I28" s="832">
        <f>+I24+I26+I27</f>
        <v>-15566277</v>
      </c>
      <c r="J28" s="823"/>
      <c r="K28" s="991"/>
      <c r="L28" s="1090">
        <f>+L24+L26+L27</f>
        <v>-20594260</v>
      </c>
      <c r="M28" s="823"/>
      <c r="N28" s="1090">
        <f>+L28-H28</f>
        <v>5147210</v>
      </c>
      <c r="O28" s="997"/>
      <c r="P28" s="819"/>
      <c r="Q28" s="991"/>
      <c r="R28" s="1090">
        <f>+R24+R26+R27</f>
        <v>-4894916.6737130508</v>
      </c>
      <c r="S28" s="823"/>
      <c r="T28" s="1090">
        <f>+T24+T26+T27</f>
        <v>-2936950.0042278306</v>
      </c>
      <c r="U28" s="823"/>
      <c r="V28" s="1090">
        <f>+T28-R28</f>
        <v>1957966.6694852202</v>
      </c>
      <c r="W28" s="997"/>
    </row>
    <row r="29" spans="1:23" ht="15.75" customHeight="1">
      <c r="B29" s="821"/>
      <c r="C29" s="831"/>
      <c r="D29" s="819"/>
      <c r="G29" s="826"/>
      <c r="H29" s="830"/>
      <c r="I29" s="830"/>
      <c r="J29" s="823"/>
      <c r="K29" s="991"/>
      <c r="L29" s="1092"/>
      <c r="M29" s="823"/>
      <c r="N29" s="1092"/>
      <c r="O29" s="997"/>
      <c r="P29" s="819"/>
      <c r="Q29" s="991"/>
      <c r="R29" s="1092"/>
      <c r="S29" s="823"/>
      <c r="T29" s="1092"/>
      <c r="U29" s="823"/>
      <c r="V29" s="1092"/>
      <c r="W29" s="997"/>
    </row>
    <row r="30" spans="1:23" ht="15.75" customHeight="1">
      <c r="B30" s="821" t="s">
        <v>846</v>
      </c>
      <c r="C30" s="831"/>
      <c r="D30" s="819" t="s">
        <v>845</v>
      </c>
      <c r="G30" s="826">
        <f>+H30+I30</f>
        <v>103899953</v>
      </c>
      <c r="H30" s="830">
        <f>'Tab 5c Def. Tax Expense'!M18</f>
        <v>66436097</v>
      </c>
      <c r="I30" s="830">
        <f>'Tab 5c Def. Tax Expense'!P18</f>
        <v>37463856</v>
      </c>
      <c r="J30" s="823"/>
      <c r="K30" s="1002" t="s">
        <v>1017</v>
      </c>
      <c r="L30" s="1092">
        <f>+H30/0.35*L23</f>
        <v>39861658.199999996</v>
      </c>
      <c r="M30" s="823"/>
      <c r="N30" s="1092">
        <f t="shared" ref="N30:N31" si="1">+L30-H30</f>
        <v>-26574438.800000004</v>
      </c>
      <c r="O30" s="997"/>
      <c r="P30" s="819"/>
      <c r="Q30" s="1002"/>
      <c r="R30" s="1088">
        <f>+SUM('Tab 4 Adjustment Details'!$AS$53,'Tab 4 Adjustment Details'!$AD$53:$AQ$53,'Tab 4 Adjustment Details'!$F$53:$Z$53)*1000</f>
        <v>755000</v>
      </c>
      <c r="S30" s="823"/>
      <c r="T30" s="1092">
        <f>+R30/R23*T23</f>
        <v>453000</v>
      </c>
      <c r="U30" s="823"/>
      <c r="V30" s="1092">
        <f>+T30-R30</f>
        <v>-302000</v>
      </c>
      <c r="W30" s="997"/>
    </row>
    <row r="31" spans="1:23" ht="15.75" customHeight="1">
      <c r="A31" s="816">
        <v>58521</v>
      </c>
      <c r="B31" s="829">
        <v>1</v>
      </c>
      <c r="C31" s="828">
        <v>411400</v>
      </c>
      <c r="D31" s="819" t="s">
        <v>844</v>
      </c>
      <c r="E31" s="827"/>
      <c r="F31" s="827"/>
      <c r="G31" s="826">
        <f>+H31+I31</f>
        <v>-494274</v>
      </c>
      <c r="H31" s="825">
        <v>-324886</v>
      </c>
      <c r="I31" s="825">
        <v>-169388</v>
      </c>
      <c r="J31" s="823"/>
      <c r="K31" s="991"/>
      <c r="L31" s="1093">
        <v>-324886</v>
      </c>
      <c r="M31" s="823"/>
      <c r="N31" s="1093">
        <f t="shared" si="1"/>
        <v>0</v>
      </c>
      <c r="O31" s="997"/>
      <c r="P31" s="819"/>
      <c r="Q31" s="991"/>
      <c r="R31" s="1093">
        <v>0</v>
      </c>
      <c r="S31" s="823"/>
      <c r="T31" s="1093">
        <v>0</v>
      </c>
      <c r="U31" s="823"/>
      <c r="V31" s="1093">
        <f t="shared" ref="V31" si="2">+R31-N31</f>
        <v>0</v>
      </c>
      <c r="W31" s="997"/>
    </row>
    <row r="32" spans="1:23" ht="15.75" customHeight="1">
      <c r="B32" s="821"/>
      <c r="C32" s="820"/>
      <c r="D32" s="819" t="s">
        <v>843</v>
      </c>
      <c r="G32" s="824">
        <f>SUM(G28:G31)</f>
        <v>62097932</v>
      </c>
      <c r="H32" s="824">
        <f>SUM(H28:H31)</f>
        <v>40369741</v>
      </c>
      <c r="I32" s="824">
        <f>SUM(I28:I31)</f>
        <v>21728191</v>
      </c>
      <c r="J32" s="819" t="str">
        <f>IF(I32+H32-G32=0," ","ERROR")</f>
        <v xml:space="preserve"> </v>
      </c>
      <c r="K32" s="991"/>
      <c r="L32" s="1094">
        <f>SUM(L28:L31)</f>
        <v>18942512.199999996</v>
      </c>
      <c r="M32" s="823"/>
      <c r="N32" s="1094">
        <f>+L32-H32</f>
        <v>-21427228.800000004</v>
      </c>
      <c r="O32" s="997"/>
      <c r="P32" s="819"/>
      <c r="Q32" s="991"/>
      <c r="R32" s="1094">
        <f>SUM(R28:R31)</f>
        <v>-4139916.6737130508</v>
      </c>
      <c r="S32" s="823"/>
      <c r="T32" s="1094">
        <f>SUM(T28:T31)</f>
        <v>-2483950.0042278306</v>
      </c>
      <c r="U32" s="823"/>
      <c r="V32" s="1094">
        <f>SUM(V28:V31)</f>
        <v>1655966.6694852202</v>
      </c>
      <c r="W32" s="997"/>
    </row>
    <row r="33" spans="2:23" ht="15.75" customHeight="1">
      <c r="B33" s="821"/>
      <c r="C33" s="820"/>
      <c r="D33" s="819"/>
      <c r="G33" s="819"/>
      <c r="H33" s="819"/>
      <c r="I33" s="819"/>
      <c r="J33" s="823"/>
      <c r="K33" s="991"/>
      <c r="L33" s="1084"/>
      <c r="M33" s="823"/>
      <c r="N33" s="1084"/>
      <c r="O33" s="997"/>
      <c r="P33" s="819"/>
      <c r="Q33" s="991"/>
      <c r="R33" s="1084"/>
      <c r="S33" s="823"/>
      <c r="T33" s="1084"/>
      <c r="U33" s="823"/>
      <c r="V33" s="1084"/>
      <c r="W33" s="997"/>
    </row>
    <row r="34" spans="2:23" ht="15.75" customHeight="1">
      <c r="B34" s="819" t="s">
        <v>842</v>
      </c>
      <c r="C34" s="820"/>
      <c r="D34" s="819"/>
      <c r="F34" s="988"/>
      <c r="G34" s="989"/>
      <c r="H34" s="989"/>
      <c r="I34" s="989"/>
      <c r="J34" s="989"/>
      <c r="K34" s="993"/>
      <c r="L34" s="1087"/>
      <c r="M34" s="994"/>
      <c r="N34" s="1087"/>
      <c r="O34" s="998"/>
      <c r="P34" s="989"/>
      <c r="Q34" s="993"/>
      <c r="R34" s="1087"/>
      <c r="S34" s="994"/>
      <c r="T34" s="1087"/>
      <c r="U34" s="994"/>
      <c r="V34" s="1087"/>
      <c r="W34" s="998"/>
    </row>
    <row r="35" spans="2:23" ht="15.75" customHeight="1">
      <c r="B35" s="821" t="s">
        <v>841</v>
      </c>
      <c r="C35" s="822">
        <v>1</v>
      </c>
      <c r="D35" s="819" t="s">
        <v>1116</v>
      </c>
      <c r="F35" s="988"/>
      <c r="G35" s="990">
        <v>1</v>
      </c>
      <c r="H35" s="990">
        <v>0.6573</v>
      </c>
      <c r="I35" s="990">
        <v>0.3427</v>
      </c>
      <c r="J35" s="989"/>
      <c r="K35" s="993"/>
      <c r="L35" s="1123" t="s">
        <v>1090</v>
      </c>
      <c r="M35" s="1123"/>
      <c r="N35" s="1123"/>
      <c r="O35" s="998"/>
      <c r="P35" s="989"/>
      <c r="Q35" s="993"/>
      <c r="R35" s="1124" t="s">
        <v>1096</v>
      </c>
      <c r="S35" s="1124"/>
      <c r="T35" s="1124"/>
      <c r="U35" s="1124"/>
      <c r="V35" s="1124"/>
      <c r="W35" s="998"/>
    </row>
    <row r="36" spans="2:23" ht="15.75" customHeight="1">
      <c r="B36" s="821" t="s">
        <v>841</v>
      </c>
      <c r="C36" s="822">
        <v>99</v>
      </c>
      <c r="D36" s="819" t="s">
        <v>1117</v>
      </c>
      <c r="F36" s="988"/>
      <c r="G36" s="990">
        <v>0</v>
      </c>
      <c r="H36" s="990">
        <v>0</v>
      </c>
      <c r="I36" s="990">
        <v>0</v>
      </c>
      <c r="J36" s="990"/>
      <c r="K36" s="995"/>
      <c r="L36" s="1123"/>
      <c r="M36" s="1123"/>
      <c r="N36" s="1123"/>
      <c r="O36" s="999"/>
      <c r="P36" s="990"/>
      <c r="Q36" s="995"/>
      <c r="R36" s="1124"/>
      <c r="S36" s="1124"/>
      <c r="T36" s="1124"/>
      <c r="U36" s="1124"/>
      <c r="V36" s="1124"/>
      <c r="W36" s="999"/>
    </row>
    <row r="37" spans="2:23" ht="15.75" customHeight="1">
      <c r="B37" s="821"/>
      <c r="C37" s="822"/>
      <c r="D37" s="819"/>
      <c r="F37" s="988"/>
      <c r="G37" s="990"/>
      <c r="H37" s="990"/>
      <c r="I37" s="990"/>
      <c r="J37" s="990"/>
      <c r="K37" s="995"/>
      <c r="L37" s="1123"/>
      <c r="M37" s="1123"/>
      <c r="N37" s="1123"/>
      <c r="O37" s="999"/>
      <c r="P37" s="990"/>
      <c r="Q37" s="995"/>
      <c r="R37" s="1124"/>
      <c r="S37" s="1124"/>
      <c r="T37" s="1124"/>
      <c r="U37" s="1124"/>
      <c r="V37" s="1124"/>
      <c r="W37" s="999"/>
    </row>
    <row r="38" spans="2:23" ht="15.75" customHeight="1">
      <c r="B38" s="821"/>
      <c r="C38" s="820"/>
      <c r="D38" s="816" t="s">
        <v>840</v>
      </c>
      <c r="F38" s="988"/>
      <c r="G38" s="989"/>
      <c r="H38" s="989"/>
      <c r="I38" s="989"/>
      <c r="J38" s="989"/>
      <c r="K38" s="993"/>
      <c r="L38" s="1123"/>
      <c r="M38" s="1123"/>
      <c r="N38" s="1123"/>
      <c r="O38" s="998"/>
      <c r="P38" s="989"/>
      <c r="Q38" s="993"/>
      <c r="R38" s="1124"/>
      <c r="S38" s="1124"/>
      <c r="T38" s="1124"/>
      <c r="U38" s="1124"/>
      <c r="V38" s="1124"/>
      <c r="W38" s="998"/>
    </row>
    <row r="39" spans="2:23" ht="15.75" customHeight="1">
      <c r="D39" s="818" t="s">
        <v>839</v>
      </c>
      <c r="E39" s="818"/>
      <c r="F39" s="818"/>
      <c r="G39" s="817">
        <f>ROUND(+G32/(+G16-G18),4)</f>
        <v>0.36230000000000001</v>
      </c>
      <c r="H39" s="817">
        <f>ROUND(+H32/(+H16-H18),4)</f>
        <v>0.36170000000000002</v>
      </c>
      <c r="I39" s="817">
        <f>ROUND(+I32/(+I16-I18),4)</f>
        <v>0.36359999999999998</v>
      </c>
      <c r="K39" s="848"/>
      <c r="L39" s="1123"/>
      <c r="M39" s="1123"/>
      <c r="N39" s="1123"/>
      <c r="O39" s="846"/>
      <c r="Q39" s="848"/>
      <c r="R39" s="1124"/>
      <c r="S39" s="1124"/>
      <c r="T39" s="1124"/>
      <c r="U39" s="1124"/>
      <c r="V39" s="1124"/>
      <c r="W39" s="846"/>
    </row>
    <row r="40" spans="2:23" ht="15.75" customHeight="1">
      <c r="K40" s="848"/>
      <c r="L40" s="1123"/>
      <c r="M40" s="1123"/>
      <c r="N40" s="1123"/>
      <c r="O40" s="846"/>
      <c r="Q40" s="848"/>
      <c r="R40" s="1124"/>
      <c r="S40" s="1124"/>
      <c r="T40" s="1124"/>
      <c r="U40" s="1124"/>
      <c r="V40" s="1124"/>
      <c r="W40" s="846"/>
    </row>
    <row r="41" spans="2:23" ht="15.75" customHeight="1">
      <c r="K41" s="844"/>
      <c r="L41" s="1095"/>
      <c r="M41" s="837"/>
      <c r="N41" s="1101"/>
      <c r="O41" s="842"/>
      <c r="Q41" s="844"/>
      <c r="R41" s="1095"/>
      <c r="S41" s="837"/>
      <c r="T41" s="1095"/>
      <c r="U41" s="837"/>
      <c r="V41" s="1101"/>
      <c r="W41" s="842"/>
    </row>
  </sheetData>
  <mergeCells count="2">
    <mergeCell ref="L35:N40"/>
    <mergeCell ref="R35:V40"/>
  </mergeCells>
  <pageMargins left="0.75" right="0.75" top="0.75" bottom="0.75" header="0.5" footer="0.5"/>
  <pageSetup scale="75" fitToWidth="0" fitToHeight="0" orientation="landscape" horizontalDpi="4294967292" r:id="rId1"/>
  <headerFooter alignWithMargins="0">
    <oddFooter xml:space="preserve">&amp;CElectric Services&amp;RTab 5a Adjustment TCJA-1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E8F2F4"/>
  </sheetPr>
  <dimension ref="A1:AU88"/>
  <sheetViews>
    <sheetView tabSelected="1" zoomScaleNormal="100" workbookViewId="0">
      <pane xSplit="7" ySplit="7" topLeftCell="H47" activePane="bottomRight" state="frozen"/>
      <selection activeCell="P59" sqref="P59"/>
      <selection pane="topRight" activeCell="P59" sqref="P59"/>
      <selection pane="bottomLeft" activeCell="P59" sqref="P59"/>
      <selection pane="bottomRight" activeCell="P59" sqref="P59"/>
    </sheetView>
  </sheetViews>
  <sheetFormatPr defaultColWidth="8" defaultRowHeight="12.75"/>
  <cols>
    <col min="1" max="2" width="11.140625" style="816" customWidth="1"/>
    <col min="3" max="3" width="16.7109375" style="1198" customWidth="1"/>
    <col min="4" max="4" width="10.7109375" style="827" customWidth="1"/>
    <col min="5" max="5" width="13.5703125" style="827" customWidth="1"/>
    <col min="6" max="6" width="12.7109375" style="827" customWidth="1"/>
    <col min="7" max="7" width="2.5703125" style="827" customWidth="1"/>
    <col min="8" max="8" width="15.28515625" style="827" customWidth="1"/>
    <col min="9" max="9" width="17" style="1176" bestFit="1" customWidth="1"/>
    <col min="10" max="10" width="21.5703125" style="1176" bestFit="1" customWidth="1"/>
    <col min="11" max="11" width="15.140625" style="1176" bestFit="1" customWidth="1"/>
    <col min="12" max="12" width="17" style="1176" bestFit="1" customWidth="1"/>
    <col min="13" max="13" width="16.5703125" style="1176" bestFit="1" customWidth="1"/>
    <col min="14" max="14" width="14.7109375" style="856" hidden="1" customWidth="1"/>
    <col min="15" max="16" width="16.5703125" style="856" hidden="1" customWidth="1"/>
    <col min="17" max="17" width="6.5703125" style="816" customWidth="1"/>
    <col min="18" max="16384" width="8" style="816"/>
  </cols>
  <sheetData>
    <row r="1" spans="1:47" ht="15.75">
      <c r="C1" s="1177"/>
      <c r="D1" s="1178"/>
      <c r="E1" s="871"/>
      <c r="H1" s="871"/>
      <c r="I1" s="1150"/>
      <c r="J1" s="1150"/>
      <c r="K1" s="1150"/>
      <c r="L1" s="1150"/>
      <c r="M1" s="1150"/>
      <c r="N1" s="863"/>
      <c r="O1" s="863"/>
      <c r="P1" s="863"/>
    </row>
    <row r="2" spans="1:47" ht="15.75">
      <c r="C2" s="1179" t="s">
        <v>142</v>
      </c>
      <c r="D2" s="1180"/>
      <c r="E2" s="1096"/>
      <c r="F2" s="1181"/>
      <c r="G2" s="1151" t="s">
        <v>867</v>
      </c>
      <c r="H2" s="871"/>
      <c r="I2" s="1152"/>
      <c r="J2" s="1150" t="s">
        <v>116</v>
      </c>
      <c r="K2" s="1150"/>
      <c r="L2" s="1150"/>
      <c r="M2" s="1150"/>
      <c r="N2" s="863"/>
      <c r="O2" s="863"/>
      <c r="P2" s="863"/>
    </row>
    <row r="3" spans="1:47" ht="15.75">
      <c r="C3" s="1182" t="s">
        <v>945</v>
      </c>
      <c r="D3" s="1180"/>
      <c r="E3" s="1096"/>
      <c r="F3" s="1181"/>
      <c r="G3" s="1153" t="s">
        <v>1125</v>
      </c>
      <c r="H3" s="871" t="s">
        <v>1129</v>
      </c>
      <c r="I3" s="1152"/>
      <c r="J3" s="1150"/>
      <c r="K3" s="1150"/>
      <c r="L3" s="1150"/>
      <c r="M3" s="1150"/>
      <c r="N3" s="863"/>
      <c r="O3" s="863"/>
      <c r="P3" s="863"/>
    </row>
    <row r="4" spans="1:47" ht="15.75">
      <c r="C4" s="1183" t="s">
        <v>1123</v>
      </c>
      <c r="D4" s="1184"/>
      <c r="F4" s="1185"/>
      <c r="G4" s="1154"/>
      <c r="H4" s="871"/>
      <c r="I4" s="1155"/>
      <c r="J4" s="1150"/>
      <c r="K4" s="1150"/>
      <c r="L4" s="1150"/>
      <c r="M4" s="1150"/>
      <c r="N4" s="863"/>
      <c r="O4" s="863"/>
      <c r="P4" s="863"/>
    </row>
    <row r="5" spans="1:47" ht="15.75">
      <c r="C5" s="1186" t="s">
        <v>1127</v>
      </c>
      <c r="D5" s="1187"/>
      <c r="E5" s="1101"/>
      <c r="F5" s="1188"/>
      <c r="G5" s="1156"/>
      <c r="H5" s="871" t="s">
        <v>944</v>
      </c>
      <c r="I5" s="1150"/>
      <c r="J5" s="1150"/>
      <c r="K5" s="1157" t="s">
        <v>943</v>
      </c>
      <c r="L5" s="1157"/>
      <c r="M5" s="1157"/>
      <c r="N5" s="1017" t="s">
        <v>942</v>
      </c>
      <c r="O5" s="1017"/>
      <c r="P5" s="1017"/>
    </row>
    <row r="6" spans="1:47" ht="15.75">
      <c r="C6" s="1189" t="s">
        <v>865</v>
      </c>
      <c r="D6" s="1190"/>
      <c r="E6" s="1191" t="s">
        <v>80</v>
      </c>
      <c r="F6" s="1101"/>
      <c r="G6" s="1101"/>
      <c r="H6" s="1158" t="s">
        <v>941</v>
      </c>
      <c r="I6" s="1159" t="s">
        <v>157</v>
      </c>
      <c r="J6" s="1159" t="s">
        <v>137</v>
      </c>
      <c r="K6" s="1159" t="s">
        <v>941</v>
      </c>
      <c r="L6" s="1159" t="s">
        <v>157</v>
      </c>
      <c r="M6" s="1159" t="s">
        <v>137</v>
      </c>
      <c r="N6" s="874" t="s">
        <v>941</v>
      </c>
      <c r="O6" s="874" t="s">
        <v>157</v>
      </c>
      <c r="P6" s="874" t="s">
        <v>137</v>
      </c>
      <c r="Q6" s="836"/>
    </row>
    <row r="7" spans="1:47" ht="16.5" customHeight="1">
      <c r="A7" s="816" t="s">
        <v>941</v>
      </c>
      <c r="B7" s="816" t="s">
        <v>157</v>
      </c>
      <c r="C7" s="1177"/>
      <c r="D7" s="1178"/>
      <c r="E7" s="1192"/>
      <c r="H7" s="871"/>
      <c r="I7" s="1150"/>
      <c r="J7" s="1160"/>
      <c r="K7" s="1150"/>
      <c r="L7" s="1150"/>
      <c r="M7" s="1160"/>
      <c r="N7" s="863"/>
      <c r="O7" s="863"/>
      <c r="P7" s="863"/>
    </row>
    <row r="8" spans="1:47" s="827" customFormat="1" ht="15.75" customHeight="1">
      <c r="A8" s="827">
        <v>35594</v>
      </c>
      <c r="B8" s="827">
        <v>35851</v>
      </c>
      <c r="C8" s="1177"/>
      <c r="D8" s="1193">
        <v>997000</v>
      </c>
      <c r="E8" s="871" t="s">
        <v>940</v>
      </c>
      <c r="H8" s="1161">
        <f t="shared" ref="H8:H39" si="0">K8+N8</f>
        <v>46718535</v>
      </c>
      <c r="I8" s="1162">
        <f t="shared" ref="I8:I39" si="1">L8+O8</f>
        <v>72688641</v>
      </c>
      <c r="J8" s="1163">
        <f t="shared" ref="J8:J39" si="2">+H8+I8</f>
        <v>119407176</v>
      </c>
      <c r="K8" s="1164">
        <v>30020487</v>
      </c>
      <c r="L8" s="1164">
        <v>48587290</v>
      </c>
      <c r="M8" s="1165">
        <f t="shared" ref="M8:M39" si="3">+K8+L8</f>
        <v>78607777</v>
      </c>
      <c r="N8" s="867">
        <v>16698048</v>
      </c>
      <c r="O8" s="867">
        <v>24101351</v>
      </c>
      <c r="P8" s="872">
        <f t="shared" ref="P8:P39" si="4">N8+O8</f>
        <v>40799399</v>
      </c>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row>
    <row r="9" spans="1:47" ht="16.5" customHeight="1">
      <c r="A9" s="816">
        <v>35595</v>
      </c>
      <c r="B9" s="816">
        <v>35852</v>
      </c>
      <c r="C9" s="1194">
        <v>12</v>
      </c>
      <c r="D9" s="1193">
        <v>997001</v>
      </c>
      <c r="E9" s="871" t="s">
        <v>939</v>
      </c>
      <c r="H9" s="1166">
        <f t="shared" si="0"/>
        <v>0</v>
      </c>
      <c r="I9" s="1167">
        <f t="shared" si="1"/>
        <v>4975372</v>
      </c>
      <c r="J9" s="1165">
        <f t="shared" si="2"/>
        <v>4975372</v>
      </c>
      <c r="K9" s="1164">
        <v>0</v>
      </c>
      <c r="L9" s="1164">
        <v>3284641</v>
      </c>
      <c r="M9" s="1165">
        <f t="shared" si="3"/>
        <v>3284641</v>
      </c>
      <c r="N9" s="867">
        <v>0</v>
      </c>
      <c r="O9" s="867">
        <v>1690731</v>
      </c>
      <c r="P9" s="866">
        <f t="shared" si="4"/>
        <v>1690731</v>
      </c>
      <c r="Q9" s="819" t="str">
        <f t="shared" ref="Q9:Q42" si="5">IF(J9-M9-P9=0," ",+J9-M9-P9)</f>
        <v xml:space="preserve"> </v>
      </c>
    </row>
    <row r="10" spans="1:47" ht="16.5" customHeight="1">
      <c r="A10" s="816">
        <v>35596</v>
      </c>
      <c r="B10" s="816">
        <v>35853</v>
      </c>
      <c r="C10" s="1194">
        <v>2</v>
      </c>
      <c r="D10" s="1193">
        <v>997002</v>
      </c>
      <c r="E10" s="871" t="s">
        <v>441</v>
      </c>
      <c r="H10" s="1166">
        <f t="shared" si="0"/>
        <v>0</v>
      </c>
      <c r="I10" s="1167">
        <f t="shared" si="1"/>
        <v>19890</v>
      </c>
      <c r="J10" s="1165">
        <f t="shared" si="2"/>
        <v>19890</v>
      </c>
      <c r="K10" s="1164">
        <v>0</v>
      </c>
      <c r="L10" s="1164">
        <v>13061</v>
      </c>
      <c r="M10" s="1165">
        <f t="shared" si="3"/>
        <v>13061</v>
      </c>
      <c r="N10" s="867">
        <v>0</v>
      </c>
      <c r="O10" s="867">
        <v>6829</v>
      </c>
      <c r="P10" s="866">
        <f t="shared" si="4"/>
        <v>6829</v>
      </c>
      <c r="Q10" s="819" t="str">
        <f t="shared" si="5"/>
        <v xml:space="preserve"> </v>
      </c>
    </row>
    <row r="11" spans="1:47" ht="16.5" customHeight="1">
      <c r="A11" s="816">
        <v>35597</v>
      </c>
      <c r="B11" s="816">
        <v>35854</v>
      </c>
      <c r="C11" s="1194">
        <v>12</v>
      </c>
      <c r="D11" s="1193">
        <v>997003</v>
      </c>
      <c r="E11" s="1084" t="s">
        <v>938</v>
      </c>
      <c r="H11" s="1166">
        <f t="shared" si="0"/>
        <v>0</v>
      </c>
      <c r="I11" s="1167">
        <f t="shared" si="1"/>
        <v>0</v>
      </c>
      <c r="J11" s="1165">
        <f t="shared" si="2"/>
        <v>0</v>
      </c>
      <c r="K11" s="1164">
        <v>0</v>
      </c>
      <c r="L11" s="1164">
        <v>0</v>
      </c>
      <c r="M11" s="1165">
        <f t="shared" si="3"/>
        <v>0</v>
      </c>
      <c r="N11" s="867">
        <v>0</v>
      </c>
      <c r="O11" s="867">
        <v>0</v>
      </c>
      <c r="P11" s="866">
        <f t="shared" si="4"/>
        <v>0</v>
      </c>
      <c r="Q11" s="819" t="str">
        <f t="shared" si="5"/>
        <v xml:space="preserve"> </v>
      </c>
    </row>
    <row r="12" spans="1:47" ht="16.5" customHeight="1">
      <c r="A12" s="816">
        <v>35598</v>
      </c>
      <c r="B12" s="816">
        <v>35855</v>
      </c>
      <c r="C12" s="1194">
        <v>99</v>
      </c>
      <c r="D12" s="1193">
        <v>997004</v>
      </c>
      <c r="E12" s="871" t="s">
        <v>937</v>
      </c>
      <c r="H12" s="1166">
        <f t="shared" si="0"/>
        <v>-112280</v>
      </c>
      <c r="I12" s="1167">
        <f t="shared" si="1"/>
        <v>0</v>
      </c>
      <c r="J12" s="1165">
        <f t="shared" si="2"/>
        <v>-112280</v>
      </c>
      <c r="K12" s="1164">
        <v>0</v>
      </c>
      <c r="L12" s="1164">
        <v>0</v>
      </c>
      <c r="M12" s="1165">
        <f t="shared" si="3"/>
        <v>0</v>
      </c>
      <c r="N12" s="867">
        <v>-112280</v>
      </c>
      <c r="O12" s="867">
        <v>0</v>
      </c>
      <c r="P12" s="866">
        <f t="shared" si="4"/>
        <v>-112280</v>
      </c>
      <c r="Q12" s="819" t="str">
        <f t="shared" si="5"/>
        <v xml:space="preserve"> </v>
      </c>
    </row>
    <row r="13" spans="1:47" ht="16.5" customHeight="1">
      <c r="A13" s="816">
        <v>35599</v>
      </c>
      <c r="B13" s="816">
        <v>35856</v>
      </c>
      <c r="C13" s="1194">
        <v>4</v>
      </c>
      <c r="D13" s="1193">
        <v>997005</v>
      </c>
      <c r="E13" s="871" t="s">
        <v>936</v>
      </c>
      <c r="H13" s="1166">
        <f t="shared" si="0"/>
        <v>0</v>
      </c>
      <c r="I13" s="1167">
        <f t="shared" si="1"/>
        <v>2392390</v>
      </c>
      <c r="J13" s="1165">
        <f t="shared" si="2"/>
        <v>2392390</v>
      </c>
      <c r="K13" s="1164">
        <v>0</v>
      </c>
      <c r="L13" s="1164">
        <v>1633285</v>
      </c>
      <c r="M13" s="1165">
        <f t="shared" si="3"/>
        <v>1633285</v>
      </c>
      <c r="N13" s="867">
        <v>0</v>
      </c>
      <c r="O13" s="867">
        <v>759105</v>
      </c>
      <c r="P13" s="866">
        <f t="shared" si="4"/>
        <v>759105</v>
      </c>
      <c r="Q13" s="819" t="str">
        <f t="shared" si="5"/>
        <v xml:space="preserve"> </v>
      </c>
    </row>
    <row r="14" spans="1:47" ht="16.5" customHeight="1">
      <c r="A14" s="816">
        <v>35600</v>
      </c>
      <c r="B14" s="816">
        <v>35857</v>
      </c>
      <c r="C14" s="1194">
        <v>99</v>
      </c>
      <c r="D14" s="1193">
        <v>997007</v>
      </c>
      <c r="E14" s="871" t="s">
        <v>935</v>
      </c>
      <c r="H14" s="1166">
        <f t="shared" si="0"/>
        <v>2409218</v>
      </c>
      <c r="I14" s="1167">
        <f t="shared" si="1"/>
        <v>0</v>
      </c>
      <c r="J14" s="1165">
        <f t="shared" si="2"/>
        <v>2409218</v>
      </c>
      <c r="K14" s="1164">
        <v>0</v>
      </c>
      <c r="L14" s="1164">
        <v>0</v>
      </c>
      <c r="M14" s="1165">
        <f t="shared" si="3"/>
        <v>0</v>
      </c>
      <c r="N14" s="867">
        <v>2409218</v>
      </c>
      <c r="O14" s="867">
        <v>0</v>
      </c>
      <c r="P14" s="866">
        <f t="shared" si="4"/>
        <v>2409218</v>
      </c>
      <c r="Q14" s="819" t="str">
        <f t="shared" si="5"/>
        <v xml:space="preserve"> </v>
      </c>
    </row>
    <row r="15" spans="1:47" ht="16.5" customHeight="1">
      <c r="A15" s="816">
        <v>35601</v>
      </c>
      <c r="B15" s="816">
        <v>35858</v>
      </c>
      <c r="C15" s="1194" t="s">
        <v>889</v>
      </c>
      <c r="D15" s="1193">
        <v>997008</v>
      </c>
      <c r="E15" s="871" t="s">
        <v>934</v>
      </c>
      <c r="H15" s="1166">
        <f t="shared" si="0"/>
        <v>0</v>
      </c>
      <c r="I15" s="1167">
        <f t="shared" si="1"/>
        <v>0</v>
      </c>
      <c r="J15" s="1165">
        <f t="shared" si="2"/>
        <v>0</v>
      </c>
      <c r="K15" s="1164">
        <v>0</v>
      </c>
      <c r="L15" s="1164">
        <v>0</v>
      </c>
      <c r="M15" s="1165">
        <f t="shared" si="3"/>
        <v>0</v>
      </c>
      <c r="N15" s="867">
        <v>0</v>
      </c>
      <c r="O15" s="867">
        <v>0</v>
      </c>
      <c r="P15" s="866">
        <f t="shared" si="4"/>
        <v>0</v>
      </c>
      <c r="Q15" s="819" t="str">
        <f t="shared" si="5"/>
        <v xml:space="preserve"> </v>
      </c>
    </row>
    <row r="16" spans="1:47" ht="16.5" customHeight="1">
      <c r="A16" s="816">
        <v>35602</v>
      </c>
      <c r="B16" s="816">
        <v>35859</v>
      </c>
      <c r="C16" s="1194">
        <v>1</v>
      </c>
      <c r="D16" s="1193">
        <v>997009</v>
      </c>
      <c r="E16" s="871" t="s">
        <v>933</v>
      </c>
      <c r="H16" s="1166">
        <f t="shared" si="0"/>
        <v>0</v>
      </c>
      <c r="I16" s="1167">
        <f t="shared" si="1"/>
        <v>0</v>
      </c>
      <c r="J16" s="1165">
        <f t="shared" si="2"/>
        <v>0</v>
      </c>
      <c r="K16" s="1164">
        <v>0</v>
      </c>
      <c r="L16" s="1164">
        <v>0</v>
      </c>
      <c r="M16" s="1165">
        <f t="shared" si="3"/>
        <v>0</v>
      </c>
      <c r="N16" s="867">
        <v>0</v>
      </c>
      <c r="O16" s="867">
        <v>0</v>
      </c>
      <c r="P16" s="866">
        <f t="shared" si="4"/>
        <v>0</v>
      </c>
      <c r="Q16" s="819" t="str">
        <f t="shared" si="5"/>
        <v xml:space="preserve"> </v>
      </c>
    </row>
    <row r="17" spans="1:17" ht="16.5" customHeight="1">
      <c r="A17" s="816">
        <v>35606</v>
      </c>
      <c r="B17" s="816">
        <v>35863</v>
      </c>
      <c r="C17" s="1194">
        <v>4</v>
      </c>
      <c r="D17" s="1193">
        <v>997015</v>
      </c>
      <c r="E17" s="871" t="s">
        <v>932</v>
      </c>
      <c r="H17" s="1166">
        <f t="shared" si="0"/>
        <v>0</v>
      </c>
      <c r="I17" s="1167">
        <f t="shared" si="1"/>
        <v>621725</v>
      </c>
      <c r="J17" s="1165">
        <f t="shared" si="2"/>
        <v>621725</v>
      </c>
      <c r="K17" s="1164">
        <v>0</v>
      </c>
      <c r="L17" s="1164">
        <v>424452</v>
      </c>
      <c r="M17" s="1165">
        <f t="shared" si="3"/>
        <v>424452</v>
      </c>
      <c r="N17" s="867">
        <v>0</v>
      </c>
      <c r="O17" s="867">
        <v>197273</v>
      </c>
      <c r="P17" s="866">
        <f t="shared" si="4"/>
        <v>197273</v>
      </c>
      <c r="Q17" s="819" t="str">
        <f t="shared" si="5"/>
        <v xml:space="preserve"> </v>
      </c>
    </row>
    <row r="18" spans="1:17" ht="16.5" customHeight="1">
      <c r="A18" s="816">
        <v>35607</v>
      </c>
      <c r="B18" s="816">
        <v>35864</v>
      </c>
      <c r="C18" s="1194">
        <v>12</v>
      </c>
      <c r="D18" s="1193">
        <v>997016</v>
      </c>
      <c r="E18" s="871" t="s">
        <v>931</v>
      </c>
      <c r="H18" s="1166">
        <f t="shared" si="0"/>
        <v>0</v>
      </c>
      <c r="I18" s="1167">
        <f t="shared" si="1"/>
        <v>1273551</v>
      </c>
      <c r="J18" s="1165">
        <f t="shared" si="2"/>
        <v>1273551</v>
      </c>
      <c r="K18" s="1164">
        <v>0</v>
      </c>
      <c r="L18" s="1164">
        <v>840773</v>
      </c>
      <c r="M18" s="1165">
        <f t="shared" si="3"/>
        <v>840773</v>
      </c>
      <c r="N18" s="867">
        <v>0</v>
      </c>
      <c r="O18" s="867">
        <v>432778</v>
      </c>
      <c r="P18" s="866">
        <f t="shared" si="4"/>
        <v>432778</v>
      </c>
      <c r="Q18" s="819" t="str">
        <f t="shared" si="5"/>
        <v xml:space="preserve"> </v>
      </c>
    </row>
    <row r="19" spans="1:17" ht="16.5" customHeight="1">
      <c r="A19" s="816">
        <v>35609</v>
      </c>
      <c r="B19" s="816">
        <v>35866</v>
      </c>
      <c r="C19" s="1194" t="s">
        <v>873</v>
      </c>
      <c r="D19" s="1193">
        <v>997017</v>
      </c>
      <c r="E19" s="871" t="s">
        <v>930</v>
      </c>
      <c r="H19" s="1166">
        <f t="shared" si="0"/>
        <v>2450031</v>
      </c>
      <c r="I19" s="1167">
        <f t="shared" si="1"/>
        <v>0</v>
      </c>
      <c r="J19" s="1165">
        <f t="shared" si="2"/>
        <v>2450031</v>
      </c>
      <c r="K19" s="1164">
        <v>2450031</v>
      </c>
      <c r="L19" s="1164">
        <v>0</v>
      </c>
      <c r="M19" s="1165">
        <f t="shared" si="3"/>
        <v>2450031</v>
      </c>
      <c r="N19" s="867">
        <v>0</v>
      </c>
      <c r="O19" s="867">
        <v>0</v>
      </c>
      <c r="P19" s="866">
        <f t="shared" si="4"/>
        <v>0</v>
      </c>
      <c r="Q19" s="819" t="str">
        <f t="shared" si="5"/>
        <v xml:space="preserve"> </v>
      </c>
    </row>
    <row r="20" spans="1:17" ht="16.5" customHeight="1">
      <c r="A20" s="816">
        <v>35610</v>
      </c>
      <c r="B20" s="816">
        <v>35867</v>
      </c>
      <c r="C20" s="1194" t="s">
        <v>889</v>
      </c>
      <c r="D20" s="1193">
        <v>997018</v>
      </c>
      <c r="E20" s="871" t="s">
        <v>929</v>
      </c>
      <c r="H20" s="1166">
        <f t="shared" si="0"/>
        <v>-13142441</v>
      </c>
      <c r="I20" s="1167">
        <f t="shared" si="1"/>
        <v>0</v>
      </c>
      <c r="J20" s="1165">
        <f t="shared" si="2"/>
        <v>-13142441</v>
      </c>
      <c r="K20" s="1164">
        <v>-7628074</v>
      </c>
      <c r="L20" s="1164">
        <v>0</v>
      </c>
      <c r="M20" s="1165">
        <f t="shared" si="3"/>
        <v>-7628074</v>
      </c>
      <c r="N20" s="867">
        <v>-5514367</v>
      </c>
      <c r="O20" s="867">
        <v>0</v>
      </c>
      <c r="P20" s="866">
        <f t="shared" si="4"/>
        <v>-5514367</v>
      </c>
      <c r="Q20" s="819" t="str">
        <f t="shared" si="5"/>
        <v xml:space="preserve"> </v>
      </c>
    </row>
    <row r="21" spans="1:17" ht="16.5" customHeight="1">
      <c r="A21" s="816">
        <v>35612</v>
      </c>
      <c r="B21" s="816">
        <v>35869</v>
      </c>
      <c r="C21" s="1194" t="s">
        <v>873</v>
      </c>
      <c r="D21" s="1193">
        <v>997019</v>
      </c>
      <c r="E21" s="871" t="s">
        <v>928</v>
      </c>
      <c r="H21" s="1166">
        <f t="shared" si="0"/>
        <v>0</v>
      </c>
      <c r="I21" s="1167">
        <f t="shared" si="1"/>
        <v>0</v>
      </c>
      <c r="J21" s="1165">
        <f t="shared" si="2"/>
        <v>0</v>
      </c>
      <c r="K21" s="1164">
        <v>0</v>
      </c>
      <c r="L21" s="1164">
        <v>0</v>
      </c>
      <c r="M21" s="1165">
        <f t="shared" si="3"/>
        <v>0</v>
      </c>
      <c r="N21" s="867">
        <v>0</v>
      </c>
      <c r="O21" s="867">
        <v>0</v>
      </c>
      <c r="P21" s="866">
        <f t="shared" si="4"/>
        <v>0</v>
      </c>
      <c r="Q21" s="819" t="str">
        <f t="shared" si="5"/>
        <v xml:space="preserve"> </v>
      </c>
    </row>
    <row r="22" spans="1:17" ht="16.5" customHeight="1">
      <c r="A22" s="816">
        <v>35613</v>
      </c>
      <c r="B22" s="816">
        <v>35870</v>
      </c>
      <c r="C22" s="1194">
        <v>4</v>
      </c>
      <c r="D22" s="1193">
        <v>997020</v>
      </c>
      <c r="E22" s="871" t="s">
        <v>927</v>
      </c>
      <c r="H22" s="1166">
        <f t="shared" si="0"/>
        <v>0</v>
      </c>
      <c r="I22" s="1167">
        <f t="shared" si="1"/>
        <v>1499678</v>
      </c>
      <c r="J22" s="1165">
        <f t="shared" si="2"/>
        <v>1499678</v>
      </c>
      <c r="K22" s="1164">
        <v>0</v>
      </c>
      <c r="L22" s="1164">
        <v>1023830</v>
      </c>
      <c r="M22" s="1165">
        <f t="shared" si="3"/>
        <v>1023830</v>
      </c>
      <c r="N22" s="867">
        <v>0</v>
      </c>
      <c r="O22" s="867">
        <v>475848</v>
      </c>
      <c r="P22" s="866">
        <f t="shared" si="4"/>
        <v>475848</v>
      </c>
      <c r="Q22" s="819" t="str">
        <f t="shared" si="5"/>
        <v xml:space="preserve"> </v>
      </c>
    </row>
    <row r="23" spans="1:17" ht="16.5" customHeight="1">
      <c r="A23" s="816">
        <v>35614</v>
      </c>
      <c r="B23" s="816">
        <v>35871</v>
      </c>
      <c r="C23" s="1194">
        <v>99</v>
      </c>
      <c r="D23" s="1193">
        <v>997021</v>
      </c>
      <c r="E23" s="871" t="s">
        <v>926</v>
      </c>
      <c r="H23" s="1166">
        <f t="shared" si="0"/>
        <v>0</v>
      </c>
      <c r="I23" s="1167">
        <f t="shared" si="1"/>
        <v>0</v>
      </c>
      <c r="J23" s="1165">
        <f t="shared" si="2"/>
        <v>0</v>
      </c>
      <c r="K23" s="1164">
        <v>0</v>
      </c>
      <c r="L23" s="1164">
        <v>0</v>
      </c>
      <c r="M23" s="1165">
        <f t="shared" si="3"/>
        <v>0</v>
      </c>
      <c r="N23" s="867">
        <v>0</v>
      </c>
      <c r="O23" s="867">
        <v>0</v>
      </c>
      <c r="P23" s="866">
        <f t="shared" si="4"/>
        <v>0</v>
      </c>
      <c r="Q23" s="819" t="str">
        <f t="shared" si="5"/>
        <v xml:space="preserve"> </v>
      </c>
    </row>
    <row r="24" spans="1:17" ht="16.5" customHeight="1">
      <c r="A24" s="816">
        <v>35615</v>
      </c>
      <c r="B24" s="816">
        <v>35872</v>
      </c>
      <c r="C24" s="1194">
        <v>99</v>
      </c>
      <c r="D24" s="1193">
        <v>997024</v>
      </c>
      <c r="E24" s="871" t="s">
        <v>925</v>
      </c>
      <c r="H24" s="1166">
        <f t="shared" si="0"/>
        <v>-134592</v>
      </c>
      <c r="I24" s="1167">
        <f t="shared" si="1"/>
        <v>0</v>
      </c>
      <c r="J24" s="1165">
        <f t="shared" si="2"/>
        <v>-134592</v>
      </c>
      <c r="K24" s="1164">
        <v>-134592</v>
      </c>
      <c r="L24" s="1164">
        <v>0</v>
      </c>
      <c r="M24" s="1165">
        <f t="shared" si="3"/>
        <v>-134592</v>
      </c>
      <c r="N24" s="867">
        <v>0</v>
      </c>
      <c r="O24" s="867">
        <v>0</v>
      </c>
      <c r="P24" s="866">
        <f t="shared" si="4"/>
        <v>0</v>
      </c>
      <c r="Q24" s="819" t="str">
        <f t="shared" si="5"/>
        <v xml:space="preserve"> </v>
      </c>
    </row>
    <row r="25" spans="1:17" ht="16.5" customHeight="1">
      <c r="A25" s="816">
        <v>35617</v>
      </c>
      <c r="B25" s="816">
        <v>35874</v>
      </c>
      <c r="C25" s="1194">
        <v>2</v>
      </c>
      <c r="D25" s="1193">
        <v>997027</v>
      </c>
      <c r="E25" s="871" t="s">
        <v>924</v>
      </c>
      <c r="H25" s="1166">
        <f t="shared" si="0"/>
        <v>0</v>
      </c>
      <c r="I25" s="1167">
        <f t="shared" si="1"/>
        <v>0</v>
      </c>
      <c r="J25" s="1165">
        <f t="shared" si="2"/>
        <v>0</v>
      </c>
      <c r="K25" s="1164">
        <v>0</v>
      </c>
      <c r="L25" s="1164">
        <v>0</v>
      </c>
      <c r="M25" s="1165">
        <f t="shared" si="3"/>
        <v>0</v>
      </c>
      <c r="N25" s="867">
        <v>0</v>
      </c>
      <c r="O25" s="867">
        <v>0</v>
      </c>
      <c r="P25" s="866">
        <f t="shared" si="4"/>
        <v>0</v>
      </c>
      <c r="Q25" s="819" t="str">
        <f t="shared" si="5"/>
        <v xml:space="preserve"> </v>
      </c>
    </row>
    <row r="26" spans="1:17" ht="16.5" customHeight="1">
      <c r="A26" s="816">
        <v>35618</v>
      </c>
      <c r="B26" s="816">
        <v>35875</v>
      </c>
      <c r="C26" s="1194">
        <v>99</v>
      </c>
      <c r="D26" s="1193">
        <v>997028</v>
      </c>
      <c r="E26" s="871" t="s">
        <v>923</v>
      </c>
      <c r="H26" s="1166">
        <f t="shared" si="0"/>
        <v>0</v>
      </c>
      <c r="I26" s="1167">
        <f t="shared" si="1"/>
        <v>0</v>
      </c>
      <c r="J26" s="1165">
        <f t="shared" si="2"/>
        <v>0</v>
      </c>
      <c r="K26" s="1164">
        <v>0</v>
      </c>
      <c r="L26" s="1164">
        <v>0</v>
      </c>
      <c r="M26" s="1165">
        <f t="shared" si="3"/>
        <v>0</v>
      </c>
      <c r="N26" s="867">
        <v>0</v>
      </c>
      <c r="O26" s="867">
        <v>0</v>
      </c>
      <c r="P26" s="866">
        <f t="shared" si="4"/>
        <v>0</v>
      </c>
      <c r="Q26" s="819" t="str">
        <f t="shared" si="5"/>
        <v xml:space="preserve"> </v>
      </c>
    </row>
    <row r="27" spans="1:17" ht="16.5" customHeight="1">
      <c r="A27" s="816">
        <v>35619</v>
      </c>
      <c r="B27" s="816">
        <v>35876</v>
      </c>
      <c r="C27" s="1194" t="s">
        <v>889</v>
      </c>
      <c r="D27" s="1193">
        <v>997029</v>
      </c>
      <c r="E27" s="871" t="s">
        <v>922</v>
      </c>
      <c r="H27" s="1166">
        <f t="shared" si="0"/>
        <v>0</v>
      </c>
      <c r="I27" s="1167">
        <f t="shared" si="1"/>
        <v>0</v>
      </c>
      <c r="J27" s="1165">
        <f t="shared" si="2"/>
        <v>0</v>
      </c>
      <c r="K27" s="1164">
        <v>0</v>
      </c>
      <c r="L27" s="1164">
        <v>0</v>
      </c>
      <c r="M27" s="1165">
        <f t="shared" si="3"/>
        <v>0</v>
      </c>
      <c r="N27" s="867">
        <v>0</v>
      </c>
      <c r="O27" s="867">
        <v>0</v>
      </c>
      <c r="P27" s="866">
        <f t="shared" si="4"/>
        <v>0</v>
      </c>
      <c r="Q27" s="819" t="str">
        <f t="shared" si="5"/>
        <v xml:space="preserve"> </v>
      </c>
    </row>
    <row r="28" spans="1:17" ht="16.5" customHeight="1">
      <c r="A28" s="827">
        <v>35621</v>
      </c>
      <c r="B28" s="827">
        <v>35878</v>
      </c>
      <c r="C28" s="1194">
        <v>99</v>
      </c>
      <c r="D28" s="1193">
        <v>997031</v>
      </c>
      <c r="E28" s="871" t="s">
        <v>921</v>
      </c>
      <c r="H28" s="1166">
        <f t="shared" si="0"/>
        <v>-17391414</v>
      </c>
      <c r="I28" s="1167">
        <f t="shared" si="1"/>
        <v>0</v>
      </c>
      <c r="J28" s="1165">
        <f t="shared" si="2"/>
        <v>-17391414</v>
      </c>
      <c r="K28" s="1164">
        <v>-11366615</v>
      </c>
      <c r="L28" s="1164">
        <v>0</v>
      </c>
      <c r="M28" s="1165">
        <f t="shared" si="3"/>
        <v>-11366615</v>
      </c>
      <c r="N28" s="867">
        <v>-6024799</v>
      </c>
      <c r="O28" s="867">
        <v>0</v>
      </c>
      <c r="P28" s="866">
        <f t="shared" si="4"/>
        <v>-6024799</v>
      </c>
      <c r="Q28" s="819" t="str">
        <f t="shared" si="5"/>
        <v xml:space="preserve"> </v>
      </c>
    </row>
    <row r="29" spans="1:17" ht="16.5" customHeight="1">
      <c r="A29" s="816">
        <v>35622</v>
      </c>
      <c r="B29" s="816">
        <v>35879</v>
      </c>
      <c r="C29" s="1194">
        <v>12</v>
      </c>
      <c r="D29" s="1193">
        <v>997032</v>
      </c>
      <c r="E29" s="871" t="s">
        <v>920</v>
      </c>
      <c r="H29" s="1166">
        <f t="shared" si="0"/>
        <v>0</v>
      </c>
      <c r="I29" s="1167">
        <f t="shared" si="1"/>
        <v>-37747008</v>
      </c>
      <c r="J29" s="1165">
        <f t="shared" si="2"/>
        <v>-37747008</v>
      </c>
      <c r="K29" s="1164">
        <v>0</v>
      </c>
      <c r="L29" s="1164">
        <v>-24919820</v>
      </c>
      <c r="M29" s="1165">
        <f t="shared" si="3"/>
        <v>-24919820</v>
      </c>
      <c r="N29" s="867">
        <v>0</v>
      </c>
      <c r="O29" s="867">
        <v>-12827188</v>
      </c>
      <c r="P29" s="866">
        <f t="shared" si="4"/>
        <v>-12827188</v>
      </c>
      <c r="Q29" s="819" t="str">
        <f t="shared" si="5"/>
        <v xml:space="preserve"> </v>
      </c>
    </row>
    <row r="30" spans="1:17" ht="16.5" customHeight="1">
      <c r="A30" s="816">
        <v>35623</v>
      </c>
      <c r="B30" s="816">
        <v>35880</v>
      </c>
      <c r="C30" s="1194" t="s">
        <v>889</v>
      </c>
      <c r="D30" s="1193">
        <v>997033</v>
      </c>
      <c r="E30" s="871" t="s">
        <v>919</v>
      </c>
      <c r="H30" s="1166">
        <f t="shared" si="0"/>
        <v>239001</v>
      </c>
      <c r="I30" s="1167">
        <f t="shared" si="1"/>
        <v>0</v>
      </c>
      <c r="J30" s="1165">
        <f t="shared" si="2"/>
        <v>239001</v>
      </c>
      <c r="K30" s="1164">
        <v>167169</v>
      </c>
      <c r="L30" s="1164">
        <v>0</v>
      </c>
      <c r="M30" s="1165">
        <f t="shared" si="3"/>
        <v>167169</v>
      </c>
      <c r="N30" s="867">
        <v>71832</v>
      </c>
      <c r="O30" s="867">
        <v>0</v>
      </c>
      <c r="P30" s="866">
        <f t="shared" si="4"/>
        <v>71832</v>
      </c>
      <c r="Q30" s="819" t="str">
        <f t="shared" si="5"/>
        <v xml:space="preserve"> </v>
      </c>
    </row>
    <row r="31" spans="1:17" ht="16.5" customHeight="1">
      <c r="A31" s="816">
        <v>35626</v>
      </c>
      <c r="B31" s="816">
        <v>35883</v>
      </c>
      <c r="C31" s="1194">
        <v>99</v>
      </c>
      <c r="D31" s="1193">
        <v>997034</v>
      </c>
      <c r="E31" s="871" t="s">
        <v>918</v>
      </c>
      <c r="H31" s="1166">
        <f t="shared" si="0"/>
        <v>947097</v>
      </c>
      <c r="I31" s="1167">
        <f t="shared" si="1"/>
        <v>0</v>
      </c>
      <c r="J31" s="1165">
        <f t="shared" si="2"/>
        <v>947097</v>
      </c>
      <c r="K31" s="1164">
        <v>676584</v>
      </c>
      <c r="L31" s="1164">
        <v>0</v>
      </c>
      <c r="M31" s="1165">
        <f t="shared" si="3"/>
        <v>676584</v>
      </c>
      <c r="N31" s="867">
        <v>270513</v>
      </c>
      <c r="O31" s="867">
        <v>0</v>
      </c>
      <c r="P31" s="866">
        <f t="shared" si="4"/>
        <v>270513</v>
      </c>
      <c r="Q31" s="819" t="str">
        <f t="shared" si="5"/>
        <v xml:space="preserve"> </v>
      </c>
    </row>
    <row r="32" spans="1:17" ht="16.5" customHeight="1">
      <c r="A32" s="816">
        <v>35638</v>
      </c>
      <c r="B32" s="816">
        <v>35895</v>
      </c>
      <c r="C32" s="1194">
        <v>1</v>
      </c>
      <c r="D32" s="1193">
        <v>997041</v>
      </c>
      <c r="E32" s="871" t="s">
        <v>917</v>
      </c>
      <c r="H32" s="1166">
        <f t="shared" si="0"/>
        <v>0</v>
      </c>
      <c r="I32" s="1167">
        <f t="shared" si="1"/>
        <v>-287728</v>
      </c>
      <c r="J32" s="1165">
        <f t="shared" si="2"/>
        <v>-287728</v>
      </c>
      <c r="K32" s="1164">
        <v>0</v>
      </c>
      <c r="L32" s="1164">
        <v>-189124</v>
      </c>
      <c r="M32" s="1165">
        <f t="shared" si="3"/>
        <v>-189124</v>
      </c>
      <c r="N32" s="867">
        <v>0</v>
      </c>
      <c r="O32" s="867">
        <v>-98604</v>
      </c>
      <c r="P32" s="866">
        <f t="shared" si="4"/>
        <v>-98604</v>
      </c>
      <c r="Q32" s="819" t="str">
        <f t="shared" si="5"/>
        <v xml:space="preserve"> </v>
      </c>
    </row>
    <row r="33" spans="1:17" ht="16.5" customHeight="1">
      <c r="A33" s="816">
        <v>35639</v>
      </c>
      <c r="B33" s="816">
        <v>35896</v>
      </c>
      <c r="C33" s="1194">
        <v>99</v>
      </c>
      <c r="D33" s="1193">
        <v>997043</v>
      </c>
      <c r="E33" s="871" t="s">
        <v>916</v>
      </c>
      <c r="H33" s="1166">
        <f t="shared" si="0"/>
        <v>2898974</v>
      </c>
      <c r="I33" s="1167">
        <f t="shared" si="1"/>
        <v>0</v>
      </c>
      <c r="J33" s="1165">
        <f t="shared" si="2"/>
        <v>2898974</v>
      </c>
      <c r="K33" s="1164">
        <v>2898974</v>
      </c>
      <c r="L33" s="1164">
        <v>0</v>
      </c>
      <c r="M33" s="1165">
        <f t="shared" si="3"/>
        <v>2898974</v>
      </c>
      <c r="N33" s="867">
        <v>0</v>
      </c>
      <c r="O33" s="867">
        <v>0</v>
      </c>
      <c r="P33" s="866">
        <f t="shared" si="4"/>
        <v>0</v>
      </c>
      <c r="Q33" s="819" t="str">
        <f t="shared" si="5"/>
        <v xml:space="preserve"> </v>
      </c>
    </row>
    <row r="34" spans="1:17" ht="16.5" customHeight="1">
      <c r="A34" s="816">
        <v>35640</v>
      </c>
      <c r="B34" s="816">
        <v>35897</v>
      </c>
      <c r="C34" s="1194">
        <v>1</v>
      </c>
      <c r="D34" s="1193">
        <v>997044</v>
      </c>
      <c r="E34" s="871" t="s">
        <v>915</v>
      </c>
      <c r="H34" s="1166">
        <f t="shared" si="0"/>
        <v>0</v>
      </c>
      <c r="I34" s="1167">
        <f t="shared" si="1"/>
        <v>21358</v>
      </c>
      <c r="J34" s="1165">
        <f t="shared" si="2"/>
        <v>21358</v>
      </c>
      <c r="K34" s="1164">
        <v>0</v>
      </c>
      <c r="L34" s="1164">
        <v>14039</v>
      </c>
      <c r="M34" s="1165">
        <f t="shared" si="3"/>
        <v>14039</v>
      </c>
      <c r="N34" s="867">
        <v>0</v>
      </c>
      <c r="O34" s="867">
        <v>7319</v>
      </c>
      <c r="P34" s="866">
        <f t="shared" si="4"/>
        <v>7319</v>
      </c>
      <c r="Q34" s="819" t="str">
        <f t="shared" si="5"/>
        <v xml:space="preserve"> </v>
      </c>
    </row>
    <row r="35" spans="1:17" ht="16.5" customHeight="1">
      <c r="A35" s="816">
        <v>35641</v>
      </c>
      <c r="B35" s="816">
        <v>35898</v>
      </c>
      <c r="C35" s="1194">
        <v>1</v>
      </c>
      <c r="D35" s="1193">
        <v>997045</v>
      </c>
      <c r="E35" s="871" t="s">
        <v>914</v>
      </c>
      <c r="H35" s="1166">
        <f t="shared" si="0"/>
        <v>0</v>
      </c>
      <c r="I35" s="1167">
        <f t="shared" si="1"/>
        <v>0</v>
      </c>
      <c r="J35" s="1165">
        <f t="shared" si="2"/>
        <v>0</v>
      </c>
      <c r="K35" s="1164">
        <v>0</v>
      </c>
      <c r="L35" s="1164">
        <v>0</v>
      </c>
      <c r="M35" s="1165">
        <f t="shared" si="3"/>
        <v>0</v>
      </c>
      <c r="N35" s="867">
        <v>0</v>
      </c>
      <c r="O35" s="867">
        <v>0</v>
      </c>
      <c r="P35" s="866">
        <f t="shared" si="4"/>
        <v>0</v>
      </c>
      <c r="Q35" s="819" t="str">
        <f t="shared" si="5"/>
        <v xml:space="preserve"> </v>
      </c>
    </row>
    <row r="36" spans="1:17" ht="16.5" customHeight="1">
      <c r="A36" s="816">
        <v>35642</v>
      </c>
      <c r="B36" s="816">
        <v>35899</v>
      </c>
      <c r="C36" s="1194" t="s">
        <v>873</v>
      </c>
      <c r="D36" s="1193">
        <v>997046</v>
      </c>
      <c r="E36" s="871" t="s">
        <v>913</v>
      </c>
      <c r="H36" s="1166">
        <f t="shared" si="0"/>
        <v>-16796</v>
      </c>
      <c r="I36" s="1167">
        <f t="shared" si="1"/>
        <v>0</v>
      </c>
      <c r="J36" s="1165">
        <f t="shared" si="2"/>
        <v>-16796</v>
      </c>
      <c r="K36" s="1164">
        <v>-22008</v>
      </c>
      <c r="L36" s="1164">
        <v>0</v>
      </c>
      <c r="M36" s="1165">
        <f t="shared" si="3"/>
        <v>-22008</v>
      </c>
      <c r="N36" s="867">
        <v>5212</v>
      </c>
      <c r="O36" s="867">
        <v>0</v>
      </c>
      <c r="P36" s="866">
        <f t="shared" si="4"/>
        <v>5212</v>
      </c>
      <c r="Q36" s="819" t="str">
        <f t="shared" si="5"/>
        <v xml:space="preserve"> </v>
      </c>
    </row>
    <row r="37" spans="1:17" ht="16.5" customHeight="1">
      <c r="A37" s="816">
        <v>35643</v>
      </c>
      <c r="B37" s="816">
        <v>35900</v>
      </c>
      <c r="C37" s="1194">
        <v>99</v>
      </c>
      <c r="D37" s="1193">
        <v>997047</v>
      </c>
      <c r="E37" s="871" t="s">
        <v>912</v>
      </c>
      <c r="H37" s="1166">
        <f t="shared" si="0"/>
        <v>0</v>
      </c>
      <c r="I37" s="1167">
        <f t="shared" si="1"/>
        <v>0</v>
      </c>
      <c r="J37" s="1165">
        <f t="shared" si="2"/>
        <v>0</v>
      </c>
      <c r="K37" s="1164">
        <v>0</v>
      </c>
      <c r="L37" s="1164">
        <v>0</v>
      </c>
      <c r="M37" s="1165">
        <f t="shared" si="3"/>
        <v>0</v>
      </c>
      <c r="N37" s="867">
        <v>0</v>
      </c>
      <c r="O37" s="867">
        <v>0</v>
      </c>
      <c r="P37" s="866">
        <f t="shared" si="4"/>
        <v>0</v>
      </c>
      <c r="Q37" s="819" t="str">
        <f t="shared" si="5"/>
        <v xml:space="preserve"> </v>
      </c>
    </row>
    <row r="38" spans="1:17" ht="16.5" customHeight="1">
      <c r="A38" s="816">
        <v>35644</v>
      </c>
      <c r="B38" s="816">
        <v>35901</v>
      </c>
      <c r="C38" s="1194">
        <v>12</v>
      </c>
      <c r="D38" s="1193">
        <v>997048</v>
      </c>
      <c r="E38" s="871" t="s">
        <v>911</v>
      </c>
      <c r="H38" s="1166">
        <f t="shared" si="0"/>
        <v>0</v>
      </c>
      <c r="I38" s="1167">
        <f t="shared" si="1"/>
        <v>-3962498</v>
      </c>
      <c r="J38" s="1165">
        <f t="shared" si="2"/>
        <v>-3962498</v>
      </c>
      <c r="K38" s="1164">
        <v>0</v>
      </c>
      <c r="L38" s="1164">
        <v>-2615962</v>
      </c>
      <c r="M38" s="1165">
        <f t="shared" si="3"/>
        <v>-2615962</v>
      </c>
      <c r="N38" s="867">
        <v>0</v>
      </c>
      <c r="O38" s="867">
        <v>-1346536</v>
      </c>
      <c r="P38" s="866">
        <f t="shared" si="4"/>
        <v>-1346536</v>
      </c>
      <c r="Q38" s="819" t="str">
        <f t="shared" si="5"/>
        <v xml:space="preserve"> </v>
      </c>
    </row>
    <row r="39" spans="1:17" ht="16.5" customHeight="1">
      <c r="A39" s="816">
        <v>35645</v>
      </c>
      <c r="B39" s="816">
        <v>35902</v>
      </c>
      <c r="C39" s="1194">
        <v>11</v>
      </c>
      <c r="D39" s="1193">
        <v>997049</v>
      </c>
      <c r="E39" s="871" t="s">
        <v>910</v>
      </c>
      <c r="H39" s="1166">
        <f t="shared" si="0"/>
        <v>0</v>
      </c>
      <c r="I39" s="1167">
        <f t="shared" si="1"/>
        <v>-292025312</v>
      </c>
      <c r="J39" s="1165">
        <f t="shared" si="2"/>
        <v>-292025312</v>
      </c>
      <c r="K39" s="1164">
        <v>0</v>
      </c>
      <c r="L39" s="1164">
        <v>-190199006</v>
      </c>
      <c r="M39" s="1165">
        <f t="shared" si="3"/>
        <v>-190199006</v>
      </c>
      <c r="N39" s="867">
        <v>0</v>
      </c>
      <c r="O39" s="867">
        <v>-101826306</v>
      </c>
      <c r="P39" s="866">
        <f t="shared" si="4"/>
        <v>-101826306</v>
      </c>
      <c r="Q39" s="819" t="str">
        <f t="shared" si="5"/>
        <v xml:space="preserve"> </v>
      </c>
    </row>
    <row r="40" spans="1:17" ht="16.5" customHeight="1">
      <c r="A40" s="816">
        <v>35646</v>
      </c>
      <c r="B40" s="816">
        <v>35903</v>
      </c>
      <c r="C40" s="1194">
        <v>99</v>
      </c>
      <c r="D40" s="1193">
        <v>997050</v>
      </c>
      <c r="E40" s="871" t="s">
        <v>909</v>
      </c>
      <c r="H40" s="1166">
        <f t="shared" ref="H40:H71" si="6">K40+N40</f>
        <v>0</v>
      </c>
      <c r="I40" s="1167">
        <f t="shared" ref="I40:I71" si="7">L40+O40</f>
        <v>0</v>
      </c>
      <c r="J40" s="1165">
        <f t="shared" ref="J40:J71" si="8">+H40+I40</f>
        <v>0</v>
      </c>
      <c r="K40" s="1164">
        <v>0</v>
      </c>
      <c r="L40" s="1164">
        <v>0</v>
      </c>
      <c r="M40" s="1165">
        <f t="shared" ref="M40:M71" si="9">+K40+L40</f>
        <v>0</v>
      </c>
      <c r="N40" s="867">
        <v>0</v>
      </c>
      <c r="O40" s="867">
        <v>0</v>
      </c>
      <c r="P40" s="866">
        <f t="shared" ref="P40:P71" si="10">N40+O40</f>
        <v>0</v>
      </c>
      <c r="Q40" s="819" t="str">
        <f t="shared" si="5"/>
        <v xml:space="preserve"> </v>
      </c>
    </row>
    <row r="41" spans="1:17" ht="16.5" customHeight="1">
      <c r="A41" s="816">
        <v>35647</v>
      </c>
      <c r="B41" s="816">
        <v>35904</v>
      </c>
      <c r="C41" s="1194">
        <v>99</v>
      </c>
      <c r="D41" s="1195">
        <v>997051</v>
      </c>
      <c r="E41" s="871" t="s">
        <v>908</v>
      </c>
      <c r="F41" s="1196"/>
      <c r="H41" s="1166">
        <f t="shared" si="6"/>
        <v>0</v>
      </c>
      <c r="I41" s="1167">
        <f t="shared" si="7"/>
        <v>0</v>
      </c>
      <c r="J41" s="1165">
        <f t="shared" si="8"/>
        <v>0</v>
      </c>
      <c r="K41" s="1164">
        <v>0</v>
      </c>
      <c r="L41" s="1164">
        <v>0</v>
      </c>
      <c r="M41" s="1165">
        <f t="shared" si="9"/>
        <v>0</v>
      </c>
      <c r="N41" s="867">
        <v>0</v>
      </c>
      <c r="O41" s="867">
        <v>0</v>
      </c>
      <c r="P41" s="866">
        <f t="shared" si="10"/>
        <v>0</v>
      </c>
      <c r="Q41" s="819" t="str">
        <f t="shared" si="5"/>
        <v xml:space="preserve"> </v>
      </c>
    </row>
    <row r="42" spans="1:17" ht="16.5" customHeight="1">
      <c r="A42" s="816">
        <v>35629</v>
      </c>
      <c r="B42" s="816">
        <v>35886</v>
      </c>
      <c r="C42" s="1194" t="s">
        <v>871</v>
      </c>
      <c r="D42" s="1193">
        <v>997052</v>
      </c>
      <c r="E42" s="871" t="s">
        <v>907</v>
      </c>
      <c r="H42" s="1166">
        <f t="shared" si="6"/>
        <v>0</v>
      </c>
      <c r="I42" s="1167">
        <f t="shared" si="7"/>
        <v>0</v>
      </c>
      <c r="J42" s="1165">
        <f t="shared" si="8"/>
        <v>0</v>
      </c>
      <c r="K42" s="1164">
        <v>0</v>
      </c>
      <c r="L42" s="1164">
        <v>0</v>
      </c>
      <c r="M42" s="1165">
        <f t="shared" si="9"/>
        <v>0</v>
      </c>
      <c r="N42" s="867">
        <v>0</v>
      </c>
      <c r="O42" s="867">
        <v>0</v>
      </c>
      <c r="P42" s="866">
        <f t="shared" si="10"/>
        <v>0</v>
      </c>
      <c r="Q42" s="819" t="str">
        <f t="shared" si="5"/>
        <v xml:space="preserve"> </v>
      </c>
    </row>
    <row r="43" spans="1:17" ht="16.5" customHeight="1">
      <c r="A43" s="816">
        <v>35648</v>
      </c>
      <c r="B43" s="816">
        <v>35905</v>
      </c>
      <c r="C43" s="1194" t="s">
        <v>889</v>
      </c>
      <c r="D43" s="1195">
        <v>997053</v>
      </c>
      <c r="E43" s="871" t="s">
        <v>906</v>
      </c>
      <c r="F43" s="1196"/>
      <c r="H43" s="1166">
        <f t="shared" si="6"/>
        <v>0</v>
      </c>
      <c r="I43" s="1167">
        <f t="shared" si="7"/>
        <v>21750</v>
      </c>
      <c r="J43" s="1165">
        <f t="shared" si="8"/>
        <v>21750</v>
      </c>
      <c r="K43" s="1164">
        <v>0</v>
      </c>
      <c r="L43" s="1164">
        <v>14849</v>
      </c>
      <c r="M43" s="1165">
        <f t="shared" si="9"/>
        <v>14849</v>
      </c>
      <c r="N43" s="867">
        <v>0</v>
      </c>
      <c r="O43" s="867">
        <v>6901</v>
      </c>
      <c r="P43" s="866">
        <f t="shared" si="10"/>
        <v>6901</v>
      </c>
      <c r="Q43" s="819"/>
    </row>
    <row r="44" spans="1:17" ht="16.5" customHeight="1">
      <c r="A44" s="816">
        <v>35649</v>
      </c>
      <c r="B44" s="816">
        <v>35906</v>
      </c>
      <c r="C44" s="1194">
        <v>99</v>
      </c>
      <c r="D44" s="1195">
        <v>997054</v>
      </c>
      <c r="E44" s="871" t="s">
        <v>905</v>
      </c>
      <c r="F44" s="1196"/>
      <c r="H44" s="1166">
        <f t="shared" si="6"/>
        <v>78736</v>
      </c>
      <c r="I44" s="1167">
        <f t="shared" si="7"/>
        <v>0</v>
      </c>
      <c r="J44" s="1165">
        <f t="shared" si="8"/>
        <v>78736</v>
      </c>
      <c r="K44" s="1164">
        <v>72939</v>
      </c>
      <c r="L44" s="1164">
        <v>0</v>
      </c>
      <c r="M44" s="1165">
        <f t="shared" si="9"/>
        <v>72939</v>
      </c>
      <c r="N44" s="867">
        <v>5797</v>
      </c>
      <c r="O44" s="867">
        <v>0</v>
      </c>
      <c r="P44" s="866">
        <f t="shared" si="10"/>
        <v>5797</v>
      </c>
      <c r="Q44" s="819"/>
    </row>
    <row r="45" spans="1:17" ht="16.5" customHeight="1">
      <c r="A45" s="816">
        <v>35650</v>
      </c>
      <c r="B45" s="816">
        <v>35907</v>
      </c>
      <c r="C45" s="1194">
        <v>99</v>
      </c>
      <c r="D45" s="1193">
        <v>997058</v>
      </c>
      <c r="E45" s="871" t="s">
        <v>904</v>
      </c>
      <c r="H45" s="1166">
        <f t="shared" si="6"/>
        <v>-199983</v>
      </c>
      <c r="I45" s="1167">
        <f t="shared" si="7"/>
        <v>0</v>
      </c>
      <c r="J45" s="1165">
        <f t="shared" si="8"/>
        <v>-199983</v>
      </c>
      <c r="K45" s="1164">
        <v>0</v>
      </c>
      <c r="L45" s="1164">
        <v>0</v>
      </c>
      <c r="M45" s="1165">
        <f t="shared" si="9"/>
        <v>0</v>
      </c>
      <c r="N45" s="867">
        <v>-199983</v>
      </c>
      <c r="O45" s="867">
        <v>0</v>
      </c>
      <c r="P45" s="866">
        <f t="shared" si="10"/>
        <v>-199983</v>
      </c>
      <c r="Q45" s="819" t="str">
        <f t="shared" ref="Q45:Q52" si="11">IF(J45-M45-P45=0," ",+J45-M45-P45)</f>
        <v xml:space="preserve"> </v>
      </c>
    </row>
    <row r="46" spans="1:17" ht="16.5" customHeight="1">
      <c r="A46" s="816">
        <v>35651</v>
      </c>
      <c r="B46" s="816">
        <v>35908</v>
      </c>
      <c r="C46" s="1194">
        <v>99</v>
      </c>
      <c r="D46" s="1193">
        <v>997059</v>
      </c>
      <c r="E46" s="871" t="s">
        <v>903</v>
      </c>
      <c r="H46" s="1166">
        <f t="shared" si="6"/>
        <v>73312</v>
      </c>
      <c r="I46" s="1167">
        <f t="shared" si="7"/>
        <v>0</v>
      </c>
      <c r="J46" s="1165">
        <f t="shared" si="8"/>
        <v>73312</v>
      </c>
      <c r="K46" s="1164">
        <v>46316</v>
      </c>
      <c r="L46" s="1164">
        <v>0</v>
      </c>
      <c r="M46" s="1165">
        <f t="shared" si="9"/>
        <v>46316</v>
      </c>
      <c r="N46" s="867">
        <v>26996</v>
      </c>
      <c r="O46" s="867">
        <v>0</v>
      </c>
      <c r="P46" s="866">
        <f t="shared" si="10"/>
        <v>26996</v>
      </c>
      <c r="Q46" s="819" t="str">
        <f t="shared" si="11"/>
        <v xml:space="preserve"> </v>
      </c>
    </row>
    <row r="47" spans="1:17" ht="16.5" customHeight="1">
      <c r="A47" s="816">
        <v>35653</v>
      </c>
      <c r="B47" s="816">
        <v>35910</v>
      </c>
      <c r="C47" s="1194">
        <v>1</v>
      </c>
      <c r="D47" s="1195">
        <v>997061</v>
      </c>
      <c r="E47" s="1197" t="s">
        <v>902</v>
      </c>
      <c r="F47" s="1196"/>
      <c r="H47" s="1166">
        <f t="shared" si="6"/>
        <v>0</v>
      </c>
      <c r="I47" s="1167">
        <f t="shared" si="7"/>
        <v>0</v>
      </c>
      <c r="J47" s="1165">
        <f t="shared" si="8"/>
        <v>0</v>
      </c>
      <c r="K47" s="1164">
        <v>0</v>
      </c>
      <c r="L47" s="1164">
        <v>0</v>
      </c>
      <c r="M47" s="1165">
        <f t="shared" si="9"/>
        <v>0</v>
      </c>
      <c r="N47" s="867">
        <v>0</v>
      </c>
      <c r="O47" s="867">
        <v>0</v>
      </c>
      <c r="P47" s="866">
        <f t="shared" si="10"/>
        <v>0</v>
      </c>
      <c r="Q47" s="819" t="str">
        <f t="shared" si="11"/>
        <v xml:space="preserve"> </v>
      </c>
    </row>
    <row r="48" spans="1:17" ht="16.5" customHeight="1">
      <c r="A48" s="816">
        <v>35654</v>
      </c>
      <c r="B48" s="816">
        <v>35911</v>
      </c>
      <c r="C48" s="1194">
        <v>4</v>
      </c>
      <c r="D48" s="1193">
        <v>997062</v>
      </c>
      <c r="E48" s="871" t="s">
        <v>901</v>
      </c>
      <c r="H48" s="1166">
        <f t="shared" si="6"/>
        <v>0</v>
      </c>
      <c r="I48" s="1167">
        <f t="shared" si="7"/>
        <v>0</v>
      </c>
      <c r="J48" s="1165">
        <f t="shared" si="8"/>
        <v>0</v>
      </c>
      <c r="K48" s="1164">
        <v>0</v>
      </c>
      <c r="L48" s="1164">
        <v>0</v>
      </c>
      <c r="M48" s="1165">
        <f t="shared" si="9"/>
        <v>0</v>
      </c>
      <c r="N48" s="867">
        <v>0</v>
      </c>
      <c r="O48" s="867">
        <v>0</v>
      </c>
      <c r="P48" s="866">
        <f t="shared" si="10"/>
        <v>0</v>
      </c>
      <c r="Q48" s="819" t="str">
        <f t="shared" si="11"/>
        <v xml:space="preserve"> </v>
      </c>
    </row>
    <row r="49" spans="1:17" ht="16.5" customHeight="1">
      <c r="A49" s="816">
        <v>35656</v>
      </c>
      <c r="B49" s="816">
        <v>35913</v>
      </c>
      <c r="C49" s="1194">
        <v>1</v>
      </c>
      <c r="D49" s="1195">
        <v>997063</v>
      </c>
      <c r="E49" s="1197" t="s">
        <v>900</v>
      </c>
      <c r="F49" s="1196"/>
      <c r="H49" s="1166">
        <f t="shared" si="6"/>
        <v>183093</v>
      </c>
      <c r="I49" s="1167">
        <f t="shared" si="7"/>
        <v>884086</v>
      </c>
      <c r="J49" s="1165">
        <f t="shared" si="8"/>
        <v>1067179</v>
      </c>
      <c r="K49" s="1164">
        <v>152118</v>
      </c>
      <c r="L49" s="1164">
        <v>581110</v>
      </c>
      <c r="M49" s="1165">
        <f t="shared" si="9"/>
        <v>733228</v>
      </c>
      <c r="N49" s="867">
        <v>30975</v>
      </c>
      <c r="O49" s="867">
        <v>302976</v>
      </c>
      <c r="P49" s="866">
        <f t="shared" si="10"/>
        <v>333951</v>
      </c>
      <c r="Q49" s="819" t="str">
        <f t="shared" si="11"/>
        <v xml:space="preserve"> </v>
      </c>
    </row>
    <row r="50" spans="1:17" ht="16.5" customHeight="1">
      <c r="A50" s="816">
        <v>35631</v>
      </c>
      <c r="B50" s="816">
        <v>35888</v>
      </c>
      <c r="C50" s="1194">
        <v>99</v>
      </c>
      <c r="D50" s="1193">
        <v>997064</v>
      </c>
      <c r="E50" s="871" t="s">
        <v>899</v>
      </c>
      <c r="H50" s="1166">
        <f t="shared" si="6"/>
        <v>0</v>
      </c>
      <c r="I50" s="1167">
        <f t="shared" si="7"/>
        <v>0</v>
      </c>
      <c r="J50" s="1165">
        <f t="shared" si="8"/>
        <v>0</v>
      </c>
      <c r="K50" s="1164">
        <v>0</v>
      </c>
      <c r="L50" s="1164">
        <v>0</v>
      </c>
      <c r="M50" s="1165">
        <f t="shared" si="9"/>
        <v>0</v>
      </c>
      <c r="N50" s="867">
        <v>0</v>
      </c>
      <c r="O50" s="867">
        <v>0</v>
      </c>
      <c r="P50" s="866">
        <f t="shared" si="10"/>
        <v>0</v>
      </c>
      <c r="Q50" s="819" t="str">
        <f t="shared" si="11"/>
        <v xml:space="preserve"> </v>
      </c>
    </row>
    <row r="51" spans="1:17" ht="16.5" customHeight="1">
      <c r="A51" s="816">
        <v>35632</v>
      </c>
      <c r="B51" s="816">
        <v>35889</v>
      </c>
      <c r="C51" s="1194">
        <v>99</v>
      </c>
      <c r="D51" s="1193">
        <v>997065</v>
      </c>
      <c r="E51" s="871" t="s">
        <v>898</v>
      </c>
      <c r="H51" s="1166">
        <f t="shared" si="6"/>
        <v>789058</v>
      </c>
      <c r="I51" s="1167">
        <f t="shared" si="7"/>
        <v>0</v>
      </c>
      <c r="J51" s="1165">
        <f t="shared" si="8"/>
        <v>789058</v>
      </c>
      <c r="K51" s="1164">
        <v>786607</v>
      </c>
      <c r="L51" s="1164">
        <v>0</v>
      </c>
      <c r="M51" s="1165">
        <f t="shared" si="9"/>
        <v>786607</v>
      </c>
      <c r="N51" s="867">
        <v>2451</v>
      </c>
      <c r="O51" s="867">
        <v>0</v>
      </c>
      <c r="P51" s="866">
        <f t="shared" si="10"/>
        <v>2451</v>
      </c>
      <c r="Q51" s="819" t="str">
        <f t="shared" si="11"/>
        <v xml:space="preserve"> </v>
      </c>
    </row>
    <row r="52" spans="1:17" ht="16.5" customHeight="1">
      <c r="A52" s="816">
        <v>35657</v>
      </c>
      <c r="B52" s="816">
        <v>35914</v>
      </c>
      <c r="C52" s="1194">
        <v>1</v>
      </c>
      <c r="D52" s="1195">
        <v>997067</v>
      </c>
      <c r="E52" s="1197" t="s">
        <v>897</v>
      </c>
      <c r="F52" s="1196"/>
      <c r="H52" s="1166">
        <f t="shared" si="6"/>
        <v>0</v>
      </c>
      <c r="I52" s="1167">
        <f t="shared" si="7"/>
        <v>0</v>
      </c>
      <c r="J52" s="1165">
        <f t="shared" si="8"/>
        <v>0</v>
      </c>
      <c r="K52" s="1164">
        <v>0</v>
      </c>
      <c r="L52" s="1164">
        <v>0</v>
      </c>
      <c r="M52" s="1165">
        <f t="shared" si="9"/>
        <v>0</v>
      </c>
      <c r="N52" s="867">
        <v>0</v>
      </c>
      <c r="O52" s="867">
        <v>0</v>
      </c>
      <c r="P52" s="866">
        <f t="shared" si="10"/>
        <v>0</v>
      </c>
      <c r="Q52" s="819" t="str">
        <f t="shared" si="11"/>
        <v xml:space="preserve"> </v>
      </c>
    </row>
    <row r="53" spans="1:17" ht="16.5" customHeight="1">
      <c r="A53" s="869">
        <v>101281</v>
      </c>
      <c r="B53" s="869">
        <v>101286</v>
      </c>
      <c r="C53" s="1194">
        <v>1</v>
      </c>
      <c r="D53" s="1195">
        <v>997068</v>
      </c>
      <c r="E53" s="1197" t="s">
        <v>896</v>
      </c>
      <c r="F53" s="1196"/>
      <c r="H53" s="1166">
        <f t="shared" si="6"/>
        <v>0</v>
      </c>
      <c r="I53" s="1167">
        <f t="shared" si="7"/>
        <v>0</v>
      </c>
      <c r="J53" s="1165">
        <f t="shared" si="8"/>
        <v>0</v>
      </c>
      <c r="K53" s="1164">
        <v>0</v>
      </c>
      <c r="L53" s="1164">
        <v>0</v>
      </c>
      <c r="M53" s="1165">
        <f t="shared" si="9"/>
        <v>0</v>
      </c>
      <c r="N53" s="867">
        <v>0</v>
      </c>
      <c r="O53" s="867">
        <v>0</v>
      </c>
      <c r="P53" s="866">
        <f t="shared" si="10"/>
        <v>0</v>
      </c>
      <c r="Q53" s="819"/>
    </row>
    <row r="54" spans="1:17" ht="16.5" customHeight="1">
      <c r="A54" s="869">
        <v>101270</v>
      </c>
      <c r="B54" s="869">
        <v>101275</v>
      </c>
      <c r="C54" s="1194">
        <v>1</v>
      </c>
      <c r="D54" s="1195">
        <v>997069</v>
      </c>
      <c r="E54" s="1197" t="s">
        <v>895</v>
      </c>
      <c r="F54" s="1196"/>
      <c r="H54" s="1166">
        <f t="shared" si="6"/>
        <v>0</v>
      </c>
      <c r="I54" s="1167">
        <f t="shared" si="7"/>
        <v>0</v>
      </c>
      <c r="J54" s="1165">
        <f t="shared" si="8"/>
        <v>0</v>
      </c>
      <c r="K54" s="1164">
        <v>0</v>
      </c>
      <c r="L54" s="1164">
        <v>0</v>
      </c>
      <c r="M54" s="1165">
        <f t="shared" si="9"/>
        <v>0</v>
      </c>
      <c r="N54" s="867">
        <v>0</v>
      </c>
      <c r="O54" s="867">
        <v>0</v>
      </c>
      <c r="P54" s="866">
        <f t="shared" si="10"/>
        <v>0</v>
      </c>
      <c r="Q54" s="819"/>
    </row>
    <row r="55" spans="1:17" ht="16.5" customHeight="1">
      <c r="A55" s="816">
        <v>182070</v>
      </c>
      <c r="B55" s="816">
        <v>182075</v>
      </c>
      <c r="C55" s="1194">
        <v>1</v>
      </c>
      <c r="D55" s="1193">
        <v>997072</v>
      </c>
      <c r="E55" s="871" t="s">
        <v>894</v>
      </c>
      <c r="H55" s="1166">
        <f t="shared" si="6"/>
        <v>0</v>
      </c>
      <c r="I55" s="1167">
        <f t="shared" si="7"/>
        <v>0</v>
      </c>
      <c r="J55" s="1165">
        <f t="shared" si="8"/>
        <v>0</v>
      </c>
      <c r="K55" s="1164">
        <v>0</v>
      </c>
      <c r="L55" s="1164">
        <v>0</v>
      </c>
      <c r="M55" s="1165">
        <f t="shared" si="9"/>
        <v>0</v>
      </c>
      <c r="N55" s="867">
        <v>0</v>
      </c>
      <c r="O55" s="867">
        <v>0</v>
      </c>
      <c r="P55" s="866">
        <f t="shared" si="10"/>
        <v>0</v>
      </c>
      <c r="Q55" s="819"/>
    </row>
    <row r="56" spans="1:17" ht="16.5" customHeight="1">
      <c r="A56" s="816">
        <v>189471</v>
      </c>
      <c r="B56" s="816">
        <v>189476</v>
      </c>
      <c r="C56" s="1194" t="s">
        <v>873</v>
      </c>
      <c r="D56" s="1193">
        <v>997073</v>
      </c>
      <c r="E56" s="871" t="s">
        <v>893</v>
      </c>
      <c r="H56" s="1166">
        <f t="shared" si="6"/>
        <v>0</v>
      </c>
      <c r="I56" s="1167">
        <f t="shared" si="7"/>
        <v>0</v>
      </c>
      <c r="J56" s="1165">
        <f t="shared" si="8"/>
        <v>0</v>
      </c>
      <c r="K56" s="1164">
        <v>0</v>
      </c>
      <c r="L56" s="1164">
        <v>0</v>
      </c>
      <c r="M56" s="1165">
        <f t="shared" si="9"/>
        <v>0</v>
      </c>
      <c r="N56" s="867">
        <v>0</v>
      </c>
      <c r="O56" s="867">
        <v>0</v>
      </c>
      <c r="P56" s="866">
        <f t="shared" si="10"/>
        <v>0</v>
      </c>
      <c r="Q56" s="819"/>
    </row>
    <row r="57" spans="1:17" ht="16.5" customHeight="1">
      <c r="A57" s="816">
        <v>189670</v>
      </c>
      <c r="B57" s="816">
        <v>189675</v>
      </c>
      <c r="C57" s="1194">
        <v>11</v>
      </c>
      <c r="D57" s="1193">
        <v>997080</v>
      </c>
      <c r="E57" s="871" t="s">
        <v>892</v>
      </c>
      <c r="H57" s="1166">
        <f t="shared" si="6"/>
        <v>0</v>
      </c>
      <c r="I57" s="1167">
        <f t="shared" si="7"/>
        <v>8605036</v>
      </c>
      <c r="J57" s="1165">
        <f t="shared" si="8"/>
        <v>8605036</v>
      </c>
      <c r="K57" s="1164">
        <v>0</v>
      </c>
      <c r="L57" s="1164">
        <v>5604546</v>
      </c>
      <c r="M57" s="1165">
        <f t="shared" si="9"/>
        <v>5604546</v>
      </c>
      <c r="N57" s="867">
        <v>0</v>
      </c>
      <c r="O57" s="867">
        <v>3000490</v>
      </c>
      <c r="P57" s="866">
        <f t="shared" si="10"/>
        <v>3000490</v>
      </c>
      <c r="Q57" s="819" t="str">
        <f t="shared" ref="Q57:Q79" si="12">IF(J57-M57-P57=0," ",+J57-M57-P57)</f>
        <v xml:space="preserve"> </v>
      </c>
    </row>
    <row r="58" spans="1:17" ht="16.5" customHeight="1">
      <c r="A58" s="816">
        <v>189681</v>
      </c>
      <c r="B58" s="816">
        <v>189686</v>
      </c>
      <c r="C58" s="1194" t="s">
        <v>889</v>
      </c>
      <c r="D58" s="1193">
        <v>997081</v>
      </c>
      <c r="E58" s="871" t="s">
        <v>891</v>
      </c>
      <c r="H58" s="1166">
        <f t="shared" si="6"/>
        <v>0</v>
      </c>
      <c r="I58" s="1167">
        <f t="shared" si="7"/>
        <v>-236499</v>
      </c>
      <c r="J58" s="1165">
        <f t="shared" si="8"/>
        <v>-236499</v>
      </c>
      <c r="K58" s="1164">
        <v>0</v>
      </c>
      <c r="L58" s="1164">
        <v>-161458</v>
      </c>
      <c r="M58" s="1165">
        <f t="shared" si="9"/>
        <v>-161458</v>
      </c>
      <c r="N58" s="867">
        <v>0</v>
      </c>
      <c r="O58" s="867">
        <v>-75041</v>
      </c>
      <c r="P58" s="866">
        <f t="shared" si="10"/>
        <v>-75041</v>
      </c>
      <c r="Q58" s="819" t="str">
        <f t="shared" si="12"/>
        <v xml:space="preserve"> </v>
      </c>
    </row>
    <row r="59" spans="1:17" ht="16.5" customHeight="1">
      <c r="A59" s="816">
        <v>189692</v>
      </c>
      <c r="B59" s="816">
        <v>189697</v>
      </c>
      <c r="C59" s="1194" t="s">
        <v>889</v>
      </c>
      <c r="D59" s="1193">
        <v>997082</v>
      </c>
      <c r="E59" s="871" t="s">
        <v>890</v>
      </c>
      <c r="H59" s="1166">
        <f t="shared" si="6"/>
        <v>0</v>
      </c>
      <c r="I59" s="1167">
        <f t="shared" si="7"/>
        <v>477163</v>
      </c>
      <c r="J59" s="1165">
        <f t="shared" si="8"/>
        <v>477163</v>
      </c>
      <c r="K59" s="1164">
        <v>0</v>
      </c>
      <c r="L59" s="1164">
        <v>325759</v>
      </c>
      <c r="M59" s="1165">
        <f t="shared" si="9"/>
        <v>325759</v>
      </c>
      <c r="N59" s="867">
        <v>0</v>
      </c>
      <c r="O59" s="867">
        <v>151404</v>
      </c>
      <c r="P59" s="866">
        <f t="shared" si="10"/>
        <v>151404</v>
      </c>
      <c r="Q59" s="819" t="str">
        <f t="shared" si="12"/>
        <v xml:space="preserve"> </v>
      </c>
    </row>
    <row r="60" spans="1:17" ht="16.5" customHeight="1">
      <c r="A60" s="816">
        <v>189703</v>
      </c>
      <c r="B60" s="816">
        <v>189708</v>
      </c>
      <c r="C60" s="1194" t="s">
        <v>889</v>
      </c>
      <c r="D60" s="1193">
        <v>997083</v>
      </c>
      <c r="E60" s="871" t="s">
        <v>888</v>
      </c>
      <c r="H60" s="1166">
        <f t="shared" si="6"/>
        <v>0</v>
      </c>
      <c r="I60" s="1167">
        <f t="shared" si="7"/>
        <v>239879</v>
      </c>
      <c r="J60" s="1165">
        <f t="shared" si="8"/>
        <v>239879</v>
      </c>
      <c r="K60" s="1164">
        <v>0</v>
      </c>
      <c r="L60" s="1164">
        <v>163765</v>
      </c>
      <c r="M60" s="1165">
        <f t="shared" si="9"/>
        <v>163765</v>
      </c>
      <c r="N60" s="867">
        <v>0</v>
      </c>
      <c r="O60" s="867">
        <v>76114</v>
      </c>
      <c r="P60" s="866">
        <f t="shared" si="10"/>
        <v>76114</v>
      </c>
      <c r="Q60" s="819" t="str">
        <f t="shared" si="12"/>
        <v xml:space="preserve"> </v>
      </c>
    </row>
    <row r="61" spans="1:17" ht="16.5" customHeight="1">
      <c r="A61" s="816">
        <v>189714</v>
      </c>
      <c r="B61" s="816">
        <v>189719</v>
      </c>
      <c r="C61" s="1194">
        <v>2</v>
      </c>
      <c r="D61" s="1193">
        <v>997084</v>
      </c>
      <c r="E61" s="871" t="s">
        <v>887</v>
      </c>
      <c r="H61" s="1166">
        <f t="shared" si="6"/>
        <v>0</v>
      </c>
      <c r="I61" s="1167">
        <f t="shared" si="7"/>
        <v>351025</v>
      </c>
      <c r="J61" s="1165">
        <f t="shared" si="8"/>
        <v>351025</v>
      </c>
      <c r="K61" s="1164">
        <v>0</v>
      </c>
      <c r="L61" s="1164">
        <v>230497</v>
      </c>
      <c r="M61" s="1165">
        <f t="shared" si="9"/>
        <v>230497</v>
      </c>
      <c r="N61" s="867">
        <v>0</v>
      </c>
      <c r="O61" s="867">
        <v>120528</v>
      </c>
      <c r="P61" s="866">
        <f t="shared" si="10"/>
        <v>120528</v>
      </c>
      <c r="Q61" s="819" t="str">
        <f t="shared" si="12"/>
        <v xml:space="preserve"> </v>
      </c>
    </row>
    <row r="62" spans="1:17" ht="16.5" customHeight="1">
      <c r="A62" s="816">
        <v>217079</v>
      </c>
      <c r="B62" s="816">
        <v>217084</v>
      </c>
      <c r="C62" s="1194">
        <v>99</v>
      </c>
      <c r="D62" s="1193">
        <v>997088</v>
      </c>
      <c r="E62" s="871" t="s">
        <v>886</v>
      </c>
      <c r="H62" s="1166">
        <f t="shared" si="6"/>
        <v>2151630</v>
      </c>
      <c r="I62" s="1167">
        <f t="shared" si="7"/>
        <v>0</v>
      </c>
      <c r="J62" s="1165">
        <f t="shared" si="8"/>
        <v>2151630</v>
      </c>
      <c r="K62" s="1164">
        <v>1102752</v>
      </c>
      <c r="L62" s="1164">
        <v>0</v>
      </c>
      <c r="M62" s="1165">
        <f t="shared" si="9"/>
        <v>1102752</v>
      </c>
      <c r="N62" s="867">
        <v>1048878</v>
      </c>
      <c r="O62" s="867">
        <v>0</v>
      </c>
      <c r="P62" s="866">
        <f t="shared" si="10"/>
        <v>1048878</v>
      </c>
      <c r="Q62" s="819" t="str">
        <f t="shared" si="12"/>
        <v xml:space="preserve"> </v>
      </c>
    </row>
    <row r="63" spans="1:17" ht="16.5" customHeight="1">
      <c r="A63" s="816">
        <v>217676</v>
      </c>
      <c r="B63" s="816">
        <v>217681</v>
      </c>
      <c r="C63" s="1194">
        <v>99</v>
      </c>
      <c r="D63" s="1193">
        <v>997089</v>
      </c>
      <c r="E63" s="871" t="s">
        <v>885</v>
      </c>
      <c r="H63" s="1166">
        <f t="shared" si="6"/>
        <v>0</v>
      </c>
      <c r="I63" s="1167">
        <f t="shared" si="7"/>
        <v>0</v>
      </c>
      <c r="J63" s="1165">
        <f t="shared" si="8"/>
        <v>0</v>
      </c>
      <c r="K63" s="1164">
        <v>0</v>
      </c>
      <c r="L63" s="1164">
        <v>0</v>
      </c>
      <c r="M63" s="1165">
        <f t="shared" si="9"/>
        <v>0</v>
      </c>
      <c r="N63" s="867">
        <v>0</v>
      </c>
      <c r="O63" s="867">
        <v>0</v>
      </c>
      <c r="P63" s="866">
        <f t="shared" si="10"/>
        <v>0</v>
      </c>
      <c r="Q63" s="819" t="str">
        <f t="shared" si="12"/>
        <v xml:space="preserve"> </v>
      </c>
    </row>
    <row r="64" spans="1:17" ht="16.5" customHeight="1">
      <c r="A64" s="816">
        <v>225082</v>
      </c>
      <c r="B64" s="816">
        <v>225087</v>
      </c>
      <c r="C64" s="1194">
        <v>99</v>
      </c>
      <c r="D64" s="1193">
        <v>997091</v>
      </c>
      <c r="E64" s="871" t="s">
        <v>884</v>
      </c>
      <c r="H64" s="1166">
        <f t="shared" si="6"/>
        <v>0</v>
      </c>
      <c r="I64" s="1167">
        <f t="shared" si="7"/>
        <v>0</v>
      </c>
      <c r="J64" s="1165">
        <f t="shared" si="8"/>
        <v>0</v>
      </c>
      <c r="K64" s="1164">
        <v>0</v>
      </c>
      <c r="L64" s="1164">
        <v>0</v>
      </c>
      <c r="M64" s="1165">
        <f t="shared" si="9"/>
        <v>0</v>
      </c>
      <c r="N64" s="867">
        <v>0</v>
      </c>
      <c r="O64" s="867">
        <v>0</v>
      </c>
      <c r="P64" s="866">
        <f t="shared" si="10"/>
        <v>0</v>
      </c>
      <c r="Q64" s="819" t="str">
        <f t="shared" si="12"/>
        <v xml:space="preserve"> </v>
      </c>
    </row>
    <row r="65" spans="1:17" ht="16.5" customHeight="1">
      <c r="A65" s="816">
        <v>225093</v>
      </c>
      <c r="B65" s="816">
        <v>225098</v>
      </c>
      <c r="C65" s="1194">
        <v>99</v>
      </c>
      <c r="D65" s="1193">
        <v>997092</v>
      </c>
      <c r="E65" s="871" t="s">
        <v>883</v>
      </c>
      <c r="H65" s="1166">
        <f t="shared" si="6"/>
        <v>0</v>
      </c>
      <c r="I65" s="1167">
        <f t="shared" si="7"/>
        <v>0</v>
      </c>
      <c r="J65" s="1165">
        <f t="shared" si="8"/>
        <v>0</v>
      </c>
      <c r="K65" s="1164">
        <v>0</v>
      </c>
      <c r="L65" s="1164">
        <v>0</v>
      </c>
      <c r="M65" s="1165">
        <f t="shared" si="9"/>
        <v>0</v>
      </c>
      <c r="N65" s="867">
        <v>0</v>
      </c>
      <c r="O65" s="867">
        <v>0</v>
      </c>
      <c r="P65" s="866">
        <f t="shared" si="10"/>
        <v>0</v>
      </c>
      <c r="Q65" s="819" t="str">
        <f t="shared" si="12"/>
        <v xml:space="preserve"> </v>
      </c>
    </row>
    <row r="66" spans="1:17" ht="16.5" customHeight="1">
      <c r="A66" s="816">
        <v>232705</v>
      </c>
      <c r="B66" s="816">
        <v>232710</v>
      </c>
      <c r="C66" s="1194">
        <v>99</v>
      </c>
      <c r="D66" s="1193">
        <v>997093</v>
      </c>
      <c r="E66" s="871" t="s">
        <v>882</v>
      </c>
      <c r="H66" s="1166">
        <f t="shared" si="6"/>
        <v>0</v>
      </c>
      <c r="I66" s="1167">
        <f t="shared" si="7"/>
        <v>0</v>
      </c>
      <c r="J66" s="1165">
        <f t="shared" si="8"/>
        <v>0</v>
      </c>
      <c r="K66" s="1164">
        <v>0</v>
      </c>
      <c r="L66" s="1164">
        <v>0</v>
      </c>
      <c r="M66" s="1165">
        <f t="shared" si="9"/>
        <v>0</v>
      </c>
      <c r="N66" s="867">
        <v>0</v>
      </c>
      <c r="O66" s="867">
        <v>0</v>
      </c>
      <c r="P66" s="866">
        <f t="shared" si="10"/>
        <v>0</v>
      </c>
      <c r="Q66" s="819" t="str">
        <f t="shared" si="12"/>
        <v xml:space="preserve"> </v>
      </c>
    </row>
    <row r="67" spans="1:17" ht="16.5" customHeight="1">
      <c r="A67" s="816">
        <v>272276</v>
      </c>
      <c r="B67" s="816">
        <v>272281</v>
      </c>
      <c r="C67" s="1194">
        <v>99</v>
      </c>
      <c r="D67" s="1193">
        <v>997094</v>
      </c>
      <c r="E67" s="871" t="s">
        <v>881</v>
      </c>
      <c r="H67" s="1166">
        <f t="shared" si="6"/>
        <v>0</v>
      </c>
      <c r="I67" s="1167">
        <f t="shared" si="7"/>
        <v>0</v>
      </c>
      <c r="J67" s="1165">
        <f t="shared" si="8"/>
        <v>0</v>
      </c>
      <c r="K67" s="1164">
        <v>0</v>
      </c>
      <c r="L67" s="1164">
        <v>0</v>
      </c>
      <c r="M67" s="1165">
        <f t="shared" si="9"/>
        <v>0</v>
      </c>
      <c r="N67" s="867">
        <v>0</v>
      </c>
      <c r="O67" s="867">
        <v>0</v>
      </c>
      <c r="P67" s="866">
        <f t="shared" si="10"/>
        <v>0</v>
      </c>
      <c r="Q67" s="819" t="str">
        <f t="shared" si="12"/>
        <v xml:space="preserve"> </v>
      </c>
    </row>
    <row r="68" spans="1:17" ht="16.5" customHeight="1">
      <c r="A68" s="816">
        <v>284676</v>
      </c>
      <c r="B68" s="816">
        <v>284681</v>
      </c>
      <c r="C68" s="1194">
        <v>99</v>
      </c>
      <c r="D68" s="1193">
        <v>997095</v>
      </c>
      <c r="E68" s="871" t="s">
        <v>880</v>
      </c>
      <c r="H68" s="1166">
        <f t="shared" si="6"/>
        <v>-609868</v>
      </c>
      <c r="I68" s="1167">
        <f t="shared" si="7"/>
        <v>0</v>
      </c>
      <c r="J68" s="1165">
        <f t="shared" si="8"/>
        <v>-609868</v>
      </c>
      <c r="K68" s="1164">
        <v>-609868</v>
      </c>
      <c r="L68" s="1164">
        <v>0</v>
      </c>
      <c r="M68" s="1165">
        <f t="shared" si="9"/>
        <v>-609868</v>
      </c>
      <c r="N68" s="867">
        <v>0</v>
      </c>
      <c r="O68" s="867">
        <v>0</v>
      </c>
      <c r="P68" s="866">
        <f t="shared" si="10"/>
        <v>0</v>
      </c>
      <c r="Q68" s="819" t="str">
        <f t="shared" si="12"/>
        <v xml:space="preserve"> </v>
      </c>
    </row>
    <row r="69" spans="1:17" ht="16.5" customHeight="1">
      <c r="A69" s="816">
        <v>286876</v>
      </c>
      <c r="B69" s="816">
        <v>286881</v>
      </c>
      <c r="C69" s="1194" t="s">
        <v>871</v>
      </c>
      <c r="D69" s="1193">
        <v>997096</v>
      </c>
      <c r="E69" s="871" t="s">
        <v>665</v>
      </c>
      <c r="H69" s="1166">
        <f t="shared" si="6"/>
        <v>0</v>
      </c>
      <c r="I69" s="1167">
        <f t="shared" si="7"/>
        <v>32721</v>
      </c>
      <c r="J69" s="1165">
        <f t="shared" si="8"/>
        <v>32721</v>
      </c>
      <c r="K69" s="1164">
        <v>0</v>
      </c>
      <c r="L69" s="1164">
        <v>21508</v>
      </c>
      <c r="M69" s="1165">
        <f t="shared" si="9"/>
        <v>21508</v>
      </c>
      <c r="N69" s="867">
        <v>0</v>
      </c>
      <c r="O69" s="867">
        <v>11213</v>
      </c>
      <c r="P69" s="866">
        <f t="shared" si="10"/>
        <v>11213</v>
      </c>
      <c r="Q69" s="819" t="str">
        <f t="shared" si="12"/>
        <v xml:space="preserve"> </v>
      </c>
    </row>
    <row r="70" spans="1:17" ht="16.5" customHeight="1">
      <c r="A70" s="816">
        <v>292877</v>
      </c>
      <c r="B70" s="816">
        <v>292882</v>
      </c>
      <c r="C70" s="1194">
        <v>99</v>
      </c>
      <c r="D70" s="1193">
        <v>997097</v>
      </c>
      <c r="E70" s="871" t="s">
        <v>879</v>
      </c>
      <c r="H70" s="1166">
        <f t="shared" si="6"/>
        <v>0</v>
      </c>
      <c r="I70" s="1167">
        <f t="shared" si="7"/>
        <v>0</v>
      </c>
      <c r="J70" s="1165">
        <f t="shared" si="8"/>
        <v>0</v>
      </c>
      <c r="K70" s="1164">
        <v>0</v>
      </c>
      <c r="L70" s="1164">
        <v>0</v>
      </c>
      <c r="M70" s="1165">
        <f t="shared" si="9"/>
        <v>0</v>
      </c>
      <c r="N70" s="867">
        <v>0</v>
      </c>
      <c r="O70" s="867">
        <v>0</v>
      </c>
      <c r="P70" s="866">
        <f t="shared" si="10"/>
        <v>0</v>
      </c>
      <c r="Q70" s="819" t="str">
        <f t="shared" si="12"/>
        <v xml:space="preserve"> </v>
      </c>
    </row>
    <row r="71" spans="1:17" ht="16.5" customHeight="1">
      <c r="A71" s="816">
        <v>349475</v>
      </c>
      <c r="B71" s="816">
        <v>349480</v>
      </c>
      <c r="C71" s="1194">
        <v>99</v>
      </c>
      <c r="D71" s="1193">
        <v>997098</v>
      </c>
      <c r="E71" s="871" t="s">
        <v>698</v>
      </c>
      <c r="H71" s="1166">
        <f t="shared" si="6"/>
        <v>-1163062</v>
      </c>
      <c r="I71" s="1167">
        <f t="shared" si="7"/>
        <v>0</v>
      </c>
      <c r="J71" s="1165">
        <f t="shared" si="8"/>
        <v>-1163062</v>
      </c>
      <c r="K71" s="1164">
        <v>-178023</v>
      </c>
      <c r="L71" s="1164">
        <v>0</v>
      </c>
      <c r="M71" s="1165">
        <f t="shared" si="9"/>
        <v>-178023</v>
      </c>
      <c r="N71" s="867">
        <v>-985039</v>
      </c>
      <c r="O71" s="867">
        <v>0</v>
      </c>
      <c r="P71" s="866">
        <f t="shared" si="10"/>
        <v>-985039</v>
      </c>
      <c r="Q71" s="819" t="str">
        <f t="shared" si="12"/>
        <v xml:space="preserve"> </v>
      </c>
    </row>
    <row r="72" spans="1:17" ht="16.5" customHeight="1">
      <c r="A72" s="816">
        <v>364080</v>
      </c>
      <c r="B72" s="816">
        <v>364085</v>
      </c>
      <c r="C72" s="1194" t="s">
        <v>871</v>
      </c>
      <c r="D72" s="1193">
        <v>997099</v>
      </c>
      <c r="E72" s="871" t="s">
        <v>878</v>
      </c>
      <c r="H72" s="1166">
        <f t="shared" ref="H72:H78" si="13">K72+N72</f>
        <v>0</v>
      </c>
      <c r="I72" s="1167">
        <f t="shared" ref="I72:I78" si="14">L72+O72</f>
        <v>139960</v>
      </c>
      <c r="J72" s="1165">
        <f t="shared" ref="J72:J78" si="15">+H72+I72</f>
        <v>139960</v>
      </c>
      <c r="K72" s="1164">
        <v>0</v>
      </c>
      <c r="L72" s="1164">
        <v>91996</v>
      </c>
      <c r="M72" s="1165">
        <f t="shared" ref="M72:M78" si="16">+K72+L72</f>
        <v>91996</v>
      </c>
      <c r="N72" s="867">
        <v>0</v>
      </c>
      <c r="O72" s="867">
        <v>47964</v>
      </c>
      <c r="P72" s="866">
        <f t="shared" ref="P72:P78" si="17">N72+O72</f>
        <v>47964</v>
      </c>
      <c r="Q72" s="819" t="str">
        <f t="shared" si="12"/>
        <v xml:space="preserve"> </v>
      </c>
    </row>
    <row r="73" spans="1:17" ht="16.5" customHeight="1">
      <c r="A73" s="816">
        <v>402489</v>
      </c>
      <c r="B73" s="816">
        <v>402494</v>
      </c>
      <c r="C73" s="1194">
        <v>99</v>
      </c>
      <c r="D73" s="1193">
        <v>997100</v>
      </c>
      <c r="E73" s="871" t="s">
        <v>877</v>
      </c>
      <c r="H73" s="1166">
        <f t="shared" si="13"/>
        <v>32055</v>
      </c>
      <c r="I73" s="1167">
        <f t="shared" si="14"/>
        <v>0</v>
      </c>
      <c r="J73" s="1165">
        <f t="shared" si="15"/>
        <v>32055</v>
      </c>
      <c r="K73" s="1164">
        <v>32055</v>
      </c>
      <c r="L73" s="1164">
        <v>0</v>
      </c>
      <c r="M73" s="1165">
        <f t="shared" si="16"/>
        <v>32055</v>
      </c>
      <c r="N73" s="867">
        <v>0</v>
      </c>
      <c r="O73" s="867">
        <v>0</v>
      </c>
      <c r="P73" s="866">
        <f t="shared" si="17"/>
        <v>0</v>
      </c>
      <c r="Q73" s="819" t="str">
        <f t="shared" si="12"/>
        <v xml:space="preserve"> </v>
      </c>
    </row>
    <row r="74" spans="1:17" ht="16.5" customHeight="1">
      <c r="A74" s="816">
        <v>403876</v>
      </c>
      <c r="B74" s="816">
        <v>403881</v>
      </c>
      <c r="C74" s="1194" t="s">
        <v>871</v>
      </c>
      <c r="D74" s="1193">
        <v>997101</v>
      </c>
      <c r="E74" s="871" t="s">
        <v>876</v>
      </c>
      <c r="H74" s="1166">
        <f t="shared" si="13"/>
        <v>0</v>
      </c>
      <c r="I74" s="1167">
        <f t="shared" si="14"/>
        <v>-18347070</v>
      </c>
      <c r="J74" s="1165">
        <f t="shared" si="15"/>
        <v>-18347070</v>
      </c>
      <c r="K74" s="1164">
        <v>0</v>
      </c>
      <c r="L74" s="1164">
        <v>-12059529</v>
      </c>
      <c r="M74" s="1165">
        <f t="shared" si="16"/>
        <v>-12059529</v>
      </c>
      <c r="N74" s="867">
        <v>0</v>
      </c>
      <c r="O74" s="867">
        <v>-6287541</v>
      </c>
      <c r="P74" s="866">
        <f t="shared" si="17"/>
        <v>-6287541</v>
      </c>
      <c r="Q74" s="819" t="str">
        <f t="shared" si="12"/>
        <v xml:space="preserve"> </v>
      </c>
    </row>
    <row r="75" spans="1:17" ht="16.5" customHeight="1">
      <c r="A75" s="816">
        <v>407475</v>
      </c>
      <c r="B75" s="816">
        <v>407480</v>
      </c>
      <c r="C75" s="1194" t="s">
        <v>871</v>
      </c>
      <c r="D75" s="1193">
        <v>997102</v>
      </c>
      <c r="E75" s="871" t="s">
        <v>875</v>
      </c>
      <c r="H75" s="1166">
        <f t="shared" si="13"/>
        <v>-2365951</v>
      </c>
      <c r="I75" s="1167">
        <f t="shared" si="14"/>
        <v>0</v>
      </c>
      <c r="J75" s="1165">
        <f t="shared" si="15"/>
        <v>-2365951</v>
      </c>
      <c r="K75" s="1164">
        <v>0</v>
      </c>
      <c r="L75" s="1164">
        <v>0</v>
      </c>
      <c r="M75" s="1165">
        <f t="shared" si="16"/>
        <v>0</v>
      </c>
      <c r="N75" s="867">
        <v>-2365951</v>
      </c>
      <c r="O75" s="867">
        <v>0</v>
      </c>
      <c r="P75" s="866">
        <f t="shared" si="17"/>
        <v>-2365951</v>
      </c>
      <c r="Q75" s="819" t="str">
        <f t="shared" si="12"/>
        <v xml:space="preserve"> </v>
      </c>
    </row>
    <row r="76" spans="1:17" ht="16.5" customHeight="1">
      <c r="A76" s="816">
        <v>409284</v>
      </c>
      <c r="B76" s="816">
        <v>409289</v>
      </c>
      <c r="C76" s="1194" t="s">
        <v>873</v>
      </c>
      <c r="D76" s="1193">
        <v>997103</v>
      </c>
      <c r="E76" s="871" t="s">
        <v>874</v>
      </c>
      <c r="H76" s="1166">
        <f t="shared" si="13"/>
        <v>668590</v>
      </c>
      <c r="I76" s="1167">
        <f t="shared" si="14"/>
        <v>0</v>
      </c>
      <c r="J76" s="1165">
        <f t="shared" si="15"/>
        <v>668590</v>
      </c>
      <c r="K76" s="1164">
        <v>0</v>
      </c>
      <c r="L76" s="1164">
        <v>0</v>
      </c>
      <c r="M76" s="1165">
        <f t="shared" si="16"/>
        <v>0</v>
      </c>
      <c r="N76" s="867">
        <v>668590</v>
      </c>
      <c r="O76" s="867">
        <v>0</v>
      </c>
      <c r="P76" s="866">
        <f t="shared" si="17"/>
        <v>668590</v>
      </c>
      <c r="Q76" s="819" t="str">
        <f t="shared" si="12"/>
        <v xml:space="preserve"> </v>
      </c>
    </row>
    <row r="77" spans="1:17" ht="16.5" customHeight="1">
      <c r="A77" s="816">
        <v>409270</v>
      </c>
      <c r="B77" s="816">
        <v>409275</v>
      </c>
      <c r="C77" s="1194" t="s">
        <v>873</v>
      </c>
      <c r="D77" s="1193">
        <v>997104</v>
      </c>
      <c r="E77" s="871" t="s">
        <v>872</v>
      </c>
      <c r="H77" s="1166">
        <f t="shared" si="13"/>
        <v>407618</v>
      </c>
      <c r="I77" s="1167">
        <f t="shared" si="14"/>
        <v>0</v>
      </c>
      <c r="J77" s="1165">
        <f t="shared" si="15"/>
        <v>407618</v>
      </c>
      <c r="K77" s="1164">
        <v>290395</v>
      </c>
      <c r="L77" s="1164">
        <v>0</v>
      </c>
      <c r="M77" s="1165">
        <f t="shared" si="16"/>
        <v>290395</v>
      </c>
      <c r="N77" s="867">
        <v>117223</v>
      </c>
      <c r="O77" s="867">
        <v>0</v>
      </c>
      <c r="P77" s="866">
        <f t="shared" si="17"/>
        <v>117223</v>
      </c>
      <c r="Q77" s="819" t="str">
        <f t="shared" si="12"/>
        <v xml:space="preserve"> </v>
      </c>
    </row>
    <row r="78" spans="1:17" ht="16.5" customHeight="1">
      <c r="A78" s="816">
        <v>421085</v>
      </c>
      <c r="B78" s="816">
        <v>421090</v>
      </c>
      <c r="C78" s="1194" t="s">
        <v>871</v>
      </c>
      <c r="D78" s="1193">
        <v>997106</v>
      </c>
      <c r="E78" s="871" t="s">
        <v>870</v>
      </c>
      <c r="H78" s="1166">
        <f t="shared" si="13"/>
        <v>0</v>
      </c>
      <c r="I78" s="1167">
        <f t="shared" si="14"/>
        <v>0</v>
      </c>
      <c r="J78" s="1165">
        <f t="shared" si="15"/>
        <v>0</v>
      </c>
      <c r="K78" s="1164">
        <v>0</v>
      </c>
      <c r="L78" s="1164">
        <v>0</v>
      </c>
      <c r="M78" s="1165">
        <f t="shared" si="16"/>
        <v>0</v>
      </c>
      <c r="N78" s="867">
        <v>0</v>
      </c>
      <c r="O78" s="867">
        <v>0</v>
      </c>
      <c r="P78" s="866">
        <f t="shared" si="17"/>
        <v>0</v>
      </c>
      <c r="Q78" s="819" t="str">
        <f t="shared" si="12"/>
        <v xml:space="preserve"> </v>
      </c>
    </row>
    <row r="79" spans="1:17" ht="16.5" customHeight="1">
      <c r="C79" s="1177"/>
      <c r="D79" s="1178"/>
      <c r="E79" s="871" t="s">
        <v>869</v>
      </c>
      <c r="H79" s="1168">
        <f>SUM(H8:H75)</f>
        <v>23834353</v>
      </c>
      <c r="I79" s="1169">
        <f t="shared" ref="I79:P79" si="18">SUM(I8:I78)</f>
        <v>-258361890</v>
      </c>
      <c r="J79" s="1170">
        <f t="shared" si="18"/>
        <v>-233451329</v>
      </c>
      <c r="K79" s="1169">
        <f t="shared" si="18"/>
        <v>18757247</v>
      </c>
      <c r="L79" s="1169">
        <f t="shared" si="18"/>
        <v>-167289498</v>
      </c>
      <c r="M79" s="1170">
        <f t="shared" si="18"/>
        <v>-148532251</v>
      </c>
      <c r="N79" s="865">
        <f t="shared" si="18"/>
        <v>6153314</v>
      </c>
      <c r="O79" s="865">
        <f t="shared" si="18"/>
        <v>-91072392</v>
      </c>
      <c r="P79" s="865">
        <f t="shared" si="18"/>
        <v>-84919078</v>
      </c>
      <c r="Q79" s="819" t="str">
        <f t="shared" si="12"/>
        <v xml:space="preserve"> </v>
      </c>
    </row>
    <row r="80" spans="1:17" ht="16.5" customHeight="1">
      <c r="C80" s="1177"/>
      <c r="D80" s="1178"/>
      <c r="E80" s="871"/>
      <c r="H80" s="1171"/>
      <c r="I80" s="1172"/>
      <c r="J80" s="1172"/>
      <c r="K80" s="1172"/>
      <c r="L80" s="1172"/>
      <c r="M80" s="1172"/>
      <c r="N80" s="864"/>
      <c r="O80" s="864"/>
      <c r="P80" s="864"/>
      <c r="Q80" s="819"/>
    </row>
    <row r="81" spans="3:16" ht="16.5" customHeight="1">
      <c r="C81" s="1198" t="s">
        <v>842</v>
      </c>
      <c r="D81" s="1178"/>
      <c r="E81" s="871"/>
      <c r="H81" s="1173"/>
      <c r="I81" s="1174"/>
      <c r="J81" s="1150"/>
      <c r="K81" s="1150"/>
      <c r="L81" s="1150"/>
      <c r="M81" s="1150"/>
      <c r="N81" s="863"/>
      <c r="O81" s="863"/>
      <c r="P81" s="863"/>
    </row>
    <row r="82" spans="3:16" ht="16.5" customHeight="1">
      <c r="C82" s="1177" t="s">
        <v>841</v>
      </c>
      <c r="D82" s="1193">
        <v>1</v>
      </c>
      <c r="E82" s="871" t="s">
        <v>1116</v>
      </c>
      <c r="H82" s="1173"/>
      <c r="I82" s="1175">
        <v>1</v>
      </c>
      <c r="J82" s="1175"/>
      <c r="K82" s="1175"/>
      <c r="L82" s="1175">
        <v>0.6573</v>
      </c>
      <c r="M82" s="1175"/>
      <c r="N82" s="859"/>
      <c r="O82" s="859">
        <v>0.3427</v>
      </c>
      <c r="P82" s="858"/>
    </row>
    <row r="83" spans="3:16" ht="16.5" customHeight="1">
      <c r="C83" s="1177" t="s">
        <v>841</v>
      </c>
      <c r="D83" s="1193">
        <v>2</v>
      </c>
      <c r="E83" s="871" t="s">
        <v>1118</v>
      </c>
      <c r="H83" s="1173"/>
      <c r="I83" s="1175">
        <v>1</v>
      </c>
      <c r="J83" s="1175"/>
      <c r="K83" s="1175"/>
      <c r="L83" s="1175">
        <v>0.65664</v>
      </c>
      <c r="M83" s="1175"/>
      <c r="N83" s="859"/>
      <c r="O83" s="859">
        <v>0.34336</v>
      </c>
      <c r="P83" s="858"/>
    </row>
    <row r="84" spans="3:16" ht="16.5" customHeight="1">
      <c r="C84" s="1177" t="s">
        <v>841</v>
      </c>
      <c r="D84" s="1193">
        <v>4</v>
      </c>
      <c r="E84" s="871" t="s">
        <v>1119</v>
      </c>
      <c r="H84" s="1173"/>
      <c r="I84" s="1175">
        <v>1</v>
      </c>
      <c r="J84" s="1175"/>
      <c r="K84" s="1175"/>
      <c r="L84" s="1175">
        <v>0.68269999999999997</v>
      </c>
      <c r="M84" s="1175"/>
      <c r="N84" s="859"/>
      <c r="O84" s="859">
        <v>0.31730000000000003</v>
      </c>
      <c r="P84" s="858"/>
    </row>
    <row r="85" spans="3:16" ht="16.5" customHeight="1">
      <c r="C85" s="1177" t="s">
        <v>841</v>
      </c>
      <c r="D85" s="1193">
        <v>11</v>
      </c>
      <c r="E85" s="871" t="s">
        <v>1120</v>
      </c>
      <c r="H85" s="871"/>
      <c r="I85" s="1175">
        <v>1</v>
      </c>
      <c r="J85" s="1175"/>
      <c r="K85" s="1175"/>
      <c r="L85" s="1175">
        <v>0.65130999999999994</v>
      </c>
      <c r="M85" s="1175"/>
      <c r="N85" s="859"/>
      <c r="O85" s="859">
        <v>0.34869</v>
      </c>
      <c r="P85" s="858"/>
    </row>
    <row r="86" spans="3:16" ht="16.5" customHeight="1">
      <c r="C86" s="1177" t="s">
        <v>841</v>
      </c>
      <c r="D86" s="1193">
        <v>12</v>
      </c>
      <c r="E86" s="871" t="s">
        <v>1121</v>
      </c>
      <c r="H86" s="871"/>
      <c r="I86" s="1175">
        <v>1</v>
      </c>
      <c r="J86" s="1175"/>
      <c r="K86" s="1175"/>
      <c r="L86" s="1175">
        <v>0.66017999999999999</v>
      </c>
      <c r="M86" s="1175"/>
      <c r="N86" s="859"/>
      <c r="O86" s="859">
        <v>0.33982000000000001</v>
      </c>
      <c r="P86" s="858"/>
    </row>
    <row r="87" spans="3:16" ht="16.5" customHeight="1">
      <c r="C87" s="1177" t="s">
        <v>841</v>
      </c>
      <c r="D87" s="1193">
        <v>99</v>
      </c>
      <c r="E87" s="871" t="s">
        <v>1117</v>
      </c>
      <c r="H87" s="871"/>
      <c r="I87" s="1175">
        <v>0</v>
      </c>
      <c r="J87" s="1175"/>
      <c r="K87" s="1175"/>
      <c r="L87" s="1175">
        <v>0</v>
      </c>
      <c r="M87" s="1175"/>
      <c r="N87" s="859"/>
      <c r="O87" s="859">
        <v>0</v>
      </c>
      <c r="P87" s="858"/>
    </row>
    <row r="88" spans="3:16">
      <c r="C88" s="1177"/>
      <c r="D88" s="1178"/>
      <c r="E88" s="871"/>
      <c r="H88" s="871"/>
      <c r="I88" s="1150"/>
      <c r="J88" s="1150"/>
      <c r="K88" s="1150"/>
      <c r="L88" s="1150"/>
      <c r="M88" s="1150"/>
      <c r="N88" s="857"/>
      <c r="O88" s="857"/>
      <c r="P88" s="857"/>
    </row>
  </sheetData>
  <pageMargins left="0.5" right="0.5" top="0.4" bottom="0.4" header="0.2" footer="0.2"/>
  <pageSetup scale="75" fitToHeight="0" orientation="landscape" horizontalDpi="4294967292" r:id="rId1"/>
  <headerFooter alignWithMargins="0">
    <oddFooter>&amp;CElectric Services&amp;RTab 5b Sch. M Detail</oddFooter>
  </headerFooter>
  <rowBreaks count="2" manualBreakCount="2">
    <brk id="45" min="2" max="15" man="1"/>
    <brk id="80" min="2" max="15"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8F2F4"/>
  </sheetPr>
  <dimension ref="A1:T35"/>
  <sheetViews>
    <sheetView tabSelected="1" zoomScaleNormal="100" zoomScaleSheetLayoutView="85" workbookViewId="0">
      <selection activeCell="P59" sqref="P59"/>
    </sheetView>
  </sheetViews>
  <sheetFormatPr defaultColWidth="8" defaultRowHeight="16.5" customHeight="1"/>
  <cols>
    <col min="1" max="2" width="10.28515625" style="890" customWidth="1"/>
    <col min="3" max="3" width="6.28515625" style="816" customWidth="1"/>
    <col min="4" max="4" width="10.42578125" style="816" customWidth="1"/>
    <col min="5" max="5" width="4.5703125" style="816" customWidth="1"/>
    <col min="6" max="6" width="22.42578125" style="816" customWidth="1"/>
    <col min="7" max="7" width="4.5703125" style="816" customWidth="1"/>
    <col min="8" max="16" width="13.140625" style="816" customWidth="1"/>
    <col min="17" max="16384" width="8" style="816"/>
  </cols>
  <sheetData>
    <row r="1" spans="1:20" ht="16.5" customHeight="1">
      <c r="C1" s="860"/>
      <c r="D1" s="860"/>
      <c r="E1" s="860"/>
      <c r="F1" s="860"/>
      <c r="G1" s="860"/>
      <c r="H1" s="860"/>
      <c r="I1" s="860"/>
      <c r="J1" s="860"/>
      <c r="K1" s="860"/>
      <c r="L1" s="860"/>
      <c r="M1" s="860"/>
      <c r="N1" s="860"/>
      <c r="O1" s="860"/>
      <c r="P1" s="860"/>
      <c r="Q1" s="819"/>
      <c r="R1" s="819"/>
      <c r="S1" s="819"/>
      <c r="T1" s="819"/>
    </row>
    <row r="2" spans="1:20" ht="16.5" customHeight="1">
      <c r="C2" s="925" t="s">
        <v>142</v>
      </c>
      <c r="D2" s="888"/>
      <c r="E2" s="887"/>
      <c r="F2" s="886"/>
      <c r="G2" s="889" t="s">
        <v>867</v>
      </c>
      <c r="H2" s="860"/>
      <c r="I2" s="923"/>
      <c r="J2" s="860" t="s">
        <v>116</v>
      </c>
      <c r="K2" s="860"/>
      <c r="L2" s="860"/>
      <c r="M2" s="860"/>
      <c r="N2" s="860"/>
      <c r="O2" s="860"/>
      <c r="P2" s="860"/>
    </row>
    <row r="3" spans="1:20" ht="16.5" customHeight="1">
      <c r="C3" s="924" t="s">
        <v>954</v>
      </c>
      <c r="D3" s="888"/>
      <c r="E3" s="887"/>
      <c r="F3" s="886"/>
      <c r="G3" s="885" t="s">
        <v>1126</v>
      </c>
      <c r="H3" s="860" t="s">
        <v>1129</v>
      </c>
      <c r="I3" s="923"/>
      <c r="J3" s="860"/>
      <c r="K3" s="860"/>
      <c r="L3" s="860"/>
      <c r="M3" s="860"/>
      <c r="N3" s="860"/>
      <c r="O3" s="860"/>
      <c r="P3" s="860"/>
    </row>
    <row r="4" spans="1:20" ht="16.5" customHeight="1">
      <c r="C4" s="922" t="s">
        <v>1123</v>
      </c>
      <c r="D4" s="884"/>
      <c r="E4" s="861"/>
      <c r="F4" s="883"/>
      <c r="G4" s="882"/>
      <c r="H4" s="860"/>
      <c r="I4" s="921"/>
      <c r="J4" s="860"/>
      <c r="K4" s="860"/>
      <c r="L4" s="860"/>
      <c r="M4" s="860"/>
      <c r="N4" s="860"/>
      <c r="O4" s="860"/>
      <c r="P4" s="860"/>
    </row>
    <row r="5" spans="1:20" ht="16.5" customHeight="1">
      <c r="C5" s="920" t="s">
        <v>1127</v>
      </c>
      <c r="D5" s="881"/>
      <c r="E5" s="876"/>
      <c r="F5" s="880"/>
      <c r="G5" s="879"/>
      <c r="H5" s="860" t="s">
        <v>953</v>
      </c>
      <c r="I5" s="860"/>
      <c r="J5" s="860"/>
      <c r="K5" s="860" t="s">
        <v>952</v>
      </c>
      <c r="L5" s="860"/>
      <c r="M5" s="860"/>
      <c r="N5" s="919" t="s">
        <v>951</v>
      </c>
      <c r="O5" s="860"/>
      <c r="P5" s="860"/>
    </row>
    <row r="6" spans="1:20" ht="16.5" customHeight="1">
      <c r="A6" s="890" t="s">
        <v>941</v>
      </c>
      <c r="B6" s="890" t="s">
        <v>157</v>
      </c>
      <c r="C6" s="918" t="s">
        <v>865</v>
      </c>
      <c r="D6" s="878" t="s">
        <v>950</v>
      </c>
      <c r="E6" s="877" t="s">
        <v>80</v>
      </c>
      <c r="F6" s="876"/>
      <c r="G6" s="876"/>
      <c r="H6" s="875" t="s">
        <v>941</v>
      </c>
      <c r="I6" s="875" t="s">
        <v>157</v>
      </c>
      <c r="J6" s="875" t="s">
        <v>137</v>
      </c>
      <c r="K6" s="875" t="s">
        <v>941</v>
      </c>
      <c r="L6" s="875" t="s">
        <v>157</v>
      </c>
      <c r="M6" s="875" t="s">
        <v>137</v>
      </c>
      <c r="N6" s="875" t="s">
        <v>941</v>
      </c>
      <c r="O6" s="875" t="s">
        <v>157</v>
      </c>
      <c r="P6" s="875" t="s">
        <v>137</v>
      </c>
    </row>
    <row r="7" spans="1:20" ht="16.5" customHeight="1">
      <c r="C7" s="898"/>
      <c r="D7" s="900"/>
      <c r="E7" s="898"/>
      <c r="F7" s="899"/>
      <c r="G7" s="899"/>
      <c r="H7" s="898"/>
      <c r="I7" s="898"/>
      <c r="J7" s="917"/>
      <c r="K7" s="861"/>
      <c r="L7" s="861"/>
      <c r="M7" s="917"/>
      <c r="N7" s="861"/>
      <c r="O7" s="861"/>
      <c r="P7" s="870"/>
      <c r="Q7" s="902"/>
    </row>
    <row r="8" spans="1:20" ht="16.5" customHeight="1">
      <c r="B8" s="890">
        <v>35919</v>
      </c>
      <c r="C8" s="898">
        <v>14</v>
      </c>
      <c r="D8" s="909">
        <v>410100</v>
      </c>
      <c r="E8" s="901" t="s">
        <v>949</v>
      </c>
      <c r="F8" s="899"/>
      <c r="G8" s="899"/>
      <c r="H8" s="868">
        <f t="shared" ref="H8:I10" si="0">K8+N8</f>
        <v>0</v>
      </c>
      <c r="I8" s="868">
        <f t="shared" si="0"/>
        <v>96021094</v>
      </c>
      <c r="J8" s="914">
        <f>+H8+I8</f>
        <v>96021094</v>
      </c>
      <c r="K8" s="873">
        <v>0</v>
      </c>
      <c r="L8" s="913">
        <v>62173658</v>
      </c>
      <c r="M8" s="914">
        <f>+K8+L8</f>
        <v>62173658</v>
      </c>
      <c r="N8" s="873">
        <v>0</v>
      </c>
      <c r="O8" s="913">
        <v>33847436</v>
      </c>
      <c r="P8" s="906">
        <f>+N8+O8</f>
        <v>33847436</v>
      </c>
      <c r="Q8" s="902"/>
    </row>
    <row r="9" spans="1:20" ht="16.5" customHeight="1">
      <c r="A9" s="890">
        <v>35662</v>
      </c>
      <c r="C9" s="898">
        <v>99</v>
      </c>
      <c r="D9" s="909">
        <v>410100</v>
      </c>
      <c r="E9" s="901" t="s">
        <v>948</v>
      </c>
      <c r="F9" s="899"/>
      <c r="G9" s="899"/>
      <c r="H9" s="868">
        <f t="shared" si="0"/>
        <v>5406102</v>
      </c>
      <c r="I9" s="868">
        <f t="shared" si="0"/>
        <v>0</v>
      </c>
      <c r="J9" s="914">
        <f>+H9+I9</f>
        <v>5406102</v>
      </c>
      <c r="K9" s="913">
        <v>5406102</v>
      </c>
      <c r="L9" s="868">
        <v>0</v>
      </c>
      <c r="M9" s="914">
        <f>+K9+L9</f>
        <v>5406102</v>
      </c>
      <c r="N9" s="873">
        <v>0</v>
      </c>
      <c r="O9" s="868">
        <v>0</v>
      </c>
      <c r="P9" s="906">
        <f>+N9+O9</f>
        <v>0</v>
      </c>
      <c r="Q9" s="902"/>
    </row>
    <row r="10" spans="1:20" ht="16.5" customHeight="1">
      <c r="A10" s="890">
        <v>35662</v>
      </c>
      <c r="C10" s="898">
        <v>99</v>
      </c>
      <c r="D10" s="909">
        <v>410100</v>
      </c>
      <c r="E10" s="901" t="s">
        <v>947</v>
      </c>
      <c r="F10" s="899"/>
      <c r="G10" s="899"/>
      <c r="H10" s="868">
        <f t="shared" si="0"/>
        <v>3833877</v>
      </c>
      <c r="I10" s="868">
        <f t="shared" si="0"/>
        <v>0</v>
      </c>
      <c r="J10" s="914">
        <f>+H10+I10</f>
        <v>3833877</v>
      </c>
      <c r="K10" s="873">
        <v>0</v>
      </c>
      <c r="L10" s="868">
        <v>0</v>
      </c>
      <c r="M10" s="914">
        <f>+K10+L10</f>
        <v>0</v>
      </c>
      <c r="N10" s="913">
        <v>3833877</v>
      </c>
      <c r="O10" s="868">
        <v>0</v>
      </c>
      <c r="P10" s="906">
        <f>+N10+O10</f>
        <v>3833877</v>
      </c>
      <c r="Q10" s="902"/>
    </row>
    <row r="11" spans="1:20" ht="16.5" customHeight="1">
      <c r="C11" s="898"/>
      <c r="D11" s="909">
        <v>410100</v>
      </c>
      <c r="E11" s="898" t="s">
        <v>137</v>
      </c>
      <c r="F11" s="899"/>
      <c r="G11" s="899"/>
      <c r="H11" s="916">
        <f t="shared" ref="H11:P11" si="1">SUM(H8:H10)</f>
        <v>9239979</v>
      </c>
      <c r="I11" s="916">
        <f t="shared" si="1"/>
        <v>96021094</v>
      </c>
      <c r="J11" s="912">
        <f t="shared" si="1"/>
        <v>105261073</v>
      </c>
      <c r="K11" s="911">
        <f t="shared" si="1"/>
        <v>5406102</v>
      </c>
      <c r="L11" s="911">
        <f t="shared" si="1"/>
        <v>62173658</v>
      </c>
      <c r="M11" s="912">
        <f t="shared" si="1"/>
        <v>67579760</v>
      </c>
      <c r="N11" s="911">
        <f t="shared" si="1"/>
        <v>3833877</v>
      </c>
      <c r="O11" s="911">
        <f t="shared" si="1"/>
        <v>33847436</v>
      </c>
      <c r="P11" s="910">
        <f t="shared" si="1"/>
        <v>37681313</v>
      </c>
      <c r="Q11" s="902"/>
    </row>
    <row r="12" spans="1:20" ht="16.5" customHeight="1">
      <c r="C12" s="898"/>
      <c r="D12" s="909"/>
      <c r="E12" s="898"/>
      <c r="F12" s="899"/>
      <c r="G12" s="899"/>
      <c r="H12" s="915"/>
      <c r="I12" s="915"/>
      <c r="J12" s="914"/>
      <c r="K12" s="873"/>
      <c r="L12" s="873"/>
      <c r="M12" s="914"/>
      <c r="N12" s="873"/>
      <c r="O12" s="873"/>
      <c r="P12" s="906"/>
      <c r="Q12" s="902"/>
    </row>
    <row r="13" spans="1:20" ht="16.5" customHeight="1">
      <c r="A13" s="890">
        <v>35667</v>
      </c>
      <c r="B13" s="890">
        <v>35924</v>
      </c>
      <c r="C13" s="898">
        <v>14</v>
      </c>
      <c r="D13" s="909">
        <v>411100</v>
      </c>
      <c r="E13" s="901" t="s">
        <v>949</v>
      </c>
      <c r="F13" s="899"/>
      <c r="G13" s="899"/>
      <c r="H13" s="868">
        <f t="shared" ref="H13:I15" si="2">K13+N13</f>
        <v>0</v>
      </c>
      <c r="I13" s="868">
        <f t="shared" si="2"/>
        <v>-213391</v>
      </c>
      <c r="J13" s="914">
        <f>+H13+I13</f>
        <v>-213391</v>
      </c>
      <c r="K13" s="873">
        <v>0</v>
      </c>
      <c r="L13" s="913">
        <v>-138171</v>
      </c>
      <c r="M13" s="914">
        <f>+K13+L13</f>
        <v>-138171</v>
      </c>
      <c r="N13" s="873">
        <v>0</v>
      </c>
      <c r="O13" s="913">
        <v>-75220</v>
      </c>
      <c r="P13" s="906">
        <f>+N13+O13</f>
        <v>-75220</v>
      </c>
      <c r="Q13" s="902"/>
    </row>
    <row r="14" spans="1:20" ht="16.5" customHeight="1">
      <c r="A14" s="890">
        <v>35667</v>
      </c>
      <c r="B14" s="890">
        <v>35924</v>
      </c>
      <c r="C14" s="898">
        <v>99</v>
      </c>
      <c r="D14" s="909">
        <v>411100</v>
      </c>
      <c r="E14" s="901" t="s">
        <v>948</v>
      </c>
      <c r="F14" s="899"/>
      <c r="G14" s="899"/>
      <c r="H14" s="868">
        <f t="shared" si="2"/>
        <v>-1005492</v>
      </c>
      <c r="I14" s="868">
        <f t="shared" si="2"/>
        <v>0</v>
      </c>
      <c r="J14" s="914">
        <f>+H14+I14</f>
        <v>-1005492</v>
      </c>
      <c r="K14" s="913">
        <v>-1005492</v>
      </c>
      <c r="L14" s="868">
        <v>0</v>
      </c>
      <c r="M14" s="914">
        <f>+K14+L14</f>
        <v>-1005492</v>
      </c>
      <c r="N14" s="873">
        <v>0</v>
      </c>
      <c r="O14" s="868">
        <v>0</v>
      </c>
      <c r="P14" s="906">
        <f>+N14+O14</f>
        <v>0</v>
      </c>
      <c r="Q14" s="902"/>
    </row>
    <row r="15" spans="1:20" ht="16.5" customHeight="1">
      <c r="A15" s="890">
        <v>35667</v>
      </c>
      <c r="B15" s="890">
        <v>35924</v>
      </c>
      <c r="C15" s="898">
        <v>99</v>
      </c>
      <c r="D15" s="909">
        <v>411100</v>
      </c>
      <c r="E15" s="901" t="s">
        <v>947</v>
      </c>
      <c r="F15" s="899"/>
      <c r="G15" s="899"/>
      <c r="H15" s="868">
        <f t="shared" si="2"/>
        <v>-142237</v>
      </c>
      <c r="I15" s="868">
        <f t="shared" si="2"/>
        <v>0</v>
      </c>
      <c r="J15" s="914">
        <f>+H15+I15</f>
        <v>-142237</v>
      </c>
      <c r="K15" s="873">
        <v>0</v>
      </c>
      <c r="L15" s="868">
        <v>0</v>
      </c>
      <c r="M15" s="914">
        <f>+K15+L15</f>
        <v>0</v>
      </c>
      <c r="N15" s="913">
        <v>-142237</v>
      </c>
      <c r="O15" s="868">
        <v>0</v>
      </c>
      <c r="P15" s="906">
        <f>+N15+O15</f>
        <v>-142237</v>
      </c>
      <c r="Q15" s="902"/>
    </row>
    <row r="16" spans="1:20" ht="16.5" customHeight="1">
      <c r="C16" s="898"/>
      <c r="D16" s="909">
        <v>411100</v>
      </c>
      <c r="E16" s="898" t="s">
        <v>137</v>
      </c>
      <c r="F16" s="899"/>
      <c r="G16" s="899"/>
      <c r="H16" s="911">
        <f t="shared" ref="H16:P16" si="3">SUM(H13:H15)</f>
        <v>-1147729</v>
      </c>
      <c r="I16" s="911">
        <f t="shared" si="3"/>
        <v>-213391</v>
      </c>
      <c r="J16" s="912">
        <f t="shared" si="3"/>
        <v>-1361120</v>
      </c>
      <c r="K16" s="911">
        <f t="shared" si="3"/>
        <v>-1005492</v>
      </c>
      <c r="L16" s="911">
        <f t="shared" si="3"/>
        <v>-138171</v>
      </c>
      <c r="M16" s="912">
        <f t="shared" si="3"/>
        <v>-1143663</v>
      </c>
      <c r="N16" s="911">
        <f t="shared" si="3"/>
        <v>-142237</v>
      </c>
      <c r="O16" s="911">
        <f t="shared" si="3"/>
        <v>-75220</v>
      </c>
      <c r="P16" s="910">
        <f t="shared" si="3"/>
        <v>-217457</v>
      </c>
      <c r="Q16" s="902"/>
    </row>
    <row r="17" spans="3:17" ht="16.5" customHeight="1">
      <c r="C17" s="898"/>
      <c r="D17" s="909"/>
      <c r="E17" s="898"/>
      <c r="F17" s="899"/>
      <c r="G17" s="899"/>
      <c r="H17" s="907"/>
      <c r="I17" s="907"/>
      <c r="J17" s="908"/>
      <c r="K17" s="907"/>
      <c r="L17" s="907"/>
      <c r="M17" s="908"/>
      <c r="N17" s="907"/>
      <c r="O17" s="907"/>
      <c r="P17" s="906"/>
      <c r="Q17" s="902"/>
    </row>
    <row r="18" spans="3:17" ht="16.5" customHeight="1" thickBot="1">
      <c r="C18" s="898"/>
      <c r="D18" s="901" t="s">
        <v>946</v>
      </c>
      <c r="E18" s="861"/>
      <c r="F18" s="899"/>
      <c r="G18" s="899"/>
      <c r="H18" s="903">
        <f t="shared" ref="H18:P18" si="4">H11+H16</f>
        <v>8092250</v>
      </c>
      <c r="I18" s="903">
        <f t="shared" si="4"/>
        <v>95807703</v>
      </c>
      <c r="J18" s="905">
        <f t="shared" si="4"/>
        <v>103899953</v>
      </c>
      <c r="K18" s="904">
        <f t="shared" si="4"/>
        <v>4400610</v>
      </c>
      <c r="L18" s="903">
        <f t="shared" si="4"/>
        <v>62035487</v>
      </c>
      <c r="M18" s="905">
        <f t="shared" si="4"/>
        <v>66436097</v>
      </c>
      <c r="N18" s="904">
        <f t="shared" si="4"/>
        <v>3691640</v>
      </c>
      <c r="O18" s="903">
        <f t="shared" si="4"/>
        <v>33772216</v>
      </c>
      <c r="P18" s="903">
        <f t="shared" si="4"/>
        <v>37463856</v>
      </c>
      <c r="Q18" s="902"/>
    </row>
    <row r="19" spans="3:17" ht="16.5" customHeight="1" thickTop="1">
      <c r="C19" s="898"/>
      <c r="D19" s="900"/>
      <c r="E19" s="901"/>
      <c r="F19" s="899"/>
      <c r="G19" s="899"/>
      <c r="H19" s="898"/>
      <c r="I19" s="898"/>
      <c r="J19" s="860" t="str">
        <f>IF(P18+M18-J18=0," ","ERROR")</f>
        <v xml:space="preserve"> </v>
      </c>
      <c r="K19" s="861"/>
      <c r="L19" s="861"/>
      <c r="M19" s="861"/>
      <c r="N19" s="861"/>
      <c r="O19" s="861"/>
      <c r="P19" s="861"/>
    </row>
    <row r="20" spans="3:17" ht="16.5" customHeight="1">
      <c r="C20" s="898"/>
      <c r="D20" s="900"/>
      <c r="E20" s="901"/>
      <c r="F20" s="899"/>
      <c r="G20" s="899"/>
      <c r="H20" s="898"/>
      <c r="I20" s="898"/>
      <c r="J20" s="860"/>
      <c r="K20" s="861"/>
      <c r="L20" s="861"/>
      <c r="M20" s="861"/>
      <c r="N20" s="861"/>
      <c r="O20" s="861"/>
      <c r="P20" s="861"/>
    </row>
    <row r="21" spans="3:17" ht="16.5" customHeight="1">
      <c r="C21" s="898"/>
      <c r="D21" s="900"/>
      <c r="E21" s="898"/>
      <c r="F21" s="899"/>
      <c r="G21" s="899"/>
      <c r="H21" s="898"/>
      <c r="I21" s="898"/>
      <c r="J21" s="898"/>
      <c r="K21" s="861"/>
      <c r="L21" s="861"/>
      <c r="M21" s="861"/>
      <c r="N21" s="861"/>
      <c r="O21" s="861"/>
      <c r="P21" s="861"/>
    </row>
    <row r="22" spans="3:17" ht="16.5" customHeight="1">
      <c r="C22" s="897" t="s">
        <v>841</v>
      </c>
      <c r="D22" s="862">
        <v>14</v>
      </c>
      <c r="E22" s="860" t="s">
        <v>1122</v>
      </c>
      <c r="F22" s="861"/>
      <c r="G22" s="861"/>
      <c r="H22" s="861"/>
      <c r="I22" s="895">
        <v>1</v>
      </c>
      <c r="J22" s="896"/>
      <c r="K22" s="896"/>
      <c r="L22" s="895">
        <v>0.64749999999999996</v>
      </c>
      <c r="M22" s="896"/>
      <c r="N22" s="896"/>
      <c r="O22" s="895">
        <v>0.35249999999999998</v>
      </c>
      <c r="P22" s="861"/>
    </row>
    <row r="23" spans="3:17" ht="16.5" customHeight="1">
      <c r="C23" s="897" t="s">
        <v>841</v>
      </c>
      <c r="D23" s="862">
        <v>99</v>
      </c>
      <c r="E23" s="860" t="s">
        <v>1117</v>
      </c>
      <c r="F23" s="861"/>
      <c r="G23" s="861"/>
      <c r="H23" s="861"/>
      <c r="I23" s="895">
        <v>0</v>
      </c>
      <c r="J23" s="896"/>
      <c r="K23" s="896"/>
      <c r="L23" s="895">
        <v>0</v>
      </c>
      <c r="M23" s="896"/>
      <c r="N23" s="896"/>
      <c r="O23" s="895">
        <v>0</v>
      </c>
      <c r="P23" s="861"/>
    </row>
    <row r="24" spans="3:17" ht="16.5" customHeight="1">
      <c r="C24" s="892"/>
      <c r="D24" s="894"/>
      <c r="E24" s="892"/>
      <c r="F24" s="893"/>
      <c r="G24" s="893"/>
      <c r="H24" s="892"/>
      <c r="I24" s="892"/>
      <c r="J24" s="892"/>
      <c r="K24" s="891"/>
      <c r="L24" s="891"/>
      <c r="M24" s="891"/>
      <c r="N24" s="891"/>
      <c r="O24" s="891"/>
      <c r="P24" s="891"/>
    </row>
    <row r="25" spans="3:17" ht="16.5" customHeight="1">
      <c r="C25" s="891"/>
      <c r="D25" s="891"/>
      <c r="E25" s="891"/>
      <c r="F25" s="891"/>
      <c r="G25" s="891"/>
      <c r="H25" s="891"/>
      <c r="I25" s="891"/>
      <c r="J25" s="891"/>
      <c r="K25" s="891"/>
      <c r="L25" s="891"/>
      <c r="M25" s="891"/>
      <c r="N25" s="891"/>
      <c r="O25" s="891"/>
      <c r="P25" s="891"/>
    </row>
    <row r="26" spans="3:17" ht="16.5" customHeight="1">
      <c r="C26" s="891"/>
      <c r="D26" s="891"/>
      <c r="E26" s="891"/>
      <c r="F26" s="891"/>
      <c r="G26" s="891"/>
      <c r="H26" s="891"/>
      <c r="I26" s="891"/>
      <c r="J26" s="891"/>
      <c r="K26" s="891"/>
      <c r="L26" s="891"/>
      <c r="M26" s="891"/>
      <c r="N26" s="891"/>
      <c r="O26" s="891"/>
      <c r="P26" s="891"/>
    </row>
    <row r="27" spans="3:17" ht="16.5" customHeight="1">
      <c r="C27" s="891"/>
      <c r="D27" s="891"/>
      <c r="E27" s="891"/>
      <c r="F27" s="891"/>
      <c r="G27" s="891"/>
      <c r="H27" s="891"/>
      <c r="I27" s="891"/>
      <c r="J27" s="891"/>
      <c r="K27" s="891"/>
      <c r="L27" s="891"/>
      <c r="M27" s="891"/>
      <c r="N27" s="891"/>
      <c r="O27" s="891"/>
      <c r="P27" s="891"/>
    </row>
    <row r="28" spans="3:17" ht="16.5" customHeight="1">
      <c r="C28" s="891"/>
      <c r="D28" s="891"/>
      <c r="E28" s="891"/>
      <c r="F28" s="891"/>
      <c r="G28" s="891"/>
      <c r="H28" s="891"/>
      <c r="I28" s="891"/>
      <c r="J28" s="891"/>
      <c r="K28" s="891"/>
      <c r="L28" s="891"/>
      <c r="M28" s="891"/>
      <c r="N28" s="891"/>
      <c r="O28" s="891"/>
      <c r="P28" s="891"/>
    </row>
    <row r="29" spans="3:17" ht="16.5" customHeight="1">
      <c r="C29" s="891"/>
      <c r="D29" s="891"/>
      <c r="E29" s="891"/>
      <c r="F29" s="891"/>
      <c r="G29" s="891"/>
      <c r="H29" s="891"/>
      <c r="I29" s="891"/>
      <c r="J29" s="891"/>
      <c r="K29" s="891"/>
      <c r="L29" s="891"/>
      <c r="M29" s="891"/>
      <c r="N29" s="891"/>
      <c r="O29" s="891"/>
      <c r="P29" s="891"/>
    </row>
    <row r="30" spans="3:17" ht="16.5" customHeight="1">
      <c r="C30" s="891"/>
      <c r="D30" s="891"/>
      <c r="E30" s="891"/>
      <c r="F30" s="891"/>
      <c r="G30" s="891"/>
      <c r="H30" s="891"/>
      <c r="I30" s="891"/>
      <c r="J30" s="891"/>
      <c r="K30" s="891"/>
      <c r="L30" s="891"/>
      <c r="M30" s="891"/>
      <c r="N30" s="891"/>
      <c r="O30" s="891"/>
      <c r="P30" s="891"/>
    </row>
    <row r="31" spans="3:17" ht="16.5" customHeight="1">
      <c r="C31" s="891"/>
      <c r="D31" s="891"/>
      <c r="E31" s="891"/>
      <c r="F31" s="891"/>
      <c r="G31" s="891"/>
      <c r="H31" s="891"/>
      <c r="I31" s="891"/>
      <c r="J31" s="891"/>
      <c r="K31" s="891"/>
      <c r="L31" s="891"/>
      <c r="M31" s="891"/>
      <c r="N31" s="891"/>
      <c r="O31" s="891"/>
      <c r="P31" s="891"/>
    </row>
    <row r="32" spans="3:17" ht="16.5" customHeight="1">
      <c r="C32" s="891"/>
      <c r="D32" s="891"/>
      <c r="E32" s="891"/>
      <c r="F32" s="891"/>
      <c r="G32" s="891"/>
      <c r="H32" s="891"/>
      <c r="I32" s="891"/>
      <c r="J32" s="891"/>
      <c r="K32" s="891"/>
      <c r="L32" s="891"/>
      <c r="M32" s="891"/>
      <c r="N32" s="891"/>
      <c r="O32" s="891"/>
      <c r="P32" s="891"/>
    </row>
    <row r="33" spans="3:16" ht="16.5" customHeight="1">
      <c r="C33" s="891"/>
      <c r="D33" s="891"/>
      <c r="E33" s="891"/>
      <c r="F33" s="891"/>
      <c r="G33" s="891"/>
      <c r="H33" s="891"/>
      <c r="I33" s="891"/>
      <c r="J33" s="891"/>
      <c r="K33" s="891"/>
      <c r="L33" s="891"/>
      <c r="M33" s="891"/>
      <c r="N33" s="891"/>
      <c r="O33" s="891"/>
      <c r="P33" s="891"/>
    </row>
    <row r="34" spans="3:16" ht="16.5" customHeight="1">
      <c r="C34" s="891"/>
      <c r="D34" s="891"/>
      <c r="E34" s="891"/>
      <c r="F34" s="891"/>
      <c r="G34" s="891"/>
      <c r="H34" s="891"/>
      <c r="I34" s="891"/>
      <c r="J34" s="891"/>
      <c r="K34" s="891"/>
      <c r="L34" s="891"/>
      <c r="M34" s="891"/>
      <c r="N34" s="891"/>
      <c r="O34" s="891"/>
      <c r="P34" s="891"/>
    </row>
    <row r="35" spans="3:16" ht="16.5" customHeight="1">
      <c r="C35" s="891"/>
      <c r="D35" s="891"/>
      <c r="E35" s="891"/>
      <c r="F35" s="891"/>
      <c r="G35" s="891"/>
      <c r="H35" s="891"/>
      <c r="I35" s="891"/>
      <c r="J35" s="891"/>
      <c r="K35" s="891"/>
      <c r="L35" s="891"/>
      <c r="M35" s="891"/>
      <c r="N35" s="891"/>
      <c r="O35" s="891"/>
      <c r="P35" s="891"/>
    </row>
  </sheetData>
  <pageMargins left="0" right="0" top="0.75" bottom="0.75" header="0.5" footer="0.5"/>
  <pageSetup scale="80" orientation="landscape" horizontalDpi="4294967292" r:id="rId1"/>
  <headerFooter alignWithMargins="0">
    <oddFooter>&amp;CElectric Services&amp;RTab 5c Def. Tax Expense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SignificantOrder xmlns="dc463f71-b30c-4ab2-9473-d307f9d35888">false</SignificantOrder>
    <Date1 xmlns="dc463f71-b30c-4ab2-9473-d307f9d35888">2018-01-26T08:00:00+00:00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documentManagement>
</p:properties>
</file>

<file path=customXml/itemProps1.xml><?xml version="1.0" encoding="utf-8"?>
<ds:datastoreItem xmlns:ds="http://schemas.openxmlformats.org/officeDocument/2006/customXml" ds:itemID="{1B881BF5-1263-4ECC-B225-C7DFADB22FDA}"/>
</file>

<file path=customXml/itemProps2.xml><?xml version="1.0" encoding="utf-8"?>
<ds:datastoreItem xmlns:ds="http://schemas.openxmlformats.org/officeDocument/2006/customXml" ds:itemID="{A00AE3D6-24D7-4220-9F16-DB816B8D3D14}"/>
</file>

<file path=customXml/itemProps3.xml><?xml version="1.0" encoding="utf-8"?>
<ds:datastoreItem xmlns:ds="http://schemas.openxmlformats.org/officeDocument/2006/customXml" ds:itemID="{50F5C912-EF68-4826-A340-02DBEB148B37}"/>
</file>

<file path=customXml/itemProps4.xml><?xml version="1.0" encoding="utf-8"?>
<ds:datastoreItem xmlns:ds="http://schemas.openxmlformats.org/officeDocument/2006/customXml" ds:itemID="{CCF31A6B-8168-4A84-A650-716B869C74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36</vt:i4>
      </vt:variant>
    </vt:vector>
  </HeadingPairs>
  <TitlesOfParts>
    <vt:vector size="57" baseType="lpstr">
      <vt:lpstr>Table 1</vt:lpstr>
      <vt:lpstr>Tab 1 Rev. Req. Summary</vt:lpstr>
      <vt:lpstr>Tab 2 Rev. Req. Calc.</vt:lpstr>
      <vt:lpstr>Tab 3 Conversion Factor</vt:lpstr>
      <vt:lpstr>Tab 4 Adjustment Details</vt:lpstr>
      <vt:lpstr>Tab 5a Adjustment TCJA-1 </vt:lpstr>
      <vt:lpstr>Tab 5b Sch. M Detail</vt:lpstr>
      <vt:lpstr>Tab 5c Def. Tax Expense</vt:lpstr>
      <vt:lpstr>Tab 6a Adjustment TCJA-2</vt:lpstr>
      <vt:lpstr>Tab 6b Restated ADIT</vt:lpstr>
      <vt:lpstr>Tab 7a Deferral </vt:lpstr>
      <vt:lpstr>Tab 7b Deferral Amort</vt:lpstr>
      <vt:lpstr>Workpapers-&gt;</vt:lpstr>
      <vt:lpstr>ADJ SUMMARY</vt:lpstr>
      <vt:lpstr>LEAD SHEETS-DO NOT ENTER</vt:lpstr>
      <vt:lpstr>ROO INPUT</vt:lpstr>
      <vt:lpstr>DEBT CALC</vt:lpstr>
      <vt:lpstr>COMPARISON</vt:lpstr>
      <vt:lpstr>PROPOSED RATES-2018-NOT USED</vt:lpstr>
      <vt:lpstr>RETAIL REVENUE CREDIT-not used</vt:lpstr>
      <vt:lpstr>PROPOSED RATES-2019-not used</vt:lpstr>
      <vt:lpstr>E_DTE</vt:lpstr>
      <vt:lpstr>E_DTE_Area</vt:lpstr>
      <vt:lpstr>E_FIT</vt:lpstr>
      <vt:lpstr>E_FIT_Area</vt:lpstr>
      <vt:lpstr>E_SCM</vt:lpstr>
      <vt:lpstr>E_SCM_Area</vt:lpstr>
      <vt:lpstr>ID_Elec</vt:lpstr>
      <vt:lpstr>'ADJ SUMMARY'!Print_Area</vt:lpstr>
      <vt:lpstr>COMPARISON!Print_Area</vt:lpstr>
      <vt:lpstr>'DEBT CALC'!Print_Area</vt:lpstr>
      <vt:lpstr>'LEAD SHEETS-DO NOT ENTER'!Print_Area</vt:lpstr>
      <vt:lpstr>'PROPOSED RATES-2018-NOT USED'!Print_Area</vt:lpstr>
      <vt:lpstr>'PROPOSED RATES-2019-not used'!Print_Area</vt:lpstr>
      <vt:lpstr>'RETAIL REVENUE CREDIT-not used'!Print_Area</vt:lpstr>
      <vt:lpstr>'ROO INPUT'!Print_Area</vt:lpstr>
      <vt:lpstr>'Tab 1 Rev. Req. Summary'!Print_Area</vt:lpstr>
      <vt:lpstr>'Tab 2 Rev. Req. Calc.'!Print_Area</vt:lpstr>
      <vt:lpstr>'Tab 3 Conversion Factor'!Print_Area</vt:lpstr>
      <vt:lpstr>'Tab 4 Adjustment Details'!Print_Area</vt:lpstr>
      <vt:lpstr>'Tab 5a Adjustment TCJA-1 '!Print_Area</vt:lpstr>
      <vt:lpstr>'Tab 5b Sch. M Detail'!Print_Area</vt:lpstr>
      <vt:lpstr>'Tab 5c Def. Tax Expense'!Print_Area</vt:lpstr>
      <vt:lpstr>'Tab 6b Restated ADIT'!Print_Area</vt:lpstr>
      <vt:lpstr>COMPARISON!Print_for_CBReport</vt:lpstr>
      <vt:lpstr>'RETAIL REVENUE CREDIT-not used'!Print_for_CBReport</vt:lpstr>
      <vt:lpstr>Print_for_CBReport</vt:lpstr>
      <vt:lpstr>'RETAIL REVENUE CREDIT-not used'!Print_for_Checking</vt:lpstr>
      <vt:lpstr>'LEAD SHEETS-DO NOT ENTER'!Print_Titles</vt:lpstr>
      <vt:lpstr>'RETAIL REVENUE CREDIT-not used'!Print_Titles</vt:lpstr>
      <vt:lpstr>'ROO INPUT'!Print_Titles</vt:lpstr>
      <vt:lpstr>'Tab 1 Rev. Req. Summary'!Print_Titles</vt:lpstr>
      <vt:lpstr>'Tab 4 Adjustment Details'!Print_Titles</vt:lpstr>
      <vt:lpstr>'Tab 5b Sch. M Detail'!Print_Titles</vt:lpstr>
      <vt:lpstr>RRC_Adjustment_Print</vt:lpstr>
      <vt:lpstr>RRC_Rate_Print</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Mullins</cp:lastModifiedBy>
  <cp:lastPrinted>2018-01-25T21:06:40Z</cp:lastPrinted>
  <dcterms:created xsi:type="dcterms:W3CDTF">1997-05-15T21:41:44Z</dcterms:created>
  <dcterms:modified xsi:type="dcterms:W3CDTF">2018-01-26T16:53:25Z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